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46.xml" ContentType="application/vnd.ms-excel.controlproperties+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defaultThemeVersion="166925"/>
  <mc:AlternateContent xmlns:mc="http://schemas.openxmlformats.org/markup-compatibility/2006">
    <mc:Choice Requires="x15">
      <x15ac:absPath xmlns:x15ac="http://schemas.microsoft.com/office/spreadsheetml/2010/11/ac" url="G:\Climate Change\ORS\0500 OBPS\0511 Forms\Industrial emissions return\"/>
    </mc:Choice>
  </mc:AlternateContent>
  <xr:revisionPtr revIDLastSave="0" documentId="13_ncr:1_{950C1D98-EB8A-453D-B2D4-B2A6BB3A4583}" xr6:coauthVersionLast="47" xr6:coauthVersionMax="47" xr10:uidLastSave="{00000000-0000-0000-0000-000000000000}"/>
  <workbookProtection workbookAlgorithmName="SHA-512" workbookHashValue="aU0EAqISHG765KPjoQgjisFsPkSqez50Q8aARG+8n8BUSWamQ6dDZPu0DWnid+32mPjMt7CKsnWxtAg47wlpZw==" workbookSaltValue="7p/7VGmWeDtNMife88lyGw==" workbookSpinCount="100000" lockStructure="1"/>
  <bookViews>
    <workbookView xWindow="25080" yWindow="-135" windowWidth="25440" windowHeight="15270" tabRatio="838" xr2:uid="{03F5C8DC-AC37-4548-BC1C-4AF3E5050712}"/>
  </bookViews>
  <sheets>
    <sheet name="Instructions" sheetId="1" r:id="rId1"/>
    <sheet name="Facility Information" sheetId="2" r:id="rId2"/>
    <sheet name="Product Information" sheetId="3" r:id="rId3"/>
    <sheet name="Production Data" sheetId="4" r:id="rId4"/>
    <sheet name="Electricity Data" sheetId="5" state="hidden" r:id="rId5"/>
    <sheet name="Gas-to-Power Data" sheetId="6" state="hidden" r:id="rId6"/>
    <sheet name="Drilling Data" sheetId="7" state="hidden" r:id="rId7"/>
    <sheet name="Compliance" sheetId="12" r:id="rId8"/>
    <sheet name="Declaration" sheetId="9" r:id="rId9"/>
    <sheet name="Appendix" sheetId="10" r:id="rId10"/>
    <sheet name="Developer" sheetId="11" state="veryHidden" r:id="rId11"/>
  </sheets>
  <externalReferences>
    <externalReference r:id="rId12"/>
  </externalReferences>
  <definedNames>
    <definedName name="I.Compliance.GTPBaselineEmissionsIntensity" hidden="1">Compliance!$D$118</definedName>
    <definedName name="I.Compliance.GTPReductionPeriod" hidden="1">Compliance!$D$116</definedName>
    <definedName name="I.Compliance.P1Baseline" hidden="1">Compliance!$D$25:$D$27</definedName>
    <definedName name="I.Compliance.P1IPEmissions" hidden="1">Compliance!$C$16</definedName>
    <definedName name="I.Compliance.P1ReductionPeriod" hidden="1">Compliance!$D$23</definedName>
    <definedName name="I.Compliance.P2Baseline" hidden="1">Compliance!$D$45:$D$47</definedName>
    <definedName name="I.Compliance.P2IPEmissions" hidden="1">Compliance!$C$36</definedName>
    <definedName name="I.Compliance.P2ReductionPeriod" hidden="1">Compliance!$D$43</definedName>
    <definedName name="I.Compliance.P3Baseline" hidden="1">Compliance!$D$65:$D$67</definedName>
    <definedName name="I.Compliance.P3IPEmissions" hidden="1">Compliance!$C$56</definedName>
    <definedName name="I.Compliance.P3ReductionPeriod" hidden="1">Compliance!$D$63</definedName>
    <definedName name="I.Compliance.P4Baseline" hidden="1">Compliance!$D$85:$D$87</definedName>
    <definedName name="I.Compliance.P4IPEmissions" hidden="1">Compliance!$C$76</definedName>
    <definedName name="I.Compliance.P4ReductionPeriod" hidden="1">Compliance!$D$83</definedName>
    <definedName name="I.Compliance.P5Baseline" hidden="1">Compliance!$D$105:$D$107</definedName>
    <definedName name="I.Compliance.P5IPEmissions" hidden="1">Compliance!$C$96</definedName>
    <definedName name="I.Compliance.P5ReductionPeriod" hidden="1">Compliance!$D$103</definedName>
    <definedName name="I.Declaration.Date" hidden="1">Declaration!$F$28</definedName>
    <definedName name="I.Declaration.Name" hidden="1">Declaration!$D$9</definedName>
    <definedName name="I.Developer.P1C1" hidden="1">Developer!$F$1548</definedName>
    <definedName name="I.Developer.P1C2" hidden="1">Developer!$F$1549</definedName>
    <definedName name="I.Developer.P1C3" hidden="1">Developer!$F$1550</definedName>
    <definedName name="I.Developer.P1C4" hidden="1">Developer!$F$1551</definedName>
    <definedName name="I.Developer.P1C5" hidden="1">Developer!$F$1552</definedName>
    <definedName name="I.Developer.P1C6" hidden="1">Developer!$F$1553</definedName>
    <definedName name="I.Developer.P1C7" hidden="1">Developer!$F$1554</definedName>
    <definedName name="I.Developer.P1C8" hidden="1">Developer!$F$1555</definedName>
    <definedName name="I.Developer.P1C9" hidden="1">Developer!$F$1556</definedName>
    <definedName name="I.Developer.P2C1" hidden="1">Developer!$F$1557</definedName>
    <definedName name="I.Developer.P2C2" hidden="1">Developer!$F$1558</definedName>
    <definedName name="I.Developer.P2C3" hidden="1">Developer!$F$1559</definedName>
    <definedName name="I.Developer.P2C4" hidden="1">Developer!$F$1560</definedName>
    <definedName name="I.Developer.P2C5" hidden="1">Developer!$F$1561</definedName>
    <definedName name="I.Developer.P2C6" hidden="1">Developer!$F$1562</definedName>
    <definedName name="I.Developer.P2C7" hidden="1">Developer!$F$1563</definedName>
    <definedName name="I.Developer.P2C8" hidden="1">Developer!$F$1564</definedName>
    <definedName name="I.Developer.P2C9" hidden="1">Developer!$F$1565</definedName>
    <definedName name="I.Developer.P3C1" hidden="1">Developer!$F$1566</definedName>
    <definedName name="I.Developer.P3C2" hidden="1">Developer!$F$1567</definedName>
    <definedName name="I.Developer.P3C3" hidden="1">Developer!$F$1568</definedName>
    <definedName name="I.Developer.P3C4" hidden="1">Developer!$F$1569</definedName>
    <definedName name="I.Developer.P3C5" hidden="1">Developer!$F$1570</definedName>
    <definedName name="I.Developer.P3C6" hidden="1">Developer!$F$1571</definedName>
    <definedName name="I.Developer.P3C7" hidden="1">Developer!$F$1572</definedName>
    <definedName name="I.Developer.P3C8" hidden="1">Developer!$F$1573</definedName>
    <definedName name="I.Developer.P3C9" hidden="1">Developer!$F$1574</definedName>
    <definedName name="I.Developer.P4C1" hidden="1">Developer!$F$1575</definedName>
    <definedName name="I.Developer.P4C2" hidden="1">Developer!$F$1576</definedName>
    <definedName name="I.Developer.P4C3" hidden="1">Developer!$F$1577</definedName>
    <definedName name="I.Developer.P4C4" hidden="1">Developer!$F$1578</definedName>
    <definedName name="I.Developer.P4C5" hidden="1">Developer!$F$1579</definedName>
    <definedName name="I.Developer.P4C6" hidden="1">Developer!$F$1580</definedName>
    <definedName name="I.Developer.P4C7" hidden="1">Developer!$F$1581</definedName>
    <definedName name="I.Developer.P4C8" hidden="1">Developer!$F$1582</definedName>
    <definedName name="I.Developer.P4C9" hidden="1">Developer!$F$1583</definedName>
    <definedName name="I.Developer.P5C1" hidden="1">Developer!$F$1584</definedName>
    <definedName name="I.Developer.P5C2" hidden="1">Developer!$F$1585</definedName>
    <definedName name="I.Developer.P5C3" hidden="1">Developer!$F$1586</definedName>
    <definedName name="I.Developer.P5C4" hidden="1">Developer!$F$1587</definedName>
    <definedName name="I.Developer.P5C5" hidden="1">Developer!$F$1588</definedName>
    <definedName name="I.Developer.P5C6" hidden="1">Developer!$F$1589</definedName>
    <definedName name="I.Developer.P5C7" hidden="1">Developer!$F$1590</definedName>
    <definedName name="I.Developer.P5C8" hidden="1">Developer!$F$1591</definedName>
    <definedName name="I.Developer.P5C9" hidden="1">Developer!$F$1592</definedName>
    <definedName name="I.Drilling.C1" hidden="1">'Drilling Data'!$D$12:$D$14</definedName>
    <definedName name="I.Drilling.Depth" hidden="1">'Drilling Data'!$D$8</definedName>
    <definedName name="I.Electricity.P1C1" hidden="1">'Electricity Data'!$D$15:$D$17</definedName>
    <definedName name="I.Electricity.P1C2" hidden="1">'Electricity Data'!$D$21:$D$44</definedName>
    <definedName name="I.Electricity.P1C3" hidden="1">'Electricity Data'!$D$48:$D$68</definedName>
    <definedName name="I.Electricity.P1C4" hidden="1">'Electricity Data'!$D$72:$D$74</definedName>
    <definedName name="I.Electricity.P1C5" hidden="1">'Electricity Data'!$D$78:$D$80</definedName>
    <definedName name="I.Electricity.P1C6" hidden="1">'Electricity Data'!$D$84:$D$86</definedName>
    <definedName name="I.Electricity.P1C7" hidden="1">'Electricity Data'!$D$90:$D$92</definedName>
    <definedName name="I.Electricity.P1C8" hidden="1">'Electricity Data'!$D$96:$D$98</definedName>
    <definedName name="I.Electricity.P1C9" hidden="1">'Electricity Data'!$D$102:$D$104</definedName>
    <definedName name="I.Electricity.P2C1" hidden="1">'Electricity Data'!$D$113:$D$115</definedName>
    <definedName name="I.Electricity.P2C2" hidden="1">'Electricity Data'!$D$119:$D$142</definedName>
    <definedName name="I.Electricity.P2C3" hidden="1">'Electricity Data'!$D$146:$D$166</definedName>
    <definedName name="I.Electricity.P2C4" hidden="1">'Electricity Data'!$D$170:$D$172</definedName>
    <definedName name="I.Electricity.P2C5" hidden="1">'Electricity Data'!$D$176:$D$178</definedName>
    <definedName name="I.Electricity.P2C6" hidden="1">'Electricity Data'!$D$182:$D$184</definedName>
    <definedName name="I.Electricity.P2C7" hidden="1">'Electricity Data'!$D$188:$D$190</definedName>
    <definedName name="I.Electricity.P2C8" hidden="1">'Electricity Data'!$D$194:$D$196</definedName>
    <definedName name="I.Electricity.P2C9" hidden="1">'Electricity Data'!$D$200:$D$202</definedName>
    <definedName name="I.Electricity.P3C1" hidden="1">'Electricity Data'!$D$211:$D$213</definedName>
    <definedName name="I.Electricity.P3C2" hidden="1">'Electricity Data'!$D$217:$D$240</definedName>
    <definedName name="I.Electricity.P3C3" hidden="1">'Electricity Data'!$D$244:$D$264</definedName>
    <definedName name="I.Electricity.P3C4" hidden="1">'Electricity Data'!$D$268:$D$270</definedName>
    <definedName name="I.Electricity.P3C5" hidden="1">'Electricity Data'!$D$274:$D$276</definedName>
    <definedName name="I.Electricity.P3C6" hidden="1">'Electricity Data'!$D$280:$D$282</definedName>
    <definedName name="I.Electricity.P3C7" hidden="1">'Electricity Data'!$D$286:$D$288</definedName>
    <definedName name="I.Electricity.P3C8" hidden="1">'Electricity Data'!$D$292:$D$294</definedName>
    <definedName name="I.Electricity.P3C9" hidden="1">'Electricity Data'!$D$298:$D$300</definedName>
    <definedName name="I.Electricity.P4C1" hidden="1">'Electricity Data'!$D$309:$D$311</definedName>
    <definedName name="I.Electricity.P4C2" hidden="1">'Electricity Data'!$D$315:$D$338</definedName>
    <definedName name="I.Electricity.P4C3" hidden="1">'Electricity Data'!$D$342:$D$362</definedName>
    <definedName name="I.Electricity.P4C4" hidden="1">'Electricity Data'!$D$366:$D$368</definedName>
    <definedName name="I.Electricity.P4C5" hidden="1">'Electricity Data'!$D$372:$D$374</definedName>
    <definedName name="I.Electricity.P4C6" hidden="1">'Electricity Data'!$D$378:$D$380</definedName>
    <definedName name="I.Electricity.P4C7" hidden="1">'Electricity Data'!$D$384:$D$386</definedName>
    <definedName name="I.Electricity.P4C8" hidden="1">'Electricity Data'!$D$390:$D$392</definedName>
    <definedName name="I.Electricity.P4C9" hidden="1">'Electricity Data'!$D$396:$D$398</definedName>
    <definedName name="I.Electricity.P5C1" hidden="1">'Electricity Data'!$D$407:$D$409</definedName>
    <definedName name="I.Electricity.P5C2" hidden="1">'Electricity Data'!$D$413:$D$436</definedName>
    <definedName name="I.Electricity.P5C3" hidden="1">'Electricity Data'!$D$440:$D$460</definedName>
    <definedName name="I.Electricity.P5C4" hidden="1">'Electricity Data'!$D$464:$D$466</definedName>
    <definedName name="I.Electricity.P5C5" hidden="1">'Electricity Data'!$D$470:$D$472</definedName>
    <definedName name="I.Electricity.P5C6" hidden="1">'Electricity Data'!$D$476:$D$478</definedName>
    <definedName name="I.Electricity.P5C7" hidden="1">'Electricity Data'!$D$482:$D$484</definedName>
    <definedName name="I.Electricity.P5C8" hidden="1">'Electricity Data'!$D$488:$D$490</definedName>
    <definedName name="I.Electricity.P5C9" hidden="1">'Electricity Data'!$D$494:$D$496</definedName>
    <definedName name="I.Facility.ComplianceYear" hidden="1">'Facility Information'!$C$13</definedName>
    <definedName name="I.Facility.Drilling" hidden="1">'Facility Information'!$C$25</definedName>
    <definedName name="I.Facility.EmitterName" hidden="1">'Facility Information'!$C$7</definedName>
    <definedName name="I.Facility.FacilityCount" hidden="1">'Facility Information'!$C$28</definedName>
    <definedName name="I.Facility.FacilityName" hidden="1">'Facility Information'!$C$10</definedName>
    <definedName name="I.Facility.GasToPower" hidden="1">'Facility Information'!$C$19</definedName>
    <definedName name="I.Facility.IDNumber" hidden="1">'Facility Information'!$D$32:$D$531</definedName>
    <definedName name="I.Facility.OBPSNumber" hidden="1">'Facility Information'!$F$10</definedName>
    <definedName name="I.Facility.OilGas" hidden="1">'Facility Information'!$C$22</definedName>
    <definedName name="I.Facility.ProductCount" hidden="1">'Facility Information'!$C$16</definedName>
    <definedName name="I.Gas.AssociatedGasEnergy" hidden="1">'Gas-to-Power Data'!$D$18:$D$67</definedName>
    <definedName name="I.Gas.C1E1" hidden="1">'Gas-to-Power Data'!$G$18:$G$67</definedName>
    <definedName name="I.Gas.C1E2" hidden="1">'Gas-to-Power Data'!$H$18:$H$67</definedName>
    <definedName name="I.Gas.C1E3" hidden="1">'Gas-to-Power Data'!$I$18:$I$67</definedName>
    <definedName name="I.Gas.Count" hidden="1">'Gas-to-Power Data'!$C$12</definedName>
    <definedName name="I.Gas.ElectricityGeneration" hidden="1">'Gas-to-Power Data'!$F$18:$F$67</definedName>
    <definedName name="I.Gas.TotalGasEnergy" hidden="1">'Gas-to-Power Data'!$E$18:$E$67</definedName>
    <definedName name="I.Product.P1Electricity" hidden="1">'Product Information'!$C$25</definedName>
    <definedName name="I.Product.P1Name" hidden="1">'Product Information'!$C$8</definedName>
    <definedName name="I.Product.P1OtherSector" hidden="1">'Product Information'!$E$11</definedName>
    <definedName name="I.Product.P1Sector" hidden="1">'Product Information'!$C$11</definedName>
    <definedName name="I.Product.P2Electricity" hidden="1">'Product Information'!$C$47</definedName>
    <definedName name="I.Product.P2Name" hidden="1">'Product Information'!$C$30</definedName>
    <definedName name="I.Product.P2OtherSector" hidden="1">'Product Information'!$E$33</definedName>
    <definedName name="I.Product.P2Sector" hidden="1">'Product Information'!$C$33</definedName>
    <definedName name="I.Product.P3Electricity" hidden="1">'Product Information'!$C$69</definedName>
    <definedName name="I.Product.P3Name" hidden="1">'Product Information'!$C$52</definedName>
    <definedName name="I.Product.P3OtherSector" hidden="1">'Product Information'!$E$55</definedName>
    <definedName name="I.Product.P3Sector" hidden="1">'Product Information'!$C$55</definedName>
    <definedName name="I.Product.P4Electricity" hidden="1">'Product Information'!$C$91</definedName>
    <definedName name="I.Product.P4Name" hidden="1">'Product Information'!$C$74</definedName>
    <definedName name="I.Product.P4OtherSector" hidden="1">'Product Information'!$E$77</definedName>
    <definedName name="I.Product.P4Sector" hidden="1">'Product Information'!$C$77</definedName>
    <definedName name="I.Product.P5Electricity" hidden="1">'Product Information'!$C$113</definedName>
    <definedName name="I.Product.P5Name" hidden="1">'Product Information'!$C$96</definedName>
    <definedName name="I.Product.P5OtherSector" hidden="1">'Product Information'!$E$99</definedName>
    <definedName name="I.Product.P5Sector" hidden="1">'Product Information'!$C$99</definedName>
    <definedName name="I.Production.P1C1" hidden="1">'Production Data'!$D$16:$D$18</definedName>
    <definedName name="I.Production.P1C2" hidden="1">'Production Data'!$D$22:$D$45</definedName>
    <definedName name="I.Production.P1C3" hidden="1">'Production Data'!$D$49:$D$69</definedName>
    <definedName name="I.Production.P1C4" hidden="1">'Production Data'!$D$73:$D$75</definedName>
    <definedName name="I.Production.P1C5" hidden="1">'Production Data'!$D$79:$D$81</definedName>
    <definedName name="I.Production.P1C6" hidden="1">'Production Data'!$D$85:$D$87</definedName>
    <definedName name="I.Production.P1C7" hidden="1">'Production Data'!$D$91:$D$93</definedName>
    <definedName name="I.Production.P1C8" hidden="1">'Production Data'!$D$97:$D$99</definedName>
    <definedName name="I.Production.P1C9" hidden="1">'Production Data'!$D$103:$D$105</definedName>
    <definedName name="I.Production.P1Quantity" hidden="1">'Production Data'!$D$12</definedName>
    <definedName name="I.Production.P1Units" hidden="1">'Production Data'!$E$12</definedName>
    <definedName name="I.Production.P2C1" hidden="1">'Production Data'!$D$118:$D$120</definedName>
    <definedName name="I.Production.P2C2" hidden="1">'Production Data'!$D$124:$D$147</definedName>
    <definedName name="I.Production.P2C3" hidden="1">'Production Data'!$D$151:$D$171</definedName>
    <definedName name="I.Production.P2C4" hidden="1">'Production Data'!$D$175:$D$177</definedName>
    <definedName name="I.Production.P2C5" hidden="1">'Production Data'!$D$181:$D$183</definedName>
    <definedName name="I.Production.P2C6" hidden="1">'Production Data'!$D$187:$D$189</definedName>
    <definedName name="I.Production.P2C7" hidden="1">'Production Data'!$D$193:$D$195</definedName>
    <definedName name="I.Production.P2C8" hidden="1">'Production Data'!$D$199:$D$201</definedName>
    <definedName name="I.Production.P2C9" hidden="1">'Production Data'!$D$205:$D$207</definedName>
    <definedName name="I.Production.P2Quantity" hidden="1">'Production Data'!$D$114</definedName>
    <definedName name="I.Production.P2Units" hidden="1">'Production Data'!$E$114</definedName>
    <definedName name="I.Production.P3C1" hidden="1">'Production Data'!$D$220:$D$222</definedName>
    <definedName name="I.Production.P3C2" hidden="1">'Production Data'!$D$226:$D$249</definedName>
    <definedName name="I.Production.P3C3" hidden="1">'Production Data'!$D$253:$D$273</definedName>
    <definedName name="I.Production.P3C4" hidden="1">'Production Data'!$D$277:$D$279</definedName>
    <definedName name="I.Production.P3C5" hidden="1">'Production Data'!$D$283:$D$285</definedName>
    <definedName name="I.Production.P3C6" hidden="1">'Production Data'!$D$289:$D$291</definedName>
    <definedName name="I.Production.P3C7" hidden="1">'Production Data'!$D$295:$D$297</definedName>
    <definedName name="I.Production.P3C8" hidden="1">'Production Data'!$D$301:$D$303</definedName>
    <definedName name="I.Production.P3C9" hidden="1">'Production Data'!$D$307:$D$309</definedName>
    <definedName name="I.Production.P3Quantity" hidden="1">'Production Data'!$D$216</definedName>
    <definedName name="I.Production.P3Units" hidden="1">'Production Data'!$E$216</definedName>
    <definedName name="I.Production.P4C1" hidden="1">'Production Data'!$D$322:$D$324</definedName>
    <definedName name="I.Production.P4C2" hidden="1">'Production Data'!$D$328:$D$351</definedName>
    <definedName name="I.Production.P4C3" hidden="1">'Production Data'!$D$355:$D$375</definedName>
    <definedName name="I.Production.P4C4" hidden="1">'Production Data'!$D$379:$D$381</definedName>
    <definedName name="I.Production.P4C5" hidden="1">'Production Data'!$D$385:$D$387</definedName>
    <definedName name="I.Production.P4C6" hidden="1">'Production Data'!$D$391:$D$393</definedName>
    <definedName name="I.Production.P4C7" hidden="1">'Production Data'!$D$397:$D$399</definedName>
    <definedName name="I.Production.P4C8" hidden="1">'Production Data'!$D$403:$D$405</definedName>
    <definedName name="I.Production.P4C9" hidden="1">'Production Data'!$D$409:$D$411</definedName>
    <definedName name="I.Production.P4Quantity" hidden="1">'Production Data'!$D$318</definedName>
    <definedName name="I.Production.P4Units" hidden="1">'Production Data'!$E$318</definedName>
    <definedName name="I.Production.P5C1" hidden="1">'Production Data'!$D$424:$D$426</definedName>
    <definedName name="I.Production.P5C2" hidden="1">'Production Data'!$D$430:$D$453</definedName>
    <definedName name="I.Production.P5C3" hidden="1">'Production Data'!$D$457:$D$477</definedName>
    <definedName name="I.Production.P5C4" hidden="1">'Production Data'!$D$481:$D$483</definedName>
    <definedName name="I.Production.P5C5" hidden="1">'Production Data'!$D$487:$D$489</definedName>
    <definedName name="I.Production.P5C6" hidden="1">'Production Data'!$D$493:$D$495</definedName>
    <definedName name="I.Production.P5C7" hidden="1">'Production Data'!$D$499:$D$501</definedName>
    <definedName name="I.Production.P5C8" hidden="1">'Production Data'!$D$505:$D$507</definedName>
    <definedName name="I.Production.P5C9" hidden="1">'Production Data'!$D$511:$D$513</definedName>
    <definedName name="I.Production.P5Quantity" hidden="1">'Production Data'!$D$420</definedName>
    <definedName name="I.Production.P5Units" hidden="1">'Production Data'!$E$420</definedName>
    <definedName name="Metres_drilled" hidden="1">'[1]Emissions return'!$G$971</definedName>
    <definedName name="P1_ASC_baseline_electricity_emissions" hidden="1">[1]Baseline!$G$505:$G$585</definedName>
    <definedName name="P1_ASC_baseline_industrial_emissions" hidden="1">[1]Baseline!$G$31:$G$111</definedName>
    <definedName name="P1_ASC_baseline_production" hidden="1">[1]Baseline!$G$28:$G$30</definedName>
    <definedName name="P1_ASC_baseline_years" hidden="1">[1]Baseline!$G$11</definedName>
    <definedName name="P1_electricity_emissions" hidden="1">'[1]Emissions return'!$G$341:$G$406</definedName>
    <definedName name="P1_industrial_emissions" hidden="1">'[1]Emissions return'!$G$7:$G$72</definedName>
    <definedName name="P1_production" hidden="1">'[1]Emissions return'!$G$6</definedName>
    <definedName name="P1_SFC_baseline_electricity_emissions" hidden="1">[1]Baseline!$G$496:$G$504</definedName>
    <definedName name="P1_SFC_baseline_industrial_emissions" hidden="1">[1]Baseline!$G$19:$G$27</definedName>
    <definedName name="P1_SFC_baseline_production" hidden="1">[1]Baseline!$G$16:$G$18</definedName>
    <definedName name="P1_SFC_baseline_years" hidden="1">[1]Baseline!$G$6</definedName>
    <definedName name="P2_ASC_baseline_electricity_emissions" hidden="1">[1]Baseline!$G$595:$G$675</definedName>
    <definedName name="P2_ASC_baseline_industrial_emissions" hidden="1">[1]Baseline!$G$127:$G$207</definedName>
    <definedName name="P2_ASC_baseline_production" hidden="1">[1]Baseline!$G$124:$G$126</definedName>
    <definedName name="P2_ASC_baseline_years" hidden="1">[1]Baseline!$G$12</definedName>
    <definedName name="P2_electricity_emissions" hidden="1">'[1]Emissions return'!$G$407:$G$472</definedName>
    <definedName name="P2_industrial_emissions" hidden="1">'[1]Emissions return'!$G$74:$G$139</definedName>
    <definedName name="P2_production" hidden="1">'[1]Emissions return'!$G$73</definedName>
    <definedName name="P2_SFC_baseline_electricity_emissions" hidden="1">[1]Baseline!$G$586:$G$594</definedName>
    <definedName name="P2_SFC_baseline_industrial_emissions" hidden="1">[1]Baseline!$G$115:$G$123</definedName>
    <definedName name="P2_SFC_baseline_production" hidden="1">[1]Baseline!$G$112:$G$114</definedName>
    <definedName name="P2_SFC_baseline_years" hidden="1">[1]Baseline!$G$7</definedName>
    <definedName name="P3_ASC_baseline_electricity_emissions" hidden="1">[1]Baseline!$G$685:$G$765</definedName>
    <definedName name="P3_ASC_baseline_industrial_emissions" hidden="1">[1]Baseline!$G$223:$G$303</definedName>
    <definedName name="P3_ASC_baseline_production" hidden="1">[1]Baseline!$G$220:$G$222</definedName>
    <definedName name="P3_ASC_baseline_years" hidden="1">[1]Baseline!$G$13</definedName>
    <definedName name="P3_electricity_emissions" hidden="1">'[1]Emissions return'!$G$473:$G$538</definedName>
    <definedName name="P3_industrial_emissions" hidden="1">'[1]Emissions return'!$G$141:$G$206</definedName>
    <definedName name="P3_production" hidden="1">'[1]Emissions return'!$G$140</definedName>
    <definedName name="P3_SFC_baseline_electricity_emissions" hidden="1">[1]Baseline!$G$676:$G$684</definedName>
    <definedName name="P3_SFC_baseline_industrial_emissions" hidden="1">[1]Baseline!$G$211:$G$219</definedName>
    <definedName name="P3_SFC_baseline_production" hidden="1">[1]Baseline!$G$208:$G$210</definedName>
    <definedName name="P3_SFC_baseline_years" hidden="1">[1]Baseline!$G$8</definedName>
    <definedName name="P4_ASC_baseline_electricity_emissions" hidden="1">[1]Baseline!$G$775:$G$855</definedName>
    <definedName name="P4_ASC_baseline_industrial_emissions" hidden="1">[1]Baseline!$G$319:$G$399</definedName>
    <definedName name="P4_ASC_baseline_production" hidden="1">[1]Baseline!$G$316:$G$318</definedName>
    <definedName name="P4_ASC_baseline_years" hidden="1">[1]Baseline!$G$14</definedName>
    <definedName name="P4_electricity_emissions" hidden="1">'[1]Emissions return'!$G$539:$G$604</definedName>
    <definedName name="P4_industrial_emissions" hidden="1">'[1]Emissions return'!$G$208:$G$273</definedName>
    <definedName name="P4_production" hidden="1">'[1]Emissions return'!$G$207</definedName>
    <definedName name="P4_SFC_baseline_electricity_emissions" hidden="1">[1]Baseline!$G$766:$G$774</definedName>
    <definedName name="P4_SFC_baseline_industrial_emissions" hidden="1">[1]Baseline!$G$307:$G$315</definedName>
    <definedName name="P4_SFC_baseline_production" hidden="1">[1]Baseline!$G$304:$G$306</definedName>
    <definedName name="P4_SFC_baseline_years" hidden="1">[1]Baseline!$G$9</definedName>
    <definedName name="P5_ASC_baseline_electricity_emissions" hidden="1">[1]Baseline!$G$865:$G$945</definedName>
    <definedName name="P5_ASC_baseline_industrial_emissions" hidden="1">[1]Baseline!$G$415:$G$495</definedName>
    <definedName name="P5_ASC_baseline_production" hidden="1">[1]Baseline!$G$412:$G$414</definedName>
    <definedName name="P5_ASC_baseline_years" hidden="1">[1]Baseline!$G$15</definedName>
    <definedName name="P5_electricity_emissions" hidden="1">'[1]Emissions return'!$G$605:$G$670</definedName>
    <definedName name="P5_industrial_emissions" hidden="1">'[1]Emissions return'!$G$275:$G$340</definedName>
    <definedName name="P5_production" hidden="1">'[1]Emissions return'!$G$274</definedName>
    <definedName name="P5_SFC_baseline_electricity_emissions" hidden="1">[1]Baseline!$G$856:$G$864</definedName>
    <definedName name="P5_SFC_baseline_industrial_emissions" hidden="1">[1]Baseline!$G$403:$G$411</definedName>
    <definedName name="P5_SFC_baseline_production" hidden="1">[1]Baseline!$G$400:$G$402</definedName>
    <definedName name="P5_SFC_baseline_years" hidden="1">[1]Baseline!$G$10</definedName>
    <definedName name="R.Appendix.PrintArea" hidden="1">Appendix!$B$1:$F$38</definedName>
    <definedName name="R.Compliance.Notification" hidden="1">Compliance!$C$140</definedName>
    <definedName name="R.Compliance.PrintArea" hidden="1">Compliance!$B$1:$F$142</definedName>
    <definedName name="R.Compliance.Timestamp" hidden="1">Compliance!$C$136</definedName>
    <definedName name="R.Declaration.FormName" hidden="1">Declaration!$C$33</definedName>
    <definedName name="R.Declaration.Notification" hidden="1">Declaration!$C$36</definedName>
    <definedName name="R.Declaration.PrintArea" hidden="1">Declaration!$B$1:$G$38</definedName>
    <definedName name="R.Declaration.Timestamp" hidden="1">Declaration!$C$31</definedName>
    <definedName name="R.Drilling.Notification" hidden="1">'Drilling Data'!$C$20</definedName>
    <definedName name="R.Drilling.PrintArea" hidden="1">'Drilling Data'!$B$1:$F$22</definedName>
    <definedName name="R.Drilling.Timestamp" hidden="1">'Drilling Data'!$C$16</definedName>
    <definedName name="R.Electricity.Notification" hidden="1">'Electricity Data'!$C$502</definedName>
    <definedName name="R.Electricity.PrintArea" hidden="1">'Electricity Data'!$B$1:$F$504</definedName>
    <definedName name="R.Electricity.Timestamp" hidden="1">'Electricity Data'!$C$498</definedName>
    <definedName name="R.Facility.IDNumberRowNumber" hidden="1">'Facility Information'!$C$32:$C$531</definedName>
    <definedName name="R.Facility.Notification" hidden="1">'Facility Information'!$C$537</definedName>
    <definedName name="R.Facility.PrintArea" hidden="1">'Facility Information'!$B$1:$G$539</definedName>
    <definedName name="R.Facility.Timestamp" hidden="1">'Facility Information'!$C$533</definedName>
    <definedName name="R.Gas.Notification" hidden="1">'Gas-to-Power Data'!$C$73</definedName>
    <definedName name="R.Gas.PrintArea" hidden="1">'Gas-to-Power Data'!$B$1:$J$75</definedName>
    <definedName name="R.Gas.RowNumber" hidden="1">'Gas-to-Power Data'!$C$18:$C$67</definedName>
    <definedName name="R.Gas.Timestamp" hidden="1">'Gas-to-Power Data'!$C$69</definedName>
    <definedName name="R.Instructions.PrintArea" hidden="1">Instructions!$B$1:$F$80</definedName>
    <definedName name="R.Instructions.VersionDate" hidden="1">Instructions!$E$80</definedName>
    <definedName name="R.Instructions.VersionNumber" hidden="1">Instructions!$C$80</definedName>
    <definedName name="R.Product.Dropdown" hidden="1">Developer!$P$36:$P$50</definedName>
    <definedName name="R.Product.Notification" hidden="1">'Product Information'!$C$119</definedName>
    <definedName name="R.Product.PrintArea" hidden="1">'Product Information'!$B$1:$F$121</definedName>
    <definedName name="R.Product.Timestamp" hidden="1">'Product Information'!$C$115</definedName>
    <definedName name="R.Production.Notification" hidden="1">'Production Data'!$C$519</definedName>
    <definedName name="R.Production.PrintArea" hidden="1">'Production Data'!$B$1:$F$521</definedName>
    <definedName name="R.Production.Timestamp" hidden="1">'Production Data'!$C$515</definedName>
    <definedName name="S.Compliance.Drilling" hidden="1">Compliance!$B$121:$F$127</definedName>
    <definedName name="S.Compliance.GasToPower" hidden="1">Compliance!$B$110:$F$120</definedName>
    <definedName name="S.Compliance.P1" hidden="1">Compliance!$B$10:$F$29</definedName>
    <definedName name="S.Compliance.P1C2" hidden="1">Compliance!$B$25:$F$26</definedName>
    <definedName name="S.Compliance.P1IPEmissions" hidden="1">Compliance!$B$15:$F$17</definedName>
    <definedName name="S.Compliance.P2" hidden="1">Compliance!$B$30:$F$49</definedName>
    <definedName name="S.Compliance.P2C2" hidden="1">Compliance!$B$45:$F$46</definedName>
    <definedName name="S.Compliance.P2IPEmissions" hidden="1">Compliance!$B$35:$F$37</definedName>
    <definedName name="S.Compliance.P3" hidden="1">Compliance!$B$50:$F$69</definedName>
    <definedName name="S.Compliance.P3C2" hidden="1">Compliance!$B$65:$F$66</definedName>
    <definedName name="S.Compliance.P3IPEmissions" hidden="1">Compliance!$B$55:$F$57</definedName>
    <definedName name="S.Compliance.P4" hidden="1">Compliance!$B$70:$F$89</definedName>
    <definedName name="S.Compliance.P4C2" hidden="1">Compliance!$B$85:$F$86</definedName>
    <definedName name="S.Compliance.P4IPEmissions" hidden="1">Compliance!$B$75:$F$77</definedName>
    <definedName name="S.Compliance.P5" hidden="1">Compliance!$B$90:$F$109</definedName>
    <definedName name="S.Compliance.P5C2" hidden="1">Compliance!$B$105:$F$106</definedName>
    <definedName name="S.Compliance.P5IPEmissions" hidden="1">Compliance!$B$95:$F$97</definedName>
    <definedName name="S.Developer.Inputs" hidden="1">Developer!$B$4:$I$1592</definedName>
    <definedName name="S.Developer.LastEntry" hidden="1">Developer!$E$4:$E$1592</definedName>
    <definedName name="S.Developer.Lookups" hidden="1">Developer!$S$4:$T$215</definedName>
    <definedName name="S.Developer.Ranges" hidden="1">Developer!$N$4:$Q$50</definedName>
    <definedName name="S.Developer.Sections" hidden="1">Developer!$K$4:$L$135</definedName>
    <definedName name="S.Drilling.P" hidden="1">'Drilling Data'!$B$5:$F$14</definedName>
    <definedName name="S.Drilling.PC1" hidden="1">'Drilling Data'!$B$10:$F$15</definedName>
    <definedName name="S.Electricity.P1" hidden="1">'Electricity Data'!$B$8:$F$105</definedName>
    <definedName name="S.Electricity.P1C1" hidden="1">'Electricity Data'!$B$13:$F$18</definedName>
    <definedName name="S.Electricity.P1C2" hidden="1">'Electricity Data'!$B$19:$F$45</definedName>
    <definedName name="S.Electricity.P1C3" hidden="1">'Electricity Data'!$B$46:$F$69</definedName>
    <definedName name="S.Electricity.P1C4" hidden="1">'Electricity Data'!$B$70:$F$75</definedName>
    <definedName name="S.Electricity.P1C5" hidden="1">'Electricity Data'!$B$76:$F$81</definedName>
    <definedName name="S.Electricity.P1C6" hidden="1">'Electricity Data'!$B$82:$F$87</definedName>
    <definedName name="S.Electricity.P1C7" hidden="1">'Electricity Data'!$B$88:$F$93</definedName>
    <definedName name="S.Electricity.P1C8" hidden="1">'Electricity Data'!$B$94:$F$99</definedName>
    <definedName name="S.Electricity.P1C9" hidden="1">'Electricity Data'!$B$100:$F$105</definedName>
    <definedName name="S.Electricity.P2" hidden="1">'Electricity Data'!$B$106:$F$203</definedName>
    <definedName name="S.Electricity.P2C1" hidden="1">'Electricity Data'!$B$111:$F$116</definedName>
    <definedName name="S.Electricity.P2C2" hidden="1">'Electricity Data'!$B$117:$F$143</definedName>
    <definedName name="S.Electricity.P2C3" hidden="1">'Electricity Data'!$B$144:$F$167</definedName>
    <definedName name="S.Electricity.P2C4" hidden="1">'Electricity Data'!$B$168:$F$173</definedName>
    <definedName name="S.Electricity.P2C5" hidden="1">'Electricity Data'!$B$174:$F$179</definedName>
    <definedName name="S.Electricity.P2C6" hidden="1">'Electricity Data'!$B$180:$F$185</definedName>
    <definedName name="S.Electricity.P2C7" hidden="1">'Electricity Data'!$B$186:$F$191</definedName>
    <definedName name="S.Electricity.P2C8" hidden="1">'Electricity Data'!$B$192:$F$197</definedName>
    <definedName name="S.Electricity.P2C9" hidden="1">'Electricity Data'!$B$198:$F$203</definedName>
    <definedName name="S.Electricity.P3" hidden="1">'Electricity Data'!$B$204:$F$301</definedName>
    <definedName name="S.Electricity.P3C1" hidden="1">'Electricity Data'!$B$209:$F$214</definedName>
    <definedName name="S.Electricity.P3C2" hidden="1">'Electricity Data'!$B$215:$F$241</definedName>
    <definedName name="S.Electricity.P3C3" hidden="1">'Electricity Data'!$B$242:$F$265</definedName>
    <definedName name="S.Electricity.P3C4" hidden="1">'Electricity Data'!$B$266:$F$271</definedName>
    <definedName name="S.Electricity.P3C5" hidden="1">'Electricity Data'!$B$272:$F$277</definedName>
    <definedName name="S.Electricity.P3C6" hidden="1">'Electricity Data'!$B$278:$F$283</definedName>
    <definedName name="S.Electricity.P3C7" hidden="1">'Electricity Data'!$B$284:$F$289</definedName>
    <definedName name="S.Electricity.P3C8" hidden="1">'Electricity Data'!$B$290:$F$295</definedName>
    <definedName name="S.Electricity.P3C9" hidden="1">'Electricity Data'!$B$296:$F$301</definedName>
    <definedName name="S.Electricity.P4" hidden="1">'Electricity Data'!$B$302:$F$399</definedName>
    <definedName name="S.Electricity.P4C1" hidden="1">'Electricity Data'!$B$307:$F$312</definedName>
    <definedName name="S.Electricity.P4C2" hidden="1">'Electricity Data'!$B$313:$F$339</definedName>
    <definedName name="S.Electricity.P4C3" hidden="1">'Electricity Data'!$B$340:$F$363</definedName>
    <definedName name="S.Electricity.P4C4" hidden="1">'Electricity Data'!$B$364:$F$369</definedName>
    <definedName name="S.Electricity.P4C5" hidden="1">'Electricity Data'!$B$370:$F$375</definedName>
    <definedName name="S.Electricity.P4C6" hidden="1">'Electricity Data'!$B$376:$F$381</definedName>
    <definedName name="S.Electricity.P4C7" hidden="1">'Electricity Data'!$B$382:$F$387</definedName>
    <definedName name="S.Electricity.P4C8" hidden="1">'Electricity Data'!$B$388:$F$393</definedName>
    <definedName name="S.Electricity.P4C9" hidden="1">'Electricity Data'!$B$394:$F$399</definedName>
    <definedName name="S.Electricity.P5" hidden="1">'Electricity Data'!$B$400:$F$497</definedName>
    <definedName name="S.Electricity.P5C1" hidden="1">'Electricity Data'!$B$405:$F$410</definedName>
    <definedName name="S.Electricity.P5C2" hidden="1">'Electricity Data'!$B$411:$F$437</definedName>
    <definedName name="S.Electricity.P5C3" hidden="1">'Electricity Data'!$B$438:$F$461</definedName>
    <definedName name="S.Electricity.P5C4" hidden="1">'Electricity Data'!$B$462:$F$467</definedName>
    <definedName name="S.Electricity.P5C5" hidden="1">'Electricity Data'!$B$468:$F$473</definedName>
    <definedName name="S.Electricity.P5C6" hidden="1">'Electricity Data'!$B$474:$F$479</definedName>
    <definedName name="S.Electricity.P5C7" hidden="1">'Electricity Data'!$B$480:$F$485</definedName>
    <definedName name="S.Electricity.P5C8" hidden="1">'Electricity Data'!$B$486:$F$491</definedName>
    <definedName name="S.Electricity.P5C9" hidden="1">'Electricity Data'!$B$492:$F$497</definedName>
    <definedName name="S.Facility.OilGas" hidden="1">'Facility Information'!$B$23:$G$531</definedName>
    <definedName name="S.Gas.P" hidden="1">'Gas-to-Power Data'!$B$7:$J$67</definedName>
    <definedName name="S.Gas.Table1" hidden="1">'Gas-to-Power Data'!$D$18:$I$67</definedName>
    <definedName name="S.Product.P1" hidden="1">'Product Information'!$B$5:$F$26</definedName>
    <definedName name="S.Product.P2" hidden="1">'Product Information'!$B$27:$F$48</definedName>
    <definedName name="S.Product.P3" hidden="1">'Product Information'!$B$49:$F$70</definedName>
    <definedName name="S.Product.P4" hidden="1">'Product Information'!$B$71:$F$92</definedName>
    <definedName name="S.Product.P5" hidden="1">'Product Information'!$B$93:$F$114</definedName>
    <definedName name="S.Production.P1" hidden="1">'Production Data'!$B$5:$F$106</definedName>
    <definedName name="S.Production.P1C1" hidden="1">'Production Data'!$B$14:$F$19</definedName>
    <definedName name="S.Production.P1C2" hidden="1">'Production Data'!$B$20:$F$46</definedName>
    <definedName name="S.Production.P1C3" hidden="1">'Production Data'!$B$47:$F$70</definedName>
    <definedName name="S.Production.P1C4" hidden="1">'Production Data'!$B$71:$F$76</definedName>
    <definedName name="S.Production.P1C5" hidden="1">'Production Data'!$B$77:$F$82</definedName>
    <definedName name="S.Production.P1C6" hidden="1">'Production Data'!$B$83:$F$88</definedName>
    <definedName name="S.Production.P1C7" hidden="1">'Production Data'!$B$89:$F$94</definedName>
    <definedName name="S.Production.P1C8" hidden="1">'Production Data'!$B$95:$F$100</definedName>
    <definedName name="S.Production.P1C9" hidden="1">'Production Data'!$B$101:$F$106</definedName>
    <definedName name="S.Production.P2" hidden="1">'Production Data'!$B$107:$F$208</definedName>
    <definedName name="S.Production.P2C1" hidden="1">'Production Data'!$B$116:$F$121</definedName>
    <definedName name="S.Production.P2C2" hidden="1">'Production Data'!$B$122:$F$148</definedName>
    <definedName name="S.Production.P2C3" hidden="1">'Production Data'!$B$149:$F$172</definedName>
    <definedName name="S.Production.P2C4" hidden="1">'Production Data'!$B$173:$F$178</definedName>
    <definedName name="S.Production.P2C5" hidden="1">'Production Data'!$B$179:$F$184</definedName>
    <definedName name="S.Production.P2C6" hidden="1">'Production Data'!$B$185:$F$190</definedName>
    <definedName name="S.Production.P2C7" hidden="1">'Production Data'!$B$191:$F$196</definedName>
    <definedName name="S.Production.P2C8" hidden="1">'Production Data'!$B$197:$F$202</definedName>
    <definedName name="S.Production.P2C9" hidden="1">'Production Data'!$B$203:$F$208</definedName>
    <definedName name="S.Production.P3" hidden="1">'Production Data'!$B$209:$F$310</definedName>
    <definedName name="S.Production.P3C1" hidden="1">'Production Data'!$B$218:$F$223</definedName>
    <definedName name="S.Production.P3C2" hidden="1">'Production Data'!$B$224:$F$250</definedName>
    <definedName name="S.Production.P3C3" hidden="1">'Production Data'!$B$251:$F$274</definedName>
    <definedName name="S.Production.P3C4" hidden="1">'Production Data'!$B$275:$F$280</definedName>
    <definedName name="S.Production.P3C5" hidden="1">'Production Data'!$B$281:$F$286</definedName>
    <definedName name="S.Production.P3C6" hidden="1">'Production Data'!$B$287:$F$292</definedName>
    <definedName name="S.Production.P3C7" hidden="1">'Production Data'!$B$293:$F$298</definedName>
    <definedName name="S.Production.P3C8" hidden="1">'Production Data'!$B$299:$F$304</definedName>
    <definedName name="S.Production.P3C9" hidden="1">'Production Data'!$B$305:$F$310</definedName>
    <definedName name="S.Production.P4" hidden="1">'Production Data'!$B$311:$F$412</definedName>
    <definedName name="S.Production.P4C1" hidden="1">'Production Data'!$B$320:$F$325</definedName>
    <definedName name="S.Production.P4C2" hidden="1">'Production Data'!$B$326:$F$352</definedName>
    <definedName name="S.Production.P4C3" hidden="1">'Production Data'!$B$353:$F$376</definedName>
    <definedName name="S.Production.P4C4" hidden="1">'Production Data'!$B$377:$F$382</definedName>
    <definedName name="S.Production.P4C5" hidden="1">'Production Data'!$B$383:$F$388</definedName>
    <definedName name="S.Production.P4C6" hidden="1">'Production Data'!$B$389:$F$394</definedName>
    <definedName name="S.Production.P4C7" hidden="1">'Production Data'!$B$395:$F$400</definedName>
    <definedName name="S.Production.P4C8" hidden="1">'Production Data'!$B$401:$F$406</definedName>
    <definedName name="S.Production.P4C9" hidden="1">'Production Data'!$B$407:$F$412</definedName>
    <definedName name="S.Production.P5" hidden="1">'Production Data'!$B$413:$F$514</definedName>
    <definedName name="S.Production.P5C1" hidden="1">'Production Data'!$B$422:$F$427</definedName>
    <definedName name="S.Production.P5C2" hidden="1">'Production Data'!$B$428:$F$454</definedName>
    <definedName name="S.Production.P5C3" hidden="1">'Production Data'!$B$455:$F$478</definedName>
    <definedName name="S.Production.P5C4" hidden="1">'Production Data'!$B$479:$F$484</definedName>
    <definedName name="S.Production.P5C5" hidden="1">'Production Data'!$B$485:$F$490</definedName>
    <definedName name="S.Production.P5C6" hidden="1">'Production Data'!$B$491:$F$496</definedName>
    <definedName name="S.Production.P5C7" hidden="1">'Production Data'!$B$497:$F$502</definedName>
    <definedName name="S.Production.P5C8" hidden="1">'Production Data'!$B$503:$F$508</definedName>
    <definedName name="S.Production.P5C9" hidden="1">'Production Data'!$B$509:$F$514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10" i="4" l="1"/>
  <c r="D504" i="4"/>
  <c r="D498" i="4"/>
  <c r="D492" i="4"/>
  <c r="D486" i="4"/>
  <c r="D480" i="4"/>
  <c r="D456" i="4"/>
  <c r="D429" i="4"/>
  <c r="D423" i="4"/>
  <c r="D419" i="4"/>
  <c r="C416" i="4"/>
  <c r="D408" i="4"/>
  <c r="D402" i="4"/>
  <c r="D396" i="4"/>
  <c r="D390" i="4"/>
  <c r="D384" i="4"/>
  <c r="D378" i="4"/>
  <c r="D354" i="4"/>
  <c r="D327" i="4"/>
  <c r="D321" i="4"/>
  <c r="D317" i="4"/>
  <c r="C314" i="4"/>
  <c r="D306" i="4"/>
  <c r="D300" i="4"/>
  <c r="D294" i="4"/>
  <c r="D288" i="4"/>
  <c r="D282" i="4"/>
  <c r="D276" i="4"/>
  <c r="D252" i="4"/>
  <c r="D225" i="4"/>
  <c r="D219" i="4"/>
  <c r="D215" i="4"/>
  <c r="C212" i="4"/>
  <c r="D204" i="4"/>
  <c r="D198" i="4"/>
  <c r="D192" i="4"/>
  <c r="D186" i="4"/>
  <c r="D180" i="4"/>
  <c r="D174" i="4"/>
  <c r="D150" i="4"/>
  <c r="D123" i="4"/>
  <c r="D117" i="4"/>
  <c r="D113" i="4"/>
  <c r="C110" i="4"/>
  <c r="D102" i="4"/>
  <c r="D96" i="4"/>
  <c r="D90" i="4"/>
  <c r="D84" i="4"/>
  <c r="D78" i="4"/>
  <c r="D72" i="4"/>
  <c r="D48" i="4"/>
  <c r="D21" i="4"/>
  <c r="D15" i="4"/>
  <c r="D11" i="4"/>
  <c r="C8" i="4"/>
  <c r="C9" i="6"/>
  <c r="D493" i="5"/>
  <c r="D487" i="5"/>
  <c r="D481" i="5"/>
  <c r="D475" i="5"/>
  <c r="D469" i="5"/>
  <c r="D463" i="5"/>
  <c r="D439" i="5"/>
  <c r="D412" i="5"/>
  <c r="D406" i="5"/>
  <c r="C403" i="5"/>
  <c r="D395" i="5"/>
  <c r="D389" i="5"/>
  <c r="D383" i="5"/>
  <c r="D377" i="5"/>
  <c r="D371" i="5"/>
  <c r="D365" i="5"/>
  <c r="D341" i="5"/>
  <c r="D314" i="5"/>
  <c r="D308" i="5"/>
  <c r="C305" i="5"/>
  <c r="D297" i="5"/>
  <c r="D291" i="5"/>
  <c r="D285" i="5"/>
  <c r="D279" i="5"/>
  <c r="D273" i="5"/>
  <c r="D267" i="5"/>
  <c r="D243" i="5"/>
  <c r="D216" i="5"/>
  <c r="D210" i="5"/>
  <c r="C207" i="5"/>
  <c r="D199" i="5"/>
  <c r="D193" i="5"/>
  <c r="D187" i="5"/>
  <c r="D181" i="5"/>
  <c r="D175" i="5"/>
  <c r="D169" i="5"/>
  <c r="D145" i="5"/>
  <c r="D118" i="5"/>
  <c r="D112" i="5"/>
  <c r="C109" i="5"/>
  <c r="D101" i="5"/>
  <c r="D95" i="5"/>
  <c r="D89" i="5"/>
  <c r="D83" i="5"/>
  <c r="D77" i="5"/>
  <c r="D71" i="5"/>
  <c r="D47" i="5"/>
  <c r="D20" i="5"/>
  <c r="D14" i="5"/>
  <c r="C11" i="5"/>
  <c r="D11" i="7"/>
  <c r="D7" i="7"/>
  <c r="F7" i="9"/>
  <c r="C7" i="9"/>
  <c r="D125" i="12"/>
  <c r="D124" i="12"/>
  <c r="D117" i="12"/>
  <c r="D119" i="12" s="1"/>
  <c r="D114" i="12"/>
  <c r="D115" i="12" s="1"/>
  <c r="D113" i="12" a="1"/>
  <c r="D113" i="12" s="1"/>
  <c r="D104" i="12"/>
  <c r="D108" i="12" s="1"/>
  <c r="D101" i="12"/>
  <c r="D100" i="12"/>
  <c r="D99" i="12"/>
  <c r="C93" i="12"/>
  <c r="D84" i="12"/>
  <c r="D88" i="12" s="1"/>
  <c r="D81" i="12"/>
  <c r="D80" i="12"/>
  <c r="D79" i="12"/>
  <c r="C73" i="12"/>
  <c r="D64" i="12"/>
  <c r="D68" i="12" s="1"/>
  <c r="D61" i="12"/>
  <c r="D60" i="12"/>
  <c r="D62" i="12" s="1"/>
  <c r="D59" i="12"/>
  <c r="C53" i="12"/>
  <c r="D44" i="12"/>
  <c r="D48" i="12" s="1"/>
  <c r="D41" i="12"/>
  <c r="D40" i="12"/>
  <c r="D39" i="12"/>
  <c r="C33" i="12"/>
  <c r="D24" i="12"/>
  <c r="D28" i="12" s="1"/>
  <c r="D21" i="12"/>
  <c r="D20" i="12"/>
  <c r="D19" i="12"/>
  <c r="C13" i="12"/>
  <c r="P5" i="11"/>
  <c r="P6" i="11"/>
  <c r="P9" i="11"/>
  <c r="P12" i="11"/>
  <c r="P15" i="11"/>
  <c r="P18" i="11"/>
  <c r="P22" i="11"/>
  <c r="P25" i="11"/>
  <c r="P28" i="11"/>
  <c r="P31" i="11"/>
  <c r="F4" i="11"/>
  <c r="H4" i="11"/>
  <c r="C537" i="2" s="1"/>
  <c r="P10" i="11" s="1"/>
  <c r="F5" i="11"/>
  <c r="H5" i="11"/>
  <c r="F6" i="11"/>
  <c r="H6" i="11"/>
  <c r="F7" i="11"/>
  <c r="H7" i="11"/>
  <c r="F8" i="11"/>
  <c r="H8" i="11"/>
  <c r="F9" i="11"/>
  <c r="H9" i="11"/>
  <c r="F10" i="11"/>
  <c r="H10" i="11"/>
  <c r="F11" i="11"/>
  <c r="H11" i="11"/>
  <c r="F12" i="11"/>
  <c r="H12" i="11"/>
  <c r="F13" i="11"/>
  <c r="H13" i="11" s="1"/>
  <c r="F14" i="11"/>
  <c r="H14" i="11" s="1"/>
  <c r="F15" i="11"/>
  <c r="H15" i="11" s="1"/>
  <c r="F16" i="11"/>
  <c r="H16" i="11" s="1"/>
  <c r="F17" i="11"/>
  <c r="H17" i="11" s="1"/>
  <c r="F18" i="11"/>
  <c r="H18" i="11" s="1"/>
  <c r="F19" i="11"/>
  <c r="H19" i="11" s="1"/>
  <c r="F20" i="11"/>
  <c r="H20" i="11" s="1"/>
  <c r="F21" i="11"/>
  <c r="H21" i="11" s="1"/>
  <c r="F22" i="11"/>
  <c r="H22" i="11" s="1"/>
  <c r="F23" i="11"/>
  <c r="H23" i="11" s="1"/>
  <c r="F24" i="11"/>
  <c r="H24" i="11" s="1"/>
  <c r="F25" i="11"/>
  <c r="H25" i="11" s="1"/>
  <c r="F26" i="11"/>
  <c r="H26" i="11" s="1"/>
  <c r="F27" i="11"/>
  <c r="H27" i="11" s="1"/>
  <c r="F28" i="11"/>
  <c r="H28" i="11" s="1"/>
  <c r="F29" i="11"/>
  <c r="H29" i="11" s="1"/>
  <c r="F30" i="11"/>
  <c r="H30" i="11" s="1"/>
  <c r="F31" i="11"/>
  <c r="H31" i="11" s="1"/>
  <c r="F32" i="11"/>
  <c r="H32" i="11" s="1"/>
  <c r="F33" i="11"/>
  <c r="H33" i="11" s="1"/>
  <c r="F34" i="11"/>
  <c r="H34" i="11" s="1"/>
  <c r="F35" i="11"/>
  <c r="H35" i="11" s="1"/>
  <c r="F36" i="11"/>
  <c r="H36" i="11" s="1"/>
  <c r="F37" i="11"/>
  <c r="H37" i="11" s="1"/>
  <c r="F38" i="11"/>
  <c r="H38" i="11" s="1"/>
  <c r="F39" i="11"/>
  <c r="H39" i="11" s="1"/>
  <c r="F40" i="11"/>
  <c r="H40" i="11" s="1"/>
  <c r="F41" i="11"/>
  <c r="H41" i="11" s="1"/>
  <c r="F42" i="11"/>
  <c r="H42" i="11" s="1"/>
  <c r="F43" i="11"/>
  <c r="H43" i="11" s="1"/>
  <c r="F44" i="11"/>
  <c r="H44" i="11" s="1"/>
  <c r="F45" i="11"/>
  <c r="H45" i="11" s="1"/>
  <c r="F46" i="11"/>
  <c r="H46" i="11" s="1"/>
  <c r="F47" i="11"/>
  <c r="H47" i="11" s="1"/>
  <c r="F48" i="11"/>
  <c r="H48" i="11" s="1"/>
  <c r="F49" i="11"/>
  <c r="H49" i="11" s="1"/>
  <c r="F50" i="11"/>
  <c r="H50" i="11" s="1"/>
  <c r="F51" i="11"/>
  <c r="H51" i="11" s="1"/>
  <c r="F52" i="11"/>
  <c r="H52" i="11" s="1"/>
  <c r="F53" i="11"/>
  <c r="H53" i="11" s="1"/>
  <c r="F54" i="11"/>
  <c r="H54" i="11" s="1"/>
  <c r="F55" i="11"/>
  <c r="H55" i="11" s="1"/>
  <c r="F56" i="11"/>
  <c r="H56" i="11" s="1"/>
  <c r="F57" i="11"/>
  <c r="H57" i="11" s="1"/>
  <c r="F58" i="11"/>
  <c r="H58" i="11" s="1"/>
  <c r="F59" i="11"/>
  <c r="H59" i="11" s="1"/>
  <c r="F60" i="11"/>
  <c r="H60" i="11" s="1"/>
  <c r="F61" i="11"/>
  <c r="H61" i="11" s="1"/>
  <c r="F62" i="11"/>
  <c r="H62" i="11" s="1"/>
  <c r="F63" i="11"/>
  <c r="H63" i="11" s="1"/>
  <c r="F64" i="11"/>
  <c r="H64" i="11" s="1"/>
  <c r="F65" i="11"/>
  <c r="H65" i="11" s="1"/>
  <c r="F66" i="11"/>
  <c r="H66" i="11" s="1"/>
  <c r="F67" i="11"/>
  <c r="H67" i="11" s="1"/>
  <c r="F68" i="11"/>
  <c r="H68" i="11" s="1"/>
  <c r="F69" i="11"/>
  <c r="H69" i="11" s="1"/>
  <c r="F70" i="11"/>
  <c r="H70" i="11" s="1"/>
  <c r="F71" i="11"/>
  <c r="H71" i="11" s="1"/>
  <c r="F72" i="11"/>
  <c r="H72" i="11" s="1"/>
  <c r="F73" i="11"/>
  <c r="H73" i="11" s="1"/>
  <c r="F74" i="11"/>
  <c r="H74" i="11" s="1"/>
  <c r="F75" i="11"/>
  <c r="H75" i="11" s="1"/>
  <c r="F76" i="11"/>
  <c r="H76" i="11" s="1"/>
  <c r="F77" i="11"/>
  <c r="H77" i="11" s="1"/>
  <c r="F78" i="11"/>
  <c r="H78" i="11" s="1"/>
  <c r="F79" i="11"/>
  <c r="H79" i="11" s="1"/>
  <c r="F80" i="11"/>
  <c r="H80" i="11" s="1"/>
  <c r="F81" i="11"/>
  <c r="H81" i="11" s="1"/>
  <c r="F82" i="11"/>
  <c r="H82" i="11" s="1"/>
  <c r="F83" i="11"/>
  <c r="H83" i="11" s="1"/>
  <c r="F84" i="11"/>
  <c r="H84" i="11" s="1"/>
  <c r="F85" i="11"/>
  <c r="H85" i="11" s="1"/>
  <c r="F86" i="11"/>
  <c r="H86" i="11" s="1"/>
  <c r="F87" i="11"/>
  <c r="H87" i="11" s="1"/>
  <c r="F88" i="11"/>
  <c r="H88" i="11" s="1"/>
  <c r="F89" i="11"/>
  <c r="H89" i="11" s="1"/>
  <c r="F90" i="11"/>
  <c r="H90" i="11" s="1"/>
  <c r="F91" i="11"/>
  <c r="H91" i="11" s="1"/>
  <c r="F92" i="11"/>
  <c r="H92" i="11" s="1"/>
  <c r="F93" i="11"/>
  <c r="H93" i="11" s="1"/>
  <c r="F94" i="11"/>
  <c r="H94" i="11" s="1"/>
  <c r="F95" i="11"/>
  <c r="H95" i="11" s="1"/>
  <c r="F96" i="11"/>
  <c r="H96" i="11" s="1"/>
  <c r="F97" i="11"/>
  <c r="H97" i="11" s="1"/>
  <c r="F98" i="11"/>
  <c r="H98" i="11" s="1"/>
  <c r="F99" i="11"/>
  <c r="H99" i="11" s="1"/>
  <c r="F100" i="11"/>
  <c r="H100" i="11" s="1"/>
  <c r="F101" i="11"/>
  <c r="H101" i="11" s="1"/>
  <c r="F102" i="11"/>
  <c r="H102" i="11" s="1"/>
  <c r="F103" i="11"/>
  <c r="H103" i="11" s="1"/>
  <c r="F104" i="11"/>
  <c r="H104" i="11" s="1"/>
  <c r="F105" i="11"/>
  <c r="H105" i="11" s="1"/>
  <c r="F106" i="11"/>
  <c r="H106" i="11" s="1"/>
  <c r="F107" i="11"/>
  <c r="H107" i="11" s="1"/>
  <c r="F108" i="11"/>
  <c r="H108" i="11" s="1"/>
  <c r="F109" i="11"/>
  <c r="H109" i="11" s="1"/>
  <c r="F110" i="11"/>
  <c r="H110" i="11" s="1"/>
  <c r="F111" i="11"/>
  <c r="H111" i="11" s="1"/>
  <c r="F112" i="11"/>
  <c r="H112" i="11" s="1"/>
  <c r="F113" i="11"/>
  <c r="H113" i="11" s="1"/>
  <c r="F114" i="11"/>
  <c r="H114" i="11" s="1"/>
  <c r="F115" i="11"/>
  <c r="H115" i="11" s="1"/>
  <c r="F116" i="11"/>
  <c r="H116" i="11" s="1"/>
  <c r="F117" i="11"/>
  <c r="H117" i="11" s="1"/>
  <c r="F118" i="11"/>
  <c r="H118" i="11" s="1"/>
  <c r="F119" i="11"/>
  <c r="H119" i="11" s="1"/>
  <c r="F120" i="11"/>
  <c r="H120" i="11" s="1"/>
  <c r="F121" i="11"/>
  <c r="H121" i="11" s="1"/>
  <c r="F122" i="11"/>
  <c r="H122" i="11" s="1"/>
  <c r="F123" i="11"/>
  <c r="H123" i="11" s="1"/>
  <c r="F124" i="11"/>
  <c r="H124" i="11" s="1"/>
  <c r="F125" i="11"/>
  <c r="H125" i="11" s="1"/>
  <c r="F126" i="11"/>
  <c r="H126" i="11" s="1"/>
  <c r="F127" i="11"/>
  <c r="H127" i="11" s="1"/>
  <c r="F128" i="11"/>
  <c r="H128" i="11" s="1"/>
  <c r="F129" i="11"/>
  <c r="H129" i="11" s="1"/>
  <c r="F130" i="11"/>
  <c r="H130" i="11" s="1"/>
  <c r="F131" i="11"/>
  <c r="H131" i="11" s="1"/>
  <c r="F132" i="11"/>
  <c r="H132" i="11" s="1"/>
  <c r="F133" i="11"/>
  <c r="H133" i="11" s="1"/>
  <c r="F134" i="11"/>
  <c r="H134" i="11" s="1"/>
  <c r="F135" i="11"/>
  <c r="H135" i="11" s="1"/>
  <c r="F136" i="11"/>
  <c r="H136" i="11" s="1"/>
  <c r="F137" i="11"/>
  <c r="H137" i="11" s="1"/>
  <c r="F138" i="11"/>
  <c r="H138" i="11" s="1"/>
  <c r="F139" i="11"/>
  <c r="H139" i="11" s="1"/>
  <c r="F140" i="11"/>
  <c r="H140" i="11" s="1"/>
  <c r="F141" i="11"/>
  <c r="H141" i="11" s="1"/>
  <c r="F142" i="11"/>
  <c r="H142" i="11" s="1"/>
  <c r="F143" i="11"/>
  <c r="H143" i="11" s="1"/>
  <c r="F144" i="11"/>
  <c r="H144" i="11" s="1"/>
  <c r="F145" i="11"/>
  <c r="H145" i="11" s="1"/>
  <c r="F146" i="11"/>
  <c r="H146" i="11" s="1"/>
  <c r="F147" i="11"/>
  <c r="H147" i="11" s="1"/>
  <c r="F148" i="11"/>
  <c r="H148" i="11" s="1"/>
  <c r="F149" i="11"/>
  <c r="H149" i="11" s="1"/>
  <c r="F150" i="11"/>
  <c r="H150" i="11" s="1"/>
  <c r="F151" i="11"/>
  <c r="H151" i="11" s="1"/>
  <c r="F152" i="11"/>
  <c r="H152" i="11" s="1"/>
  <c r="F153" i="11"/>
  <c r="H153" i="11" s="1"/>
  <c r="F154" i="11"/>
  <c r="H154" i="11" s="1"/>
  <c r="F155" i="11"/>
  <c r="H155" i="11" s="1"/>
  <c r="F156" i="11"/>
  <c r="H156" i="11" s="1"/>
  <c r="F157" i="11"/>
  <c r="H157" i="11" s="1"/>
  <c r="F158" i="11"/>
  <c r="H158" i="11" s="1"/>
  <c r="F159" i="11"/>
  <c r="H159" i="11" s="1"/>
  <c r="F160" i="11"/>
  <c r="H160" i="11" s="1"/>
  <c r="F161" i="11"/>
  <c r="H161" i="11" s="1"/>
  <c r="F162" i="11"/>
  <c r="H162" i="11" s="1"/>
  <c r="F163" i="11"/>
  <c r="H163" i="11" s="1"/>
  <c r="F164" i="11"/>
  <c r="H164" i="11" s="1"/>
  <c r="F165" i="11"/>
  <c r="H165" i="11" s="1"/>
  <c r="F166" i="11"/>
  <c r="H166" i="11" s="1"/>
  <c r="F167" i="11"/>
  <c r="H167" i="11" s="1"/>
  <c r="F168" i="11"/>
  <c r="H168" i="11" s="1"/>
  <c r="F169" i="11"/>
  <c r="H169" i="11" s="1"/>
  <c r="F170" i="11"/>
  <c r="H170" i="11" s="1"/>
  <c r="F171" i="11"/>
  <c r="H171" i="11" s="1"/>
  <c r="F172" i="11"/>
  <c r="H172" i="11" s="1"/>
  <c r="F173" i="11"/>
  <c r="H173" i="11" s="1"/>
  <c r="F174" i="11"/>
  <c r="H174" i="11" s="1"/>
  <c r="F175" i="11"/>
  <c r="H175" i="11" s="1"/>
  <c r="F176" i="11"/>
  <c r="H176" i="11" s="1"/>
  <c r="F177" i="11"/>
  <c r="H177" i="11" s="1"/>
  <c r="F178" i="11"/>
  <c r="H178" i="11" s="1"/>
  <c r="F179" i="11"/>
  <c r="H179" i="11" s="1"/>
  <c r="F180" i="11"/>
  <c r="H180" i="11" s="1"/>
  <c r="F181" i="11"/>
  <c r="H181" i="11" s="1"/>
  <c r="F182" i="11"/>
  <c r="H182" i="11" s="1"/>
  <c r="F183" i="11"/>
  <c r="H183" i="11" s="1"/>
  <c r="F184" i="11"/>
  <c r="H184" i="11" s="1"/>
  <c r="F185" i="11"/>
  <c r="H185" i="11" s="1"/>
  <c r="F186" i="11"/>
  <c r="H186" i="11" s="1"/>
  <c r="F187" i="11"/>
  <c r="H187" i="11" s="1"/>
  <c r="F188" i="11"/>
  <c r="H188" i="11" s="1"/>
  <c r="F189" i="11"/>
  <c r="H189" i="11" s="1"/>
  <c r="F190" i="11"/>
  <c r="H190" i="11" s="1"/>
  <c r="F191" i="11"/>
  <c r="H191" i="11" s="1"/>
  <c r="F192" i="11"/>
  <c r="H192" i="11" s="1"/>
  <c r="F193" i="11"/>
  <c r="H193" i="11" s="1"/>
  <c r="F194" i="11"/>
  <c r="H194" i="11" s="1"/>
  <c r="F195" i="11"/>
  <c r="H195" i="11" s="1"/>
  <c r="F196" i="11"/>
  <c r="H196" i="11" s="1"/>
  <c r="F197" i="11"/>
  <c r="H197" i="11" s="1"/>
  <c r="F198" i="11"/>
  <c r="H198" i="11" s="1"/>
  <c r="F199" i="11"/>
  <c r="H199" i="11" s="1"/>
  <c r="F200" i="11"/>
  <c r="H200" i="11" s="1"/>
  <c r="F201" i="11"/>
  <c r="H201" i="11" s="1"/>
  <c r="F202" i="11"/>
  <c r="H202" i="11" s="1"/>
  <c r="F203" i="11"/>
  <c r="H203" i="11" s="1"/>
  <c r="F204" i="11"/>
  <c r="H204" i="11" s="1"/>
  <c r="F205" i="11"/>
  <c r="H205" i="11" s="1"/>
  <c r="F206" i="11"/>
  <c r="H206" i="11" s="1"/>
  <c r="F207" i="11"/>
  <c r="H207" i="11" s="1"/>
  <c r="F208" i="11"/>
  <c r="H208" i="11" s="1"/>
  <c r="F209" i="11"/>
  <c r="H209" i="11" s="1"/>
  <c r="F210" i="11"/>
  <c r="H210" i="11" s="1"/>
  <c r="F211" i="11"/>
  <c r="H211" i="11" s="1"/>
  <c r="F212" i="11"/>
  <c r="H212" i="11" s="1"/>
  <c r="F213" i="11"/>
  <c r="H213" i="11" s="1"/>
  <c r="F214" i="11"/>
  <c r="H214" i="11" s="1"/>
  <c r="F215" i="11"/>
  <c r="H215" i="11" s="1"/>
  <c r="F216" i="11"/>
  <c r="H216" i="11" s="1"/>
  <c r="F217" i="11"/>
  <c r="H217" i="11" s="1"/>
  <c r="F218" i="11"/>
  <c r="H218" i="11" s="1"/>
  <c r="F219" i="11"/>
  <c r="H219" i="11" s="1"/>
  <c r="F220" i="11"/>
  <c r="H220" i="11" s="1"/>
  <c r="F221" i="11"/>
  <c r="H221" i="11" s="1"/>
  <c r="F222" i="11"/>
  <c r="H222" i="11" s="1"/>
  <c r="F223" i="11"/>
  <c r="H223" i="11" s="1"/>
  <c r="F224" i="11"/>
  <c r="H224" i="11" s="1"/>
  <c r="F225" i="11"/>
  <c r="H225" i="11" s="1"/>
  <c r="F226" i="11"/>
  <c r="H226" i="11" s="1"/>
  <c r="F227" i="11"/>
  <c r="H227" i="11" s="1"/>
  <c r="F228" i="11"/>
  <c r="H228" i="11" s="1"/>
  <c r="F229" i="11"/>
  <c r="H229" i="11" s="1"/>
  <c r="F230" i="11"/>
  <c r="H230" i="11" s="1"/>
  <c r="F231" i="11"/>
  <c r="H231" i="11" s="1"/>
  <c r="F232" i="11"/>
  <c r="H232" i="11" s="1"/>
  <c r="F233" i="11"/>
  <c r="H233" i="11" s="1"/>
  <c r="F234" i="11"/>
  <c r="H234" i="11" s="1"/>
  <c r="F235" i="11"/>
  <c r="H235" i="11" s="1"/>
  <c r="F236" i="11"/>
  <c r="H236" i="11" s="1"/>
  <c r="F237" i="11"/>
  <c r="H237" i="11" s="1"/>
  <c r="F238" i="11"/>
  <c r="H238" i="11" s="1"/>
  <c r="F239" i="11"/>
  <c r="H239" i="11" s="1"/>
  <c r="F240" i="11"/>
  <c r="H240" i="11" s="1"/>
  <c r="F241" i="11"/>
  <c r="H241" i="11" s="1"/>
  <c r="F242" i="11"/>
  <c r="H242" i="11" s="1"/>
  <c r="F243" i="11"/>
  <c r="H243" i="11" s="1"/>
  <c r="F244" i="11"/>
  <c r="H244" i="11" s="1"/>
  <c r="F245" i="11"/>
  <c r="H245" i="11" s="1"/>
  <c r="F246" i="11"/>
  <c r="H246" i="11" s="1"/>
  <c r="F247" i="11"/>
  <c r="H247" i="11" s="1"/>
  <c r="F248" i="11"/>
  <c r="H248" i="11" s="1"/>
  <c r="F249" i="11"/>
  <c r="H249" i="11" s="1"/>
  <c r="F250" i="11"/>
  <c r="H250" i="11" s="1"/>
  <c r="F251" i="11"/>
  <c r="H251" i="11" s="1"/>
  <c r="F252" i="11"/>
  <c r="H252" i="11" s="1"/>
  <c r="F253" i="11"/>
  <c r="H253" i="11" s="1"/>
  <c r="F254" i="11"/>
  <c r="H254" i="11" s="1"/>
  <c r="F255" i="11"/>
  <c r="H255" i="11" s="1"/>
  <c r="F256" i="11"/>
  <c r="H256" i="11" s="1"/>
  <c r="F257" i="11"/>
  <c r="H257" i="11" s="1"/>
  <c r="F258" i="11"/>
  <c r="H258" i="11" s="1"/>
  <c r="F259" i="11"/>
  <c r="H259" i="11" s="1"/>
  <c r="F260" i="11"/>
  <c r="H260" i="11" s="1"/>
  <c r="F261" i="11"/>
  <c r="H261" i="11" s="1"/>
  <c r="F262" i="11"/>
  <c r="H262" i="11" s="1"/>
  <c r="F263" i="11"/>
  <c r="H263" i="11" s="1"/>
  <c r="F264" i="11"/>
  <c r="H264" i="11" s="1"/>
  <c r="F265" i="11"/>
  <c r="H265" i="11" s="1"/>
  <c r="F266" i="11"/>
  <c r="H266" i="11" s="1"/>
  <c r="F267" i="11"/>
  <c r="H267" i="11" s="1"/>
  <c r="F268" i="11"/>
  <c r="H268" i="11" s="1"/>
  <c r="F269" i="11"/>
  <c r="H269" i="11" s="1"/>
  <c r="F270" i="11"/>
  <c r="H270" i="11" s="1"/>
  <c r="F271" i="11"/>
  <c r="H271" i="11" s="1"/>
  <c r="F272" i="11"/>
  <c r="H272" i="11" s="1"/>
  <c r="F273" i="11"/>
  <c r="H273" i="11" s="1"/>
  <c r="F274" i="11"/>
  <c r="H274" i="11" s="1"/>
  <c r="F275" i="11"/>
  <c r="H275" i="11" s="1"/>
  <c r="F276" i="11"/>
  <c r="H276" i="11" s="1"/>
  <c r="F277" i="11"/>
  <c r="H277" i="11" s="1"/>
  <c r="F278" i="11"/>
  <c r="H278" i="11" s="1"/>
  <c r="F279" i="11"/>
  <c r="H279" i="11" s="1"/>
  <c r="F280" i="11"/>
  <c r="H280" i="11" s="1"/>
  <c r="F281" i="11"/>
  <c r="H281" i="11" s="1"/>
  <c r="F282" i="11"/>
  <c r="H282" i="11" s="1"/>
  <c r="F283" i="11"/>
  <c r="H283" i="11" s="1"/>
  <c r="F284" i="11"/>
  <c r="H284" i="11" s="1"/>
  <c r="F285" i="11"/>
  <c r="H285" i="11" s="1"/>
  <c r="F286" i="11"/>
  <c r="H286" i="11" s="1"/>
  <c r="F287" i="11"/>
  <c r="H287" i="11" s="1"/>
  <c r="F288" i="11"/>
  <c r="H288" i="11" s="1"/>
  <c r="F289" i="11"/>
  <c r="H289" i="11" s="1"/>
  <c r="F290" i="11"/>
  <c r="H290" i="11" s="1"/>
  <c r="F291" i="11"/>
  <c r="H291" i="11" s="1"/>
  <c r="F292" i="11"/>
  <c r="H292" i="11" s="1"/>
  <c r="F293" i="11"/>
  <c r="H293" i="11" s="1"/>
  <c r="F294" i="11"/>
  <c r="H294" i="11" s="1"/>
  <c r="F295" i="11"/>
  <c r="H295" i="11" s="1"/>
  <c r="F296" i="11"/>
  <c r="H296" i="11" s="1"/>
  <c r="F297" i="11"/>
  <c r="H297" i="11" s="1"/>
  <c r="F298" i="11"/>
  <c r="H298" i="11" s="1"/>
  <c r="F299" i="11"/>
  <c r="H299" i="11" s="1"/>
  <c r="F300" i="11"/>
  <c r="H300" i="11" s="1"/>
  <c r="F301" i="11"/>
  <c r="H301" i="11" s="1"/>
  <c r="F302" i="11"/>
  <c r="H302" i="11" s="1"/>
  <c r="F303" i="11"/>
  <c r="H303" i="11" s="1"/>
  <c r="F304" i="11"/>
  <c r="H304" i="11" s="1"/>
  <c r="F305" i="11"/>
  <c r="H305" i="11" s="1"/>
  <c r="F306" i="11"/>
  <c r="H306" i="11" s="1"/>
  <c r="F307" i="11"/>
  <c r="H307" i="11" s="1"/>
  <c r="F308" i="11"/>
  <c r="H308" i="11" s="1"/>
  <c r="F309" i="11"/>
  <c r="H309" i="11" s="1"/>
  <c r="F310" i="11"/>
  <c r="H310" i="11" s="1"/>
  <c r="F311" i="11"/>
  <c r="H311" i="11" s="1"/>
  <c r="F312" i="11"/>
  <c r="H312" i="11" s="1"/>
  <c r="F313" i="11"/>
  <c r="H313" i="11" s="1"/>
  <c r="F314" i="11"/>
  <c r="H314" i="11" s="1"/>
  <c r="F315" i="11"/>
  <c r="H315" i="11" s="1"/>
  <c r="F316" i="11"/>
  <c r="H316" i="11" s="1"/>
  <c r="F317" i="11"/>
  <c r="H317" i="11" s="1"/>
  <c r="F318" i="11"/>
  <c r="H318" i="11" s="1"/>
  <c r="F319" i="11"/>
  <c r="H319" i="11" s="1"/>
  <c r="F320" i="11"/>
  <c r="H320" i="11" s="1"/>
  <c r="F321" i="11"/>
  <c r="H321" i="11" s="1"/>
  <c r="F322" i="11"/>
  <c r="H322" i="11" s="1"/>
  <c r="F323" i="11"/>
  <c r="H323" i="11" s="1"/>
  <c r="F324" i="11"/>
  <c r="H324" i="11" s="1"/>
  <c r="F325" i="11"/>
  <c r="H325" i="11" s="1"/>
  <c r="F326" i="11"/>
  <c r="H326" i="11" s="1"/>
  <c r="F327" i="11"/>
  <c r="H327" i="11" s="1"/>
  <c r="F328" i="11"/>
  <c r="H328" i="11" s="1"/>
  <c r="F329" i="11"/>
  <c r="H329" i="11" s="1"/>
  <c r="F330" i="11"/>
  <c r="H330" i="11" s="1"/>
  <c r="F331" i="11"/>
  <c r="H331" i="11" s="1"/>
  <c r="F332" i="11"/>
  <c r="H332" i="11" s="1"/>
  <c r="F333" i="11"/>
  <c r="H333" i="11" s="1"/>
  <c r="F334" i="11"/>
  <c r="H334" i="11" s="1"/>
  <c r="F335" i="11"/>
  <c r="H335" i="11" s="1"/>
  <c r="F336" i="11"/>
  <c r="H336" i="11" s="1"/>
  <c r="F337" i="11"/>
  <c r="H337" i="11" s="1"/>
  <c r="F338" i="11"/>
  <c r="H338" i="11" s="1"/>
  <c r="F339" i="11"/>
  <c r="H339" i="11" s="1"/>
  <c r="F340" i="11"/>
  <c r="H340" i="11" s="1"/>
  <c r="F341" i="11"/>
  <c r="H341" i="11" s="1"/>
  <c r="F342" i="11"/>
  <c r="H342" i="11" s="1"/>
  <c r="F343" i="11"/>
  <c r="H343" i="11" s="1"/>
  <c r="F344" i="11"/>
  <c r="H344" i="11" s="1"/>
  <c r="F345" i="11"/>
  <c r="H345" i="11" s="1"/>
  <c r="F346" i="11"/>
  <c r="H346" i="11" s="1"/>
  <c r="F347" i="11"/>
  <c r="H347" i="11" s="1"/>
  <c r="F348" i="11"/>
  <c r="H348" i="11" s="1"/>
  <c r="F349" i="11"/>
  <c r="H349" i="11" s="1"/>
  <c r="F350" i="11"/>
  <c r="H350" i="11" s="1"/>
  <c r="F351" i="11"/>
  <c r="H351" i="11" s="1"/>
  <c r="F352" i="11"/>
  <c r="H352" i="11" s="1"/>
  <c r="F353" i="11"/>
  <c r="H353" i="11" s="1"/>
  <c r="F354" i="11"/>
  <c r="H354" i="11" s="1"/>
  <c r="F355" i="11"/>
  <c r="H355" i="11" s="1"/>
  <c r="F356" i="11"/>
  <c r="H356" i="11" s="1"/>
  <c r="F357" i="11"/>
  <c r="H357" i="11" s="1"/>
  <c r="F358" i="11"/>
  <c r="H358" i="11" s="1"/>
  <c r="F359" i="11"/>
  <c r="H359" i="11" s="1"/>
  <c r="F360" i="11"/>
  <c r="H360" i="11" s="1"/>
  <c r="F361" i="11"/>
  <c r="H361" i="11" s="1"/>
  <c r="F362" i="11"/>
  <c r="H362" i="11" s="1"/>
  <c r="F363" i="11"/>
  <c r="H363" i="11" s="1"/>
  <c r="F364" i="11"/>
  <c r="H364" i="11" s="1"/>
  <c r="F365" i="11"/>
  <c r="H365" i="11" s="1"/>
  <c r="F366" i="11"/>
  <c r="H366" i="11" s="1"/>
  <c r="F367" i="11"/>
  <c r="H367" i="11" s="1"/>
  <c r="F368" i="11"/>
  <c r="H368" i="11" s="1"/>
  <c r="F369" i="11"/>
  <c r="H369" i="11" s="1"/>
  <c r="F370" i="11"/>
  <c r="H370" i="11" s="1"/>
  <c r="F371" i="11"/>
  <c r="H371" i="11" s="1"/>
  <c r="F372" i="11"/>
  <c r="H372" i="11" s="1"/>
  <c r="F373" i="11"/>
  <c r="H373" i="11" s="1"/>
  <c r="F374" i="11"/>
  <c r="H374" i="11" s="1"/>
  <c r="F375" i="11"/>
  <c r="H375" i="11" s="1"/>
  <c r="F376" i="11"/>
  <c r="H376" i="11" s="1"/>
  <c r="F377" i="11"/>
  <c r="H377" i="11" s="1"/>
  <c r="F378" i="11"/>
  <c r="H378" i="11" s="1"/>
  <c r="F379" i="11"/>
  <c r="H379" i="11" s="1"/>
  <c r="F380" i="11"/>
  <c r="H380" i="11" s="1"/>
  <c r="F381" i="11"/>
  <c r="H381" i="11" s="1"/>
  <c r="F382" i="11"/>
  <c r="H382" i="11" s="1"/>
  <c r="F383" i="11"/>
  <c r="H383" i="11" s="1"/>
  <c r="F384" i="11"/>
  <c r="H384" i="11" s="1"/>
  <c r="F385" i="11"/>
  <c r="H385" i="11" s="1"/>
  <c r="F386" i="11"/>
  <c r="H386" i="11" s="1"/>
  <c r="F387" i="11"/>
  <c r="H387" i="11" s="1"/>
  <c r="F388" i="11"/>
  <c r="H388" i="11" s="1"/>
  <c r="F389" i="11"/>
  <c r="H389" i="11" s="1"/>
  <c r="F390" i="11"/>
  <c r="H390" i="11" s="1"/>
  <c r="F391" i="11"/>
  <c r="H391" i="11" s="1"/>
  <c r="F392" i="11"/>
  <c r="H392" i="11" s="1"/>
  <c r="F393" i="11"/>
  <c r="H393" i="11" s="1"/>
  <c r="F394" i="11"/>
  <c r="H394" i="11" s="1"/>
  <c r="F395" i="11"/>
  <c r="H395" i="11" s="1"/>
  <c r="F396" i="11"/>
  <c r="H396" i="11" s="1"/>
  <c r="F397" i="11"/>
  <c r="H397" i="11" s="1"/>
  <c r="F398" i="11"/>
  <c r="H398" i="11" s="1"/>
  <c r="F399" i="11"/>
  <c r="H399" i="11" s="1"/>
  <c r="F400" i="11"/>
  <c r="H400" i="11" s="1"/>
  <c r="F401" i="11"/>
  <c r="H401" i="11" s="1"/>
  <c r="F402" i="11"/>
  <c r="H402" i="11" s="1"/>
  <c r="F403" i="11"/>
  <c r="H403" i="11" s="1"/>
  <c r="F404" i="11"/>
  <c r="H404" i="11" s="1"/>
  <c r="F405" i="11"/>
  <c r="H405" i="11" s="1"/>
  <c r="F406" i="11"/>
  <c r="H406" i="11" s="1"/>
  <c r="F407" i="11"/>
  <c r="H407" i="11" s="1"/>
  <c r="F408" i="11"/>
  <c r="H408" i="11" s="1"/>
  <c r="F409" i="11"/>
  <c r="H409" i="11" s="1"/>
  <c r="F410" i="11"/>
  <c r="H410" i="11" s="1"/>
  <c r="F411" i="11"/>
  <c r="H411" i="11" s="1"/>
  <c r="F412" i="11"/>
  <c r="H412" i="11" s="1"/>
  <c r="F413" i="11"/>
  <c r="H413" i="11" s="1"/>
  <c r="F414" i="11"/>
  <c r="H414" i="11" s="1"/>
  <c r="F415" i="11"/>
  <c r="H415" i="11" s="1"/>
  <c r="F416" i="11"/>
  <c r="H416" i="11" s="1"/>
  <c r="F417" i="11"/>
  <c r="H417" i="11" s="1"/>
  <c r="F418" i="11"/>
  <c r="H418" i="11" s="1"/>
  <c r="F419" i="11"/>
  <c r="H419" i="11" s="1"/>
  <c r="F420" i="11"/>
  <c r="H420" i="11" s="1"/>
  <c r="F421" i="11"/>
  <c r="H421" i="11" s="1"/>
  <c r="F422" i="11"/>
  <c r="H422" i="11" s="1"/>
  <c r="F423" i="11"/>
  <c r="H423" i="11" s="1"/>
  <c r="F424" i="11"/>
  <c r="H424" i="11" s="1"/>
  <c r="F425" i="11"/>
  <c r="H425" i="11" s="1"/>
  <c r="F426" i="11"/>
  <c r="H426" i="11" s="1"/>
  <c r="F427" i="11"/>
  <c r="H427" i="11" s="1"/>
  <c r="F428" i="11"/>
  <c r="H428" i="11" s="1"/>
  <c r="F429" i="11"/>
  <c r="H429" i="11" s="1"/>
  <c r="F430" i="11"/>
  <c r="H430" i="11" s="1"/>
  <c r="F431" i="11"/>
  <c r="H431" i="11" s="1"/>
  <c r="F432" i="11"/>
  <c r="H432" i="11" s="1"/>
  <c r="F433" i="11"/>
  <c r="H433" i="11" s="1"/>
  <c r="F434" i="11"/>
  <c r="H434" i="11" s="1"/>
  <c r="F435" i="11"/>
  <c r="H435" i="11" s="1"/>
  <c r="F436" i="11"/>
  <c r="H436" i="11" s="1"/>
  <c r="F437" i="11"/>
  <c r="H437" i="11" s="1"/>
  <c r="F438" i="11"/>
  <c r="H438" i="11" s="1"/>
  <c r="F439" i="11"/>
  <c r="H439" i="11" s="1"/>
  <c r="F440" i="11"/>
  <c r="H440" i="11" s="1"/>
  <c r="F441" i="11"/>
  <c r="H441" i="11" s="1"/>
  <c r="F442" i="11"/>
  <c r="H442" i="11" s="1"/>
  <c r="F443" i="11"/>
  <c r="H443" i="11" s="1"/>
  <c r="F444" i="11"/>
  <c r="H444" i="11" s="1"/>
  <c r="F445" i="11"/>
  <c r="H445" i="11" s="1"/>
  <c r="F446" i="11"/>
  <c r="H446" i="11" s="1"/>
  <c r="F447" i="11"/>
  <c r="H447" i="11" s="1"/>
  <c r="F448" i="11"/>
  <c r="H448" i="11" s="1"/>
  <c r="F449" i="11"/>
  <c r="H449" i="11" s="1"/>
  <c r="F450" i="11"/>
  <c r="H450" i="11" s="1"/>
  <c r="F451" i="11"/>
  <c r="H451" i="11" s="1"/>
  <c r="F452" i="11"/>
  <c r="H452" i="11" s="1"/>
  <c r="F453" i="11"/>
  <c r="H453" i="11" s="1"/>
  <c r="F454" i="11"/>
  <c r="H454" i="11" s="1"/>
  <c r="F455" i="11"/>
  <c r="H455" i="11" s="1"/>
  <c r="F456" i="11"/>
  <c r="H456" i="11" s="1"/>
  <c r="F457" i="11"/>
  <c r="H457" i="11" s="1"/>
  <c r="F458" i="11"/>
  <c r="H458" i="11" s="1"/>
  <c r="F459" i="11"/>
  <c r="H459" i="11" s="1"/>
  <c r="F460" i="11"/>
  <c r="H460" i="11" s="1"/>
  <c r="F461" i="11"/>
  <c r="H461" i="11" s="1"/>
  <c r="F462" i="11"/>
  <c r="H462" i="11" s="1"/>
  <c r="F463" i="11"/>
  <c r="H463" i="11" s="1"/>
  <c r="F464" i="11"/>
  <c r="H464" i="11" s="1"/>
  <c r="F465" i="11"/>
  <c r="H465" i="11" s="1"/>
  <c r="F466" i="11"/>
  <c r="H466" i="11" s="1"/>
  <c r="F467" i="11"/>
  <c r="H467" i="11" s="1"/>
  <c r="F468" i="11"/>
  <c r="H468" i="11" s="1"/>
  <c r="F469" i="11"/>
  <c r="H469" i="11" s="1"/>
  <c r="F470" i="11"/>
  <c r="H470" i="11" s="1"/>
  <c r="F471" i="11"/>
  <c r="H471" i="11" s="1"/>
  <c r="F472" i="11"/>
  <c r="H472" i="11" s="1"/>
  <c r="F473" i="11"/>
  <c r="H473" i="11" s="1"/>
  <c r="F474" i="11"/>
  <c r="H474" i="11" s="1"/>
  <c r="F475" i="11"/>
  <c r="H475" i="11" s="1"/>
  <c r="F476" i="11"/>
  <c r="H476" i="11" s="1"/>
  <c r="F477" i="11"/>
  <c r="H477" i="11" s="1"/>
  <c r="F478" i="11"/>
  <c r="H478" i="11" s="1"/>
  <c r="F479" i="11"/>
  <c r="H479" i="11" s="1"/>
  <c r="F480" i="11"/>
  <c r="H480" i="11" s="1"/>
  <c r="F481" i="11"/>
  <c r="H481" i="11" s="1"/>
  <c r="F482" i="11"/>
  <c r="H482" i="11" s="1"/>
  <c r="F483" i="11"/>
  <c r="H483" i="11" s="1"/>
  <c r="F484" i="11"/>
  <c r="H484" i="11" s="1"/>
  <c r="F485" i="11"/>
  <c r="H485" i="11" s="1"/>
  <c r="F486" i="11"/>
  <c r="H486" i="11" s="1"/>
  <c r="F487" i="11"/>
  <c r="H487" i="11" s="1"/>
  <c r="F488" i="11"/>
  <c r="H488" i="11" s="1"/>
  <c r="F489" i="11"/>
  <c r="H489" i="11" s="1"/>
  <c r="F490" i="11"/>
  <c r="H490" i="11" s="1"/>
  <c r="F491" i="11"/>
  <c r="H491" i="11" s="1"/>
  <c r="F492" i="11"/>
  <c r="H492" i="11" s="1"/>
  <c r="F493" i="11"/>
  <c r="H493" i="11" s="1"/>
  <c r="F494" i="11"/>
  <c r="H494" i="11" s="1"/>
  <c r="F495" i="11"/>
  <c r="H495" i="11" s="1"/>
  <c r="F496" i="11"/>
  <c r="H496" i="11" s="1"/>
  <c r="F497" i="11"/>
  <c r="H497" i="11" s="1"/>
  <c r="F498" i="11"/>
  <c r="H498" i="11" s="1"/>
  <c r="F499" i="11"/>
  <c r="H499" i="11" s="1"/>
  <c r="F500" i="11"/>
  <c r="H500" i="11" s="1"/>
  <c r="F501" i="11"/>
  <c r="H501" i="11" s="1"/>
  <c r="F502" i="11"/>
  <c r="H502" i="11" s="1"/>
  <c r="F503" i="11"/>
  <c r="H503" i="11" s="1"/>
  <c r="F504" i="11"/>
  <c r="H504" i="11" s="1"/>
  <c r="F505" i="11"/>
  <c r="H505" i="11" s="1"/>
  <c r="F506" i="11"/>
  <c r="H506" i="11" s="1"/>
  <c r="F507" i="11"/>
  <c r="H507" i="11" s="1"/>
  <c r="F508" i="11"/>
  <c r="H508" i="11" s="1"/>
  <c r="F509" i="11"/>
  <c r="H509" i="11" s="1"/>
  <c r="F510" i="11"/>
  <c r="H510" i="11" s="1"/>
  <c r="F511" i="11"/>
  <c r="H511" i="11" s="1"/>
  <c r="F512" i="11"/>
  <c r="H512" i="11" s="1"/>
  <c r="F513" i="11"/>
  <c r="H513" i="11"/>
  <c r="F514" i="11"/>
  <c r="H514" i="11"/>
  <c r="H515" i="11"/>
  <c r="F516" i="11"/>
  <c r="H516" i="11"/>
  <c r="H517" i="11"/>
  <c r="F518" i="11"/>
  <c r="H518" i="11"/>
  <c r="F519" i="11"/>
  <c r="H519" i="11"/>
  <c r="F520" i="11"/>
  <c r="H520" i="11"/>
  <c r="H521" i="11"/>
  <c r="F522" i="11"/>
  <c r="H522" i="11"/>
  <c r="H523" i="11"/>
  <c r="F524" i="11"/>
  <c r="H524" i="11"/>
  <c r="F525" i="11"/>
  <c r="H525" i="11"/>
  <c r="F526" i="11"/>
  <c r="H526" i="11"/>
  <c r="H527" i="11"/>
  <c r="F528" i="11"/>
  <c r="H528" i="11"/>
  <c r="H529" i="11"/>
  <c r="F530" i="11"/>
  <c r="H530" i="11"/>
  <c r="F531" i="11"/>
  <c r="H531" i="11"/>
  <c r="F532" i="11"/>
  <c r="H532" i="11"/>
  <c r="H533" i="11"/>
  <c r="F534" i="11"/>
  <c r="H534" i="11"/>
  <c r="H535" i="11"/>
  <c r="F536" i="11"/>
  <c r="H536" i="11"/>
  <c r="F537" i="11"/>
  <c r="H537" i="11"/>
  <c r="F538" i="11"/>
  <c r="H538" i="11"/>
  <c r="H539" i="11"/>
  <c r="F540" i="11"/>
  <c r="H540" i="11"/>
  <c r="H541" i="11"/>
  <c r="F542" i="11"/>
  <c r="H542" i="11"/>
  <c r="H543" i="11"/>
  <c r="F544" i="11"/>
  <c r="H544" i="11"/>
  <c r="F545" i="11"/>
  <c r="H545" i="11"/>
  <c r="F546" i="11"/>
  <c r="H546" i="11"/>
  <c r="F547" i="11"/>
  <c r="H547" i="11"/>
  <c r="F548" i="11"/>
  <c r="H548" i="11"/>
  <c r="F549" i="11"/>
  <c r="H549" i="11" s="1"/>
  <c r="F550" i="11"/>
  <c r="H550" i="11" s="1"/>
  <c r="F551" i="11"/>
  <c r="H551" i="11" s="1"/>
  <c r="F552" i="11"/>
  <c r="H552" i="11" s="1"/>
  <c r="F553" i="11"/>
  <c r="H553" i="11" s="1"/>
  <c r="F554" i="11"/>
  <c r="H554" i="11" s="1"/>
  <c r="F555" i="11"/>
  <c r="H555" i="11" s="1"/>
  <c r="F556" i="11"/>
  <c r="H556" i="11" s="1"/>
  <c r="F557" i="11"/>
  <c r="H557" i="11" s="1"/>
  <c r="F558" i="11"/>
  <c r="H558" i="11" s="1"/>
  <c r="F559" i="11"/>
  <c r="H559" i="11" s="1"/>
  <c r="F560" i="11"/>
  <c r="H560" i="11" s="1"/>
  <c r="F561" i="11"/>
  <c r="H561" i="11" s="1"/>
  <c r="F562" i="11"/>
  <c r="H562" i="11" s="1"/>
  <c r="F563" i="11"/>
  <c r="H563" i="11" s="1"/>
  <c r="F564" i="11"/>
  <c r="H564" i="11" s="1"/>
  <c r="F565" i="11"/>
  <c r="H565" i="11" s="1"/>
  <c r="F566" i="11"/>
  <c r="H566" i="11" s="1"/>
  <c r="F567" i="11"/>
  <c r="H567" i="11" s="1"/>
  <c r="F568" i="11"/>
  <c r="H568" i="11" s="1"/>
  <c r="F569" i="11"/>
  <c r="H569" i="11" s="1"/>
  <c r="F570" i="11"/>
  <c r="H570" i="11" s="1"/>
  <c r="F571" i="11"/>
  <c r="H571" i="11" s="1"/>
  <c r="F572" i="11"/>
  <c r="H572" i="11" s="1"/>
  <c r="F573" i="11"/>
  <c r="H573" i="11" s="1"/>
  <c r="F574" i="11"/>
  <c r="H574" i="11" s="1"/>
  <c r="F575" i="11"/>
  <c r="H575" i="11" s="1"/>
  <c r="F576" i="11"/>
  <c r="H576" i="11" s="1"/>
  <c r="F577" i="11"/>
  <c r="H577" i="11" s="1"/>
  <c r="F578" i="11"/>
  <c r="H578" i="11" s="1"/>
  <c r="F579" i="11"/>
  <c r="H579" i="11" s="1"/>
  <c r="F580" i="11"/>
  <c r="H580" i="11" s="1"/>
  <c r="F581" i="11"/>
  <c r="H581" i="11" s="1"/>
  <c r="F582" i="11"/>
  <c r="H582" i="11" s="1"/>
  <c r="F583" i="11"/>
  <c r="H583" i="11" s="1"/>
  <c r="F584" i="11"/>
  <c r="H584" i="11" s="1"/>
  <c r="F585" i="11"/>
  <c r="H585" i="11" s="1"/>
  <c r="F586" i="11"/>
  <c r="H586" i="11" s="1"/>
  <c r="F587" i="11"/>
  <c r="H587" i="11" s="1"/>
  <c r="F588" i="11"/>
  <c r="H588" i="11" s="1"/>
  <c r="F589" i="11"/>
  <c r="H589" i="11" s="1"/>
  <c r="F590" i="11"/>
  <c r="H590" i="11" s="1"/>
  <c r="F591" i="11"/>
  <c r="H591" i="11" s="1"/>
  <c r="F592" i="11"/>
  <c r="H592" i="11" s="1"/>
  <c r="F593" i="11"/>
  <c r="H593" i="11" s="1"/>
  <c r="F594" i="11"/>
  <c r="H594" i="11"/>
  <c r="F595" i="11"/>
  <c r="H595" i="11" s="1"/>
  <c r="F596" i="11"/>
  <c r="H596" i="11" s="1"/>
  <c r="F597" i="11"/>
  <c r="H597" i="11" s="1"/>
  <c r="F598" i="11"/>
  <c r="H598" i="11" s="1"/>
  <c r="F599" i="11"/>
  <c r="H599" i="11" s="1"/>
  <c r="F600" i="11"/>
  <c r="H600" i="11" s="1"/>
  <c r="F601" i="11"/>
  <c r="H601" i="11" s="1"/>
  <c r="F602" i="11"/>
  <c r="H602" i="11" s="1"/>
  <c r="F603" i="11"/>
  <c r="H603" i="11" s="1"/>
  <c r="F604" i="11"/>
  <c r="H604" i="11" s="1"/>
  <c r="F605" i="11"/>
  <c r="H605" i="11" s="1"/>
  <c r="F606" i="11"/>
  <c r="H606" i="11" s="1"/>
  <c r="F607" i="11"/>
  <c r="H607" i="11" s="1"/>
  <c r="F608" i="11"/>
  <c r="H608" i="11" s="1"/>
  <c r="F609" i="11"/>
  <c r="H609" i="11" s="1"/>
  <c r="F610" i="11"/>
  <c r="H610" i="11" s="1"/>
  <c r="F611" i="11"/>
  <c r="H611" i="11" s="1"/>
  <c r="F612" i="11"/>
  <c r="H612" i="11"/>
  <c r="F613" i="11"/>
  <c r="H613" i="11"/>
  <c r="F614" i="11"/>
  <c r="H614" i="11"/>
  <c r="F615" i="11"/>
  <c r="H615" i="11" s="1"/>
  <c r="F616" i="11"/>
  <c r="H616" i="11" s="1"/>
  <c r="F617" i="11"/>
  <c r="H617" i="11" s="1"/>
  <c r="F618" i="11"/>
  <c r="H618" i="11" s="1"/>
  <c r="F619" i="11"/>
  <c r="H619" i="11" s="1"/>
  <c r="F620" i="11"/>
  <c r="H620" i="11" s="1"/>
  <c r="F621" i="11"/>
  <c r="H621" i="11" s="1"/>
  <c r="F622" i="11"/>
  <c r="H622" i="11" s="1"/>
  <c r="F623" i="11"/>
  <c r="H623" i="11" s="1"/>
  <c r="F624" i="11"/>
  <c r="H624" i="11" s="1"/>
  <c r="F625" i="11"/>
  <c r="H625" i="11" s="1"/>
  <c r="F626" i="11"/>
  <c r="H626" i="11" s="1"/>
  <c r="F627" i="11"/>
  <c r="H627" i="11" s="1"/>
  <c r="F628" i="11"/>
  <c r="H628" i="11" s="1"/>
  <c r="F629" i="11"/>
  <c r="H629" i="11" s="1"/>
  <c r="F630" i="11"/>
  <c r="H630" i="11" s="1"/>
  <c r="F631" i="11"/>
  <c r="H631" i="11" s="1"/>
  <c r="F632" i="11"/>
  <c r="H632" i="11" s="1"/>
  <c r="F633" i="11"/>
  <c r="H633" i="11" s="1"/>
  <c r="F634" i="11"/>
  <c r="H634" i="11"/>
  <c r="F635" i="11"/>
  <c r="H635" i="11" s="1"/>
  <c r="F636" i="11"/>
  <c r="H636" i="11" s="1"/>
  <c r="F637" i="11"/>
  <c r="H637" i="11" s="1"/>
  <c r="F638" i="11"/>
  <c r="H638" i="11" s="1"/>
  <c r="F639" i="11"/>
  <c r="H639" i="11" s="1"/>
  <c r="F640" i="11"/>
  <c r="H640" i="11" s="1"/>
  <c r="F641" i="11"/>
  <c r="H641" i="11" s="1"/>
  <c r="F642" i="11"/>
  <c r="H642" i="11" s="1"/>
  <c r="F643" i="11"/>
  <c r="H643" i="11" s="1"/>
  <c r="F644" i="11"/>
  <c r="H644" i="11" s="1"/>
  <c r="F645" i="11"/>
  <c r="H645" i="11"/>
  <c r="F646" i="11"/>
  <c r="H646" i="11"/>
  <c r="F647" i="11"/>
  <c r="H647" i="11" s="1"/>
  <c r="F648" i="11"/>
  <c r="H648" i="11" s="1"/>
  <c r="F649" i="11"/>
  <c r="H649" i="11" s="1"/>
  <c r="F650" i="11"/>
  <c r="H650" i="11" s="1"/>
  <c r="F651" i="11"/>
  <c r="H651" i="11" s="1"/>
  <c r="F652" i="11"/>
  <c r="H652" i="11" s="1"/>
  <c r="F653" i="11"/>
  <c r="H653" i="11" s="1"/>
  <c r="F654" i="11"/>
  <c r="H654" i="11" s="1"/>
  <c r="F655" i="11"/>
  <c r="H655" i="11" s="1"/>
  <c r="F656" i="11"/>
  <c r="H656" i="11" s="1"/>
  <c r="F657" i="11"/>
  <c r="H657" i="11" s="1"/>
  <c r="F658" i="11"/>
  <c r="H658" i="11" s="1"/>
  <c r="F659" i="11"/>
  <c r="H659" i="11" s="1"/>
  <c r="F660" i="11"/>
  <c r="H660" i="11" s="1"/>
  <c r="F661" i="11"/>
  <c r="H661" i="11" s="1"/>
  <c r="F662" i="11"/>
  <c r="H662" i="11" s="1"/>
  <c r="F663" i="11"/>
  <c r="H663" i="11" s="1"/>
  <c r="F664" i="11"/>
  <c r="H664" i="11" s="1"/>
  <c r="F665" i="11"/>
  <c r="H665" i="11" s="1"/>
  <c r="F666" i="11"/>
  <c r="H666" i="11"/>
  <c r="F667" i="11"/>
  <c r="H667" i="11" s="1"/>
  <c r="F668" i="11"/>
  <c r="H668" i="11" s="1"/>
  <c r="F669" i="11"/>
  <c r="H669" i="11" s="1"/>
  <c r="F670" i="11"/>
  <c r="H670" i="11" s="1"/>
  <c r="F671" i="11"/>
  <c r="H671" i="11" s="1"/>
  <c r="F672" i="11"/>
  <c r="H672" i="11" s="1"/>
  <c r="F673" i="11"/>
  <c r="H673" i="11" s="1"/>
  <c r="F674" i="11"/>
  <c r="H674" i="11" s="1"/>
  <c r="F675" i="11"/>
  <c r="H675" i="11" s="1"/>
  <c r="F676" i="11"/>
  <c r="H676" i="11" s="1"/>
  <c r="F677" i="11"/>
  <c r="H677" i="11" s="1"/>
  <c r="F678" i="11"/>
  <c r="H678" i="11" s="1"/>
  <c r="F679" i="11"/>
  <c r="H679" i="11" s="1"/>
  <c r="F680" i="11"/>
  <c r="H680" i="11"/>
  <c r="F681" i="11"/>
  <c r="H681" i="11"/>
  <c r="F682" i="11"/>
  <c r="H682" i="11" s="1"/>
  <c r="F683" i="11"/>
  <c r="H683" i="11" s="1"/>
  <c r="F684" i="11"/>
  <c r="H684" i="11" s="1"/>
  <c r="F685" i="11"/>
  <c r="H685" i="11" s="1"/>
  <c r="F686" i="11"/>
  <c r="H686" i="11" s="1"/>
  <c r="F687" i="11"/>
  <c r="H687" i="11" s="1"/>
  <c r="F688" i="11"/>
  <c r="H688" i="11" s="1"/>
  <c r="F689" i="11"/>
  <c r="H689" i="11" s="1"/>
  <c r="F690" i="11"/>
  <c r="H690" i="11" s="1"/>
  <c r="F691" i="11"/>
  <c r="H691" i="11" s="1"/>
  <c r="F692" i="11"/>
  <c r="H692" i="11" s="1"/>
  <c r="F693" i="11"/>
  <c r="H693" i="11" s="1"/>
  <c r="F694" i="11"/>
  <c r="H694" i="11" s="1"/>
  <c r="F695" i="11"/>
  <c r="H695" i="11" s="1"/>
  <c r="F696" i="11"/>
  <c r="H696" i="11" s="1"/>
  <c r="F697" i="11"/>
  <c r="H697" i="11" s="1"/>
  <c r="F698" i="11"/>
  <c r="H698" i="11" s="1"/>
  <c r="F699" i="11"/>
  <c r="H699" i="11" s="1"/>
  <c r="F700" i="11"/>
  <c r="H700" i="11" s="1"/>
  <c r="F701" i="11"/>
  <c r="H701" i="11" s="1"/>
  <c r="F702" i="11"/>
  <c r="H702" i="11" s="1"/>
  <c r="F703" i="11"/>
  <c r="H703" i="11" s="1"/>
  <c r="F704" i="11"/>
  <c r="H704" i="11" s="1"/>
  <c r="F705" i="11"/>
  <c r="H705" i="11" s="1"/>
  <c r="F706" i="11"/>
  <c r="H706" i="11" s="1"/>
  <c r="F707" i="11"/>
  <c r="H707" i="11" s="1"/>
  <c r="F708" i="11"/>
  <c r="H708" i="11" s="1"/>
  <c r="F709" i="11"/>
  <c r="H709" i="11" s="1"/>
  <c r="F710" i="11"/>
  <c r="H710" i="11" s="1"/>
  <c r="F711" i="11"/>
  <c r="H711" i="11" s="1"/>
  <c r="F712" i="11"/>
  <c r="H712" i="11" s="1"/>
  <c r="F713" i="11"/>
  <c r="H713" i="11" s="1"/>
  <c r="F714" i="11"/>
  <c r="H714" i="11" s="1"/>
  <c r="F715" i="11"/>
  <c r="H715" i="11" s="1"/>
  <c r="F716" i="11"/>
  <c r="H716" i="11" s="1"/>
  <c r="F717" i="11"/>
  <c r="H717" i="11" s="1"/>
  <c r="F718" i="11"/>
  <c r="H718" i="11" s="1"/>
  <c r="F719" i="11"/>
  <c r="H719" i="11" s="1"/>
  <c r="F720" i="11"/>
  <c r="H720" i="11" s="1"/>
  <c r="F721" i="11"/>
  <c r="H721" i="11" s="1"/>
  <c r="F722" i="11"/>
  <c r="H722" i="11" s="1"/>
  <c r="F723" i="11"/>
  <c r="H723" i="11" s="1"/>
  <c r="F724" i="11"/>
  <c r="H724" i="11" s="1"/>
  <c r="F725" i="11"/>
  <c r="H725" i="11" s="1"/>
  <c r="F726" i="11"/>
  <c r="H726" i="11" s="1"/>
  <c r="F727" i="11"/>
  <c r="H727" i="11" s="1"/>
  <c r="F728" i="11"/>
  <c r="H728" i="11" s="1"/>
  <c r="F729" i="11"/>
  <c r="H729" i="11" s="1"/>
  <c r="F730" i="11"/>
  <c r="H730" i="11" s="1"/>
  <c r="F731" i="11"/>
  <c r="H731" i="11" s="1"/>
  <c r="F732" i="11"/>
  <c r="H732" i="11" s="1"/>
  <c r="F733" i="11"/>
  <c r="H733" i="11" s="1"/>
  <c r="F734" i="11"/>
  <c r="H734" i="11" s="1"/>
  <c r="F735" i="11"/>
  <c r="H735" i="11" s="1"/>
  <c r="F736" i="11"/>
  <c r="H736" i="11" s="1"/>
  <c r="F737" i="11"/>
  <c r="H737" i="11" s="1"/>
  <c r="F738" i="11"/>
  <c r="H738" i="11" s="1"/>
  <c r="F739" i="11"/>
  <c r="H739" i="11"/>
  <c r="F740" i="11"/>
  <c r="H740" i="11" s="1"/>
  <c r="F741" i="11"/>
  <c r="H741" i="11" s="1"/>
  <c r="F742" i="11"/>
  <c r="H742" i="11" s="1"/>
  <c r="F743" i="11"/>
  <c r="H743" i="11" s="1"/>
  <c r="F744" i="11"/>
  <c r="H744" i="11" s="1"/>
  <c r="F745" i="11"/>
  <c r="H745" i="11" s="1"/>
  <c r="F746" i="11"/>
  <c r="H746" i="11" s="1"/>
  <c r="F747" i="11"/>
  <c r="H747" i="11" s="1"/>
  <c r="F748" i="11"/>
  <c r="H748" i="11"/>
  <c r="F749" i="11"/>
  <c r="H749" i="11"/>
  <c r="F750" i="11"/>
  <c r="H750" i="11"/>
  <c r="F751" i="11"/>
  <c r="H751" i="11" s="1"/>
  <c r="F752" i="11"/>
  <c r="H752" i="11" s="1"/>
  <c r="F753" i="11"/>
  <c r="H753" i="11" s="1"/>
  <c r="F754" i="11"/>
  <c r="H754" i="11" s="1"/>
  <c r="F755" i="11"/>
  <c r="H755" i="11" s="1"/>
  <c r="F756" i="11"/>
  <c r="H756" i="11" s="1"/>
  <c r="F757" i="11"/>
  <c r="H757" i="11" s="1"/>
  <c r="F758" i="11"/>
  <c r="H758" i="11" s="1"/>
  <c r="F759" i="11"/>
  <c r="H759" i="11" s="1"/>
  <c r="F760" i="11"/>
  <c r="H760" i="11" s="1"/>
  <c r="F761" i="11"/>
  <c r="H761" i="11" s="1"/>
  <c r="F762" i="11"/>
  <c r="H762" i="11" s="1"/>
  <c r="F763" i="11"/>
  <c r="H763" i="11" s="1"/>
  <c r="F764" i="11"/>
  <c r="H764" i="11" s="1"/>
  <c r="F765" i="11"/>
  <c r="H765" i="11" s="1"/>
  <c r="F766" i="11"/>
  <c r="H766" i="11" s="1"/>
  <c r="F767" i="11"/>
  <c r="H767" i="11" s="1"/>
  <c r="F768" i="11"/>
  <c r="H768" i="11" s="1"/>
  <c r="F769" i="11"/>
  <c r="H769" i="11" s="1"/>
  <c r="F770" i="11"/>
  <c r="H770" i="11" s="1"/>
  <c r="F771" i="11"/>
  <c r="H771" i="11" s="1"/>
  <c r="F772" i="11"/>
  <c r="H772" i="11" s="1"/>
  <c r="F773" i="11"/>
  <c r="H773" i="11" s="1"/>
  <c r="F774" i="11"/>
  <c r="H774" i="11" s="1"/>
  <c r="F775" i="11"/>
  <c r="H775" i="11" s="1"/>
  <c r="F776" i="11"/>
  <c r="H776" i="11" s="1"/>
  <c r="F777" i="11"/>
  <c r="H777" i="11" s="1"/>
  <c r="F778" i="11"/>
  <c r="H778" i="11" s="1"/>
  <c r="F779" i="11"/>
  <c r="H779" i="11" s="1"/>
  <c r="F780" i="11"/>
  <c r="H780" i="11" s="1"/>
  <c r="F781" i="11"/>
  <c r="H781" i="11" s="1"/>
  <c r="F782" i="11"/>
  <c r="H782" i="11" s="1"/>
  <c r="F783" i="11"/>
  <c r="H783" i="11" s="1"/>
  <c r="F784" i="11"/>
  <c r="H784" i="11" s="1"/>
  <c r="F785" i="11"/>
  <c r="H785" i="11" s="1"/>
  <c r="F786" i="11"/>
  <c r="H786" i="11" s="1"/>
  <c r="F787" i="11"/>
  <c r="H787" i="11" s="1"/>
  <c r="F788" i="11"/>
  <c r="H788" i="11" s="1"/>
  <c r="F789" i="11"/>
  <c r="H789" i="11" s="1"/>
  <c r="F790" i="11"/>
  <c r="H790" i="11" s="1"/>
  <c r="F791" i="11"/>
  <c r="H791" i="11" s="1"/>
  <c r="F792" i="11"/>
  <c r="H792" i="11" s="1"/>
  <c r="F793" i="11"/>
  <c r="H793" i="11" s="1"/>
  <c r="F794" i="11"/>
  <c r="H794" i="11" s="1"/>
  <c r="F795" i="11"/>
  <c r="H795" i="11" s="1"/>
  <c r="F796" i="11"/>
  <c r="H796" i="11" s="1"/>
  <c r="F797" i="11"/>
  <c r="H797" i="11" s="1"/>
  <c r="F798" i="11"/>
  <c r="H798" i="11" s="1"/>
  <c r="F799" i="11"/>
  <c r="H799" i="11" s="1"/>
  <c r="F800" i="11"/>
  <c r="H800" i="11" s="1"/>
  <c r="F801" i="11"/>
  <c r="H801" i="11" s="1"/>
  <c r="F802" i="11"/>
  <c r="H802" i="11" s="1"/>
  <c r="F803" i="11"/>
  <c r="H803" i="11" s="1"/>
  <c r="F804" i="11"/>
  <c r="H804" i="11" s="1"/>
  <c r="F805" i="11"/>
  <c r="H805" i="11" s="1"/>
  <c r="F806" i="11"/>
  <c r="H806" i="11" s="1"/>
  <c r="F807" i="11"/>
  <c r="H807" i="11" s="1"/>
  <c r="F808" i="11"/>
  <c r="H808" i="11" s="1"/>
  <c r="F809" i="11"/>
  <c r="H809" i="11" s="1"/>
  <c r="F810" i="11"/>
  <c r="H810" i="11" s="1"/>
  <c r="F811" i="11"/>
  <c r="H811" i="11" s="1"/>
  <c r="F812" i="11"/>
  <c r="H812" i="11" s="1"/>
  <c r="F813" i="11"/>
  <c r="H813" i="11" s="1"/>
  <c r="F814" i="11"/>
  <c r="H814" i="11" s="1"/>
  <c r="F815" i="11"/>
  <c r="H815" i="11" s="1"/>
  <c r="F816" i="11"/>
  <c r="H816" i="11"/>
  <c r="F817" i="11"/>
  <c r="H817" i="11"/>
  <c r="F818" i="11"/>
  <c r="H818" i="11" s="1"/>
  <c r="F819" i="11"/>
  <c r="H819" i="11" s="1"/>
  <c r="F820" i="11"/>
  <c r="H820" i="11" s="1"/>
  <c r="F821" i="11"/>
  <c r="H821" i="11" s="1"/>
  <c r="F822" i="11"/>
  <c r="H822" i="11" s="1"/>
  <c r="F823" i="11"/>
  <c r="H823" i="11" s="1"/>
  <c r="F824" i="11"/>
  <c r="H824" i="11" s="1"/>
  <c r="F825" i="11"/>
  <c r="H825" i="11" s="1"/>
  <c r="F826" i="11"/>
  <c r="H826" i="11" s="1"/>
  <c r="F827" i="11"/>
  <c r="H827" i="11" s="1"/>
  <c r="F828" i="11"/>
  <c r="H828" i="11" s="1"/>
  <c r="F829" i="11"/>
  <c r="H829" i="11" s="1"/>
  <c r="F830" i="11"/>
  <c r="H830" i="11" s="1"/>
  <c r="F831" i="11"/>
  <c r="H831" i="11" s="1"/>
  <c r="F832" i="11"/>
  <c r="H832" i="11" s="1"/>
  <c r="F833" i="11"/>
  <c r="H833" i="11" s="1"/>
  <c r="F834" i="11"/>
  <c r="H834" i="11" s="1"/>
  <c r="F835" i="11"/>
  <c r="H835" i="11" s="1"/>
  <c r="F836" i="11"/>
  <c r="H836" i="11" s="1"/>
  <c r="F837" i="11"/>
  <c r="H837" i="11" s="1"/>
  <c r="F838" i="11"/>
  <c r="H838" i="11" s="1"/>
  <c r="F839" i="11"/>
  <c r="H839" i="11" s="1"/>
  <c r="F840" i="11"/>
  <c r="H840" i="11" s="1"/>
  <c r="F841" i="11"/>
  <c r="H841" i="11" s="1"/>
  <c r="F842" i="11"/>
  <c r="H842" i="11" s="1"/>
  <c r="F843" i="11"/>
  <c r="H843" i="11"/>
  <c r="F844" i="11"/>
  <c r="H844" i="11" s="1"/>
  <c r="F845" i="11"/>
  <c r="H845" i="11" s="1"/>
  <c r="F846" i="11"/>
  <c r="H846" i="11" s="1"/>
  <c r="F847" i="11"/>
  <c r="H847" i="11" s="1"/>
  <c r="F848" i="11"/>
  <c r="H848" i="11" s="1"/>
  <c r="F849" i="11"/>
  <c r="H849" i="11" s="1"/>
  <c r="F850" i="11"/>
  <c r="H850" i="11"/>
  <c r="F851" i="11"/>
  <c r="H851" i="11" s="1"/>
  <c r="F852" i="11"/>
  <c r="H852" i="11" s="1"/>
  <c r="F853" i="11"/>
  <c r="H853" i="11" s="1"/>
  <c r="F854" i="11"/>
  <c r="H854" i="11" s="1"/>
  <c r="F855" i="11"/>
  <c r="H855" i="11" s="1"/>
  <c r="F856" i="11"/>
  <c r="H856" i="11" s="1"/>
  <c r="F857" i="11"/>
  <c r="H857" i="11" s="1"/>
  <c r="F858" i="11"/>
  <c r="H858" i="11" s="1"/>
  <c r="F859" i="11"/>
  <c r="H859" i="11" s="1"/>
  <c r="F860" i="11"/>
  <c r="H860" i="11" s="1"/>
  <c r="F861" i="11"/>
  <c r="H861" i="11" s="1"/>
  <c r="F862" i="11"/>
  <c r="H862" i="11" s="1"/>
  <c r="F863" i="11"/>
  <c r="H863" i="11" s="1"/>
  <c r="F864" i="11"/>
  <c r="H864" i="11" s="1"/>
  <c r="F865" i="11"/>
  <c r="H865" i="11" s="1"/>
  <c r="F866" i="11"/>
  <c r="H866" i="11" s="1"/>
  <c r="F867" i="11"/>
  <c r="H867" i="11" s="1"/>
  <c r="F868" i="11"/>
  <c r="H868" i="11" s="1"/>
  <c r="F869" i="11"/>
  <c r="H869" i="11" s="1"/>
  <c r="F870" i="11"/>
  <c r="H870" i="11" s="1"/>
  <c r="F871" i="11"/>
  <c r="H871" i="11" s="1"/>
  <c r="F872" i="11"/>
  <c r="H872" i="11"/>
  <c r="F873" i="11"/>
  <c r="H873" i="11"/>
  <c r="F874" i="11"/>
  <c r="H874" i="11"/>
  <c r="F875" i="11"/>
  <c r="H875" i="11" s="1"/>
  <c r="F876" i="11"/>
  <c r="H876" i="11" s="1"/>
  <c r="F877" i="11"/>
  <c r="H877" i="11" s="1"/>
  <c r="F878" i="11"/>
  <c r="H878" i="11" s="1"/>
  <c r="F879" i="11"/>
  <c r="H879" i="11" s="1"/>
  <c r="F880" i="11"/>
  <c r="H880" i="11"/>
  <c r="F881" i="11"/>
  <c r="H881" i="11" s="1"/>
  <c r="F882" i="11"/>
  <c r="H882" i="11" s="1"/>
  <c r="F883" i="11"/>
  <c r="H883" i="11" s="1"/>
  <c r="F884" i="11"/>
  <c r="H884" i="11" s="1"/>
  <c r="F885" i="11"/>
  <c r="H885" i="11" s="1"/>
  <c r="F886" i="11"/>
  <c r="H886" i="11"/>
  <c r="F887" i="11"/>
  <c r="H887" i="11" s="1"/>
  <c r="F888" i="11"/>
  <c r="H888" i="11" s="1"/>
  <c r="F889" i="11"/>
  <c r="H889" i="11" s="1"/>
  <c r="F890" i="11"/>
  <c r="H890" i="11" s="1"/>
  <c r="F891" i="11"/>
  <c r="H891" i="11" s="1"/>
  <c r="F892" i="11"/>
  <c r="H892" i="11" s="1"/>
  <c r="F893" i="11"/>
  <c r="H893" i="11" s="1"/>
  <c r="F894" i="11"/>
  <c r="H894" i="11" s="1"/>
  <c r="F895" i="11"/>
  <c r="H895" i="11" s="1"/>
  <c r="F896" i="11"/>
  <c r="H896" i="11" s="1"/>
  <c r="F897" i="11"/>
  <c r="H897" i="11" s="1"/>
  <c r="F898" i="11"/>
  <c r="H898" i="11" s="1"/>
  <c r="F899" i="11"/>
  <c r="H899" i="11" s="1"/>
  <c r="F900" i="11"/>
  <c r="H900" i="11" s="1"/>
  <c r="F901" i="11"/>
  <c r="H901" i="11" s="1"/>
  <c r="F902" i="11"/>
  <c r="H902" i="11" s="1"/>
  <c r="F903" i="11"/>
  <c r="H903" i="11" s="1"/>
  <c r="F904" i="11"/>
  <c r="H904" i="11" s="1"/>
  <c r="F905" i="11"/>
  <c r="H905" i="11" s="1"/>
  <c r="F906" i="11"/>
  <c r="H906" i="11" s="1"/>
  <c r="F907" i="11"/>
  <c r="H907" i="11" s="1"/>
  <c r="F908" i="11"/>
  <c r="H908" i="11" s="1"/>
  <c r="F909" i="11"/>
  <c r="H909" i="11" s="1"/>
  <c r="F910" i="11"/>
  <c r="H910" i="11" s="1"/>
  <c r="F911" i="11"/>
  <c r="H911" i="11" s="1"/>
  <c r="F912" i="11"/>
  <c r="H912" i="11" s="1"/>
  <c r="F913" i="11"/>
  <c r="H913" i="11" s="1"/>
  <c r="F914" i="11"/>
  <c r="H914" i="11" s="1"/>
  <c r="F915" i="11"/>
  <c r="H915" i="11" s="1"/>
  <c r="F916" i="11"/>
  <c r="H916" i="11" s="1"/>
  <c r="F917" i="11"/>
  <c r="H917" i="11" s="1"/>
  <c r="F918" i="11"/>
  <c r="H918" i="11" s="1"/>
  <c r="F919" i="11"/>
  <c r="H919" i="11" s="1"/>
  <c r="F920" i="11"/>
  <c r="H920" i="11" s="1"/>
  <c r="F921" i="11"/>
  <c r="H921" i="11" s="1"/>
  <c r="F922" i="11"/>
  <c r="H922" i="11" s="1"/>
  <c r="F923" i="11"/>
  <c r="H923" i="11" s="1"/>
  <c r="F924" i="11"/>
  <c r="H924" i="11" s="1"/>
  <c r="F925" i="11"/>
  <c r="H925" i="11" s="1"/>
  <c r="F926" i="11"/>
  <c r="H926" i="11" s="1"/>
  <c r="F927" i="11"/>
  <c r="H927" i="11" s="1"/>
  <c r="F928" i="11"/>
  <c r="H928" i="11" s="1"/>
  <c r="F929" i="11"/>
  <c r="H929" i="11" s="1"/>
  <c r="F930" i="11"/>
  <c r="H930" i="11" s="1"/>
  <c r="F931" i="11"/>
  <c r="H931" i="11" s="1"/>
  <c r="F932" i="11"/>
  <c r="H932" i="11" s="1"/>
  <c r="F933" i="11"/>
  <c r="H933" i="11" s="1"/>
  <c r="F934" i="11"/>
  <c r="H934" i="11" s="1"/>
  <c r="F935" i="11"/>
  <c r="H935" i="11" s="1"/>
  <c r="F936" i="11"/>
  <c r="H936" i="11" s="1"/>
  <c r="F937" i="11"/>
  <c r="H937" i="11" s="1"/>
  <c r="F938" i="11"/>
  <c r="H938" i="11" s="1"/>
  <c r="F939" i="11"/>
  <c r="H939" i="11" s="1"/>
  <c r="F940" i="11"/>
  <c r="H940" i="11" s="1"/>
  <c r="F941" i="11"/>
  <c r="H941" i="11" s="1"/>
  <c r="F942" i="11"/>
  <c r="H942" i="11" s="1"/>
  <c r="F943" i="11"/>
  <c r="H943" i="11" s="1"/>
  <c r="F944" i="11"/>
  <c r="H944" i="11" s="1"/>
  <c r="F945" i="11"/>
  <c r="H945" i="11" s="1"/>
  <c r="F946" i="11"/>
  <c r="H946" i="11" s="1"/>
  <c r="F947" i="11"/>
  <c r="H947" i="11" s="1"/>
  <c r="F948" i="11"/>
  <c r="H948" i="11" s="1"/>
  <c r="F949" i="11"/>
  <c r="H949" i="11" s="1"/>
  <c r="F950" i="11"/>
  <c r="H950" i="11" s="1"/>
  <c r="F951" i="11"/>
  <c r="H951" i="11" s="1"/>
  <c r="F952" i="11"/>
  <c r="H952" i="11" s="1"/>
  <c r="F953" i="11"/>
  <c r="H953" i="11" s="1"/>
  <c r="F954" i="11"/>
  <c r="H954" i="11" s="1"/>
  <c r="F955" i="11"/>
  <c r="H955" i="11" s="1"/>
  <c r="F956" i="11"/>
  <c r="H956" i="11" s="1"/>
  <c r="F957" i="11"/>
  <c r="H957" i="11" s="1"/>
  <c r="F958" i="11"/>
  <c r="H958" i="11" s="1"/>
  <c r="F959" i="11"/>
  <c r="H959" i="11" s="1"/>
  <c r="F960" i="11"/>
  <c r="H960" i="11" s="1"/>
  <c r="F961" i="11"/>
  <c r="H961" i="11" s="1"/>
  <c r="F962" i="11"/>
  <c r="H962" i="11" s="1"/>
  <c r="F963" i="11"/>
  <c r="H963" i="11" s="1"/>
  <c r="F964" i="11"/>
  <c r="H964" i="11" s="1"/>
  <c r="F965" i="11"/>
  <c r="H965" i="11" s="1"/>
  <c r="F966" i="11"/>
  <c r="H966" i="11" s="1"/>
  <c r="F967" i="11"/>
  <c r="H967" i="11" s="1"/>
  <c r="F968" i="11"/>
  <c r="H968" i="11" s="1"/>
  <c r="F969" i="11"/>
  <c r="H969" i="11" s="1"/>
  <c r="F970" i="11"/>
  <c r="H970" i="11" s="1"/>
  <c r="F971" i="11"/>
  <c r="H971" i="11" s="1"/>
  <c r="F972" i="11"/>
  <c r="H972" i="11" s="1"/>
  <c r="F973" i="11"/>
  <c r="H973" i="11" s="1"/>
  <c r="F974" i="11"/>
  <c r="H974" i="11" s="1"/>
  <c r="F975" i="11"/>
  <c r="H975" i="11" s="1"/>
  <c r="F976" i="11"/>
  <c r="H976" i="11" s="1"/>
  <c r="F977" i="11"/>
  <c r="H977" i="11" s="1"/>
  <c r="F978" i="11"/>
  <c r="H978" i="11" s="1"/>
  <c r="F979" i="11"/>
  <c r="H979" i="11" s="1"/>
  <c r="F980" i="11"/>
  <c r="H980" i="11" s="1"/>
  <c r="F981" i="11"/>
  <c r="H981" i="11" s="1"/>
  <c r="F982" i="11"/>
  <c r="H982" i="11" s="1"/>
  <c r="F983" i="11"/>
  <c r="H983" i="11" s="1"/>
  <c r="F984" i="11"/>
  <c r="H984" i="11" s="1"/>
  <c r="F985" i="11"/>
  <c r="H985" i="11" s="1"/>
  <c r="F986" i="11"/>
  <c r="H986" i="11" s="1"/>
  <c r="F987" i="11"/>
  <c r="H987" i="11" s="1"/>
  <c r="F988" i="11"/>
  <c r="H988" i="11" s="1"/>
  <c r="F989" i="11"/>
  <c r="H989" i="11" s="1"/>
  <c r="F990" i="11"/>
  <c r="H990" i="11" s="1"/>
  <c r="F991" i="11"/>
  <c r="H991" i="11" s="1"/>
  <c r="F992" i="11"/>
  <c r="H992" i="11" s="1"/>
  <c r="F993" i="11"/>
  <c r="H993" i="11" s="1"/>
  <c r="F994" i="11"/>
  <c r="H994" i="11" s="1"/>
  <c r="F995" i="11"/>
  <c r="H995" i="11" s="1"/>
  <c r="F996" i="11"/>
  <c r="H996" i="11" s="1"/>
  <c r="F997" i="11"/>
  <c r="H997" i="11" s="1"/>
  <c r="F998" i="11"/>
  <c r="H998" i="11" s="1"/>
  <c r="F999" i="11"/>
  <c r="H999" i="11" s="1"/>
  <c r="F1000" i="11"/>
  <c r="H1000" i="11" s="1"/>
  <c r="F1001" i="11"/>
  <c r="H1001" i="11" s="1"/>
  <c r="F1002" i="11"/>
  <c r="H1002" i="11" s="1"/>
  <c r="F1003" i="11"/>
  <c r="H1003" i="11" s="1"/>
  <c r="F1004" i="11"/>
  <c r="H1004" i="11" s="1"/>
  <c r="F1005" i="11"/>
  <c r="H1005" i="11" s="1"/>
  <c r="F1006" i="11"/>
  <c r="H1006" i="11" s="1"/>
  <c r="F1007" i="11"/>
  <c r="H1007" i="11" s="1"/>
  <c r="F1008" i="11"/>
  <c r="H1008" i="11" s="1"/>
  <c r="F1009" i="11"/>
  <c r="H1009" i="11" s="1"/>
  <c r="F1010" i="11"/>
  <c r="H1010" i="11" s="1"/>
  <c r="F1011" i="11"/>
  <c r="H1011" i="11"/>
  <c r="F1012" i="11"/>
  <c r="H1012" i="11" s="1"/>
  <c r="F1013" i="11"/>
  <c r="H1013" i="11" s="1"/>
  <c r="F1014" i="11"/>
  <c r="H1014" i="11" s="1"/>
  <c r="F1015" i="11"/>
  <c r="H1015" i="11" s="1"/>
  <c r="F1016" i="11"/>
  <c r="H1016" i="11" s="1"/>
  <c r="F1017" i="11"/>
  <c r="H1017" i="11"/>
  <c r="F1018" i="11"/>
  <c r="H1018" i="11" s="1"/>
  <c r="F1019" i="11"/>
  <c r="H1019" i="11" s="1"/>
  <c r="F1020" i="11"/>
  <c r="H1020" i="11" s="1"/>
  <c r="F1021" i="11"/>
  <c r="H1021" i="11" s="1"/>
  <c r="F1022" i="11"/>
  <c r="H1022" i="11" s="1"/>
  <c r="F1023" i="11"/>
  <c r="H1023" i="11" s="1"/>
  <c r="F1024" i="11"/>
  <c r="H1024" i="11" s="1"/>
  <c r="F1025" i="11"/>
  <c r="H1025" i="11" s="1"/>
  <c r="F1026" i="11"/>
  <c r="H1026" i="11" s="1"/>
  <c r="F1027" i="11"/>
  <c r="H1027" i="11" s="1"/>
  <c r="F1028" i="11"/>
  <c r="H1028" i="11" s="1"/>
  <c r="F1029" i="11"/>
  <c r="H1029" i="11" s="1"/>
  <c r="F1030" i="11"/>
  <c r="H1030" i="11" s="1"/>
  <c r="F1031" i="11"/>
  <c r="H1031" i="11" s="1"/>
  <c r="F1032" i="11"/>
  <c r="H1032" i="11" s="1"/>
  <c r="F1033" i="11"/>
  <c r="H1033" i="11" s="1"/>
  <c r="F1034" i="11"/>
  <c r="H1034" i="11" s="1"/>
  <c r="F1035" i="11"/>
  <c r="H1035" i="11" s="1"/>
  <c r="F1036" i="11"/>
  <c r="H1036" i="11" s="1"/>
  <c r="F1037" i="11"/>
  <c r="H1037" i="11" s="1"/>
  <c r="F1038" i="11"/>
  <c r="H1038" i="11" s="1"/>
  <c r="F1039" i="11"/>
  <c r="H1039" i="11" s="1"/>
  <c r="F1040" i="11"/>
  <c r="H1040" i="11" s="1"/>
  <c r="F1041" i="11"/>
  <c r="H1041" i="11" s="1"/>
  <c r="F1042" i="11"/>
  <c r="H1042" i="11" s="1"/>
  <c r="F1043" i="11"/>
  <c r="H1043" i="11" s="1"/>
  <c r="F1044" i="11"/>
  <c r="H1044" i="11" s="1"/>
  <c r="F1045" i="11"/>
  <c r="H1045" i="11" s="1"/>
  <c r="F1046" i="11"/>
  <c r="H1046" i="11" s="1"/>
  <c r="F1047" i="11"/>
  <c r="H1047" i="11" s="1"/>
  <c r="F1048" i="11"/>
  <c r="H1048" i="11" s="1"/>
  <c r="F1049" i="11"/>
  <c r="H1049" i="11" s="1"/>
  <c r="F1050" i="11"/>
  <c r="H1050" i="11" s="1"/>
  <c r="F1051" i="11"/>
  <c r="H1051" i="11" s="1"/>
  <c r="F1052" i="11"/>
  <c r="H1052" i="11" s="1"/>
  <c r="F1053" i="11"/>
  <c r="H1053" i="11" s="1"/>
  <c r="F1054" i="11"/>
  <c r="H1054" i="11" s="1"/>
  <c r="F1055" i="11"/>
  <c r="H1055" i="11" s="1"/>
  <c r="F1056" i="11"/>
  <c r="H1056" i="11" s="1"/>
  <c r="F1057" i="11"/>
  <c r="H1057" i="11" s="1"/>
  <c r="F1058" i="11"/>
  <c r="H1058" i="11" s="1"/>
  <c r="F1059" i="11"/>
  <c r="H1059" i="11" s="1"/>
  <c r="F1060" i="11"/>
  <c r="H1060" i="11" s="1"/>
  <c r="F1061" i="11"/>
  <c r="H1061" i="11" s="1"/>
  <c r="F1062" i="11"/>
  <c r="H1062" i="11" s="1"/>
  <c r="F1063" i="11"/>
  <c r="H1063" i="11" s="1"/>
  <c r="F1064" i="11"/>
  <c r="H1064" i="11" s="1"/>
  <c r="F1065" i="11"/>
  <c r="H1065" i="11" s="1"/>
  <c r="F1066" i="11"/>
  <c r="H1066" i="11" s="1"/>
  <c r="F1067" i="11"/>
  <c r="H1067" i="11" s="1"/>
  <c r="F1068" i="11"/>
  <c r="H1068" i="11" s="1"/>
  <c r="F1069" i="11"/>
  <c r="H1069" i="11" s="1"/>
  <c r="F1070" i="11"/>
  <c r="H1070" i="11" s="1"/>
  <c r="F1071" i="11"/>
  <c r="H1071" i="11" s="1"/>
  <c r="F1072" i="11"/>
  <c r="H1072" i="11" s="1"/>
  <c r="F1073" i="11"/>
  <c r="H1073" i="11" s="1"/>
  <c r="F1074" i="11"/>
  <c r="H1074" i="11" s="1"/>
  <c r="F1075" i="11"/>
  <c r="H1075" i="11" s="1"/>
  <c r="F1076" i="11"/>
  <c r="H1076" i="11" s="1"/>
  <c r="F1077" i="11"/>
  <c r="H1077" i="11" s="1"/>
  <c r="F1078" i="11"/>
  <c r="H1078" i="11"/>
  <c r="F1079" i="11"/>
  <c r="H1079" i="11" s="1"/>
  <c r="F1080" i="11"/>
  <c r="H1080" i="11" s="1"/>
  <c r="F1081" i="11"/>
  <c r="H1081" i="11" s="1"/>
  <c r="F1082" i="11"/>
  <c r="H1082" i="11" s="1"/>
  <c r="F1083" i="11"/>
  <c r="H1083" i="11" s="1"/>
  <c r="F1084" i="11"/>
  <c r="H1084" i="11" s="1"/>
  <c r="F1085" i="11"/>
  <c r="H1085" i="11" s="1"/>
  <c r="F1086" i="11"/>
  <c r="H1086" i="11" s="1"/>
  <c r="F1087" i="11"/>
  <c r="H1087" i="11" s="1"/>
  <c r="F1088" i="11"/>
  <c r="H1088" i="11" s="1"/>
  <c r="F1089" i="11"/>
  <c r="H1089" i="11" s="1"/>
  <c r="F1090" i="11"/>
  <c r="H1090" i="11" s="1"/>
  <c r="F1091" i="11"/>
  <c r="H1091" i="11" s="1"/>
  <c r="F1092" i="11"/>
  <c r="H1092" i="11" s="1"/>
  <c r="F1093" i="11"/>
  <c r="H1093" i="11" s="1"/>
  <c r="F1094" i="11"/>
  <c r="H1094" i="11" s="1"/>
  <c r="F1095" i="11"/>
  <c r="H1095" i="11" s="1"/>
  <c r="F1096" i="11"/>
  <c r="H1096" i="11" s="1"/>
  <c r="F1097" i="11"/>
  <c r="H1097" i="11" s="1"/>
  <c r="F1098" i="11"/>
  <c r="H1098" i="11" s="1"/>
  <c r="F1099" i="11"/>
  <c r="H1099" i="11" s="1"/>
  <c r="F1100" i="11"/>
  <c r="H1100" i="11" s="1"/>
  <c r="F1101" i="11"/>
  <c r="H1101" i="11" s="1"/>
  <c r="F1102" i="11"/>
  <c r="H1102" i="11" s="1"/>
  <c r="F1103" i="11"/>
  <c r="H1103" i="11" s="1"/>
  <c r="F1104" i="11"/>
  <c r="H1104" i="11" s="1"/>
  <c r="F1105" i="11"/>
  <c r="H1105" i="11" s="1"/>
  <c r="F1106" i="11"/>
  <c r="H1106" i="11" s="1"/>
  <c r="F1107" i="11"/>
  <c r="H1107" i="11" s="1"/>
  <c r="F1108" i="11"/>
  <c r="H1108" i="11" s="1"/>
  <c r="F1109" i="11"/>
  <c r="H1109" i="11" s="1"/>
  <c r="F1110" i="11"/>
  <c r="H1110" i="11" s="1"/>
  <c r="F1111" i="11"/>
  <c r="H1111" i="11" s="1"/>
  <c r="F1112" i="11"/>
  <c r="H1112" i="11" s="1"/>
  <c r="F1113" i="11"/>
  <c r="H1113" i="11" s="1"/>
  <c r="F1114" i="11"/>
  <c r="H1114" i="11" s="1"/>
  <c r="F1115" i="11"/>
  <c r="H1115" i="11" s="1"/>
  <c r="F1116" i="11"/>
  <c r="H1116" i="11" s="1"/>
  <c r="F1117" i="11"/>
  <c r="H1117" i="11" s="1"/>
  <c r="F1118" i="11"/>
  <c r="H1118" i="11" s="1"/>
  <c r="F1119" i="11"/>
  <c r="H1119" i="11" s="1"/>
  <c r="F1120" i="11"/>
  <c r="H1120" i="11" s="1"/>
  <c r="F1121" i="11"/>
  <c r="H1121" i="11" s="1"/>
  <c r="F1122" i="11"/>
  <c r="H1122" i="11" s="1"/>
  <c r="F1123" i="11"/>
  <c r="H1123" i="11" s="1"/>
  <c r="F1124" i="11"/>
  <c r="H1124" i="11" s="1"/>
  <c r="F1125" i="11"/>
  <c r="H1125" i="11" s="1"/>
  <c r="F1126" i="11"/>
  <c r="H1126" i="11" s="1"/>
  <c r="F1127" i="11"/>
  <c r="H1127" i="11" s="1"/>
  <c r="F1128" i="11"/>
  <c r="H1128" i="11" s="1"/>
  <c r="F1129" i="11"/>
  <c r="H1129" i="11" s="1"/>
  <c r="F1130" i="11"/>
  <c r="H1130" i="11" s="1"/>
  <c r="F1131" i="11"/>
  <c r="H1131" i="11" s="1"/>
  <c r="F1132" i="11"/>
  <c r="H1132" i="11" s="1"/>
  <c r="F1133" i="11"/>
  <c r="H1133" i="11" s="1"/>
  <c r="F1134" i="11"/>
  <c r="H1134" i="11" s="1"/>
  <c r="F1135" i="11"/>
  <c r="H1135" i="11" s="1"/>
  <c r="F1136" i="11"/>
  <c r="H1136" i="11"/>
  <c r="F1137" i="11"/>
  <c r="H1137" i="11" s="1"/>
  <c r="F1138" i="11"/>
  <c r="H1138" i="11" s="1"/>
  <c r="F1139" i="11"/>
  <c r="H1139" i="11" s="1"/>
  <c r="F1140" i="11"/>
  <c r="H1140" i="11"/>
  <c r="F1141" i="11"/>
  <c r="H1141" i="11" s="1"/>
  <c r="F1142" i="11"/>
  <c r="H1142" i="11"/>
  <c r="F1143" i="11"/>
  <c r="H1143" i="11" s="1"/>
  <c r="F1144" i="11"/>
  <c r="H1144" i="11" s="1"/>
  <c r="F1145" i="11"/>
  <c r="H1145" i="11" s="1"/>
  <c r="F1146" i="11"/>
  <c r="H1146" i="11" s="1"/>
  <c r="F1147" i="11"/>
  <c r="H1147" i="11" s="1"/>
  <c r="F1148" i="11"/>
  <c r="H1148" i="11" s="1"/>
  <c r="F1149" i="11"/>
  <c r="H1149" i="11" s="1"/>
  <c r="F1150" i="11"/>
  <c r="H1150" i="11" s="1"/>
  <c r="F1151" i="11"/>
  <c r="H1151" i="11" s="1"/>
  <c r="F1152" i="11"/>
  <c r="H1152" i="11" s="1"/>
  <c r="F1153" i="11"/>
  <c r="H1153" i="11" s="1"/>
  <c r="F1154" i="11"/>
  <c r="H1154" i="11" s="1"/>
  <c r="F1155" i="11"/>
  <c r="H1155" i="11" s="1"/>
  <c r="F1156" i="11"/>
  <c r="H1156" i="11" s="1"/>
  <c r="F1157" i="11"/>
  <c r="H1157" i="11" s="1"/>
  <c r="F1158" i="11"/>
  <c r="H1158" i="11" s="1"/>
  <c r="F1159" i="11"/>
  <c r="H1159" i="11" s="1"/>
  <c r="F1160" i="11"/>
  <c r="H1160" i="11" s="1"/>
  <c r="F1161" i="11"/>
  <c r="H1161" i="11" s="1"/>
  <c r="F1162" i="11"/>
  <c r="H1162" i="11" s="1"/>
  <c r="F1163" i="11"/>
  <c r="H1163" i="11" s="1"/>
  <c r="F1164" i="11"/>
  <c r="H1164" i="11" s="1"/>
  <c r="F1165" i="11"/>
  <c r="H1165" i="11" s="1"/>
  <c r="F1166" i="11"/>
  <c r="H1166" i="11" s="1"/>
  <c r="F1167" i="11"/>
  <c r="H1167" i="11" s="1"/>
  <c r="F1168" i="11"/>
  <c r="H1168" i="11" s="1"/>
  <c r="F1169" i="11"/>
  <c r="H1169" i="11" s="1"/>
  <c r="F1170" i="11"/>
  <c r="H1170" i="11" s="1"/>
  <c r="F1171" i="11"/>
  <c r="H1171" i="11" s="1"/>
  <c r="F1172" i="11"/>
  <c r="H1172" i="11" s="1"/>
  <c r="F1173" i="11"/>
  <c r="H1173" i="11" s="1"/>
  <c r="F1174" i="11"/>
  <c r="H1174" i="11" s="1"/>
  <c r="F1175" i="11"/>
  <c r="H1175" i="11" s="1"/>
  <c r="F1176" i="11"/>
  <c r="H1176" i="11" s="1"/>
  <c r="F1177" i="11"/>
  <c r="H1177" i="11" s="1"/>
  <c r="F1178" i="11"/>
  <c r="H1178" i="11" s="1"/>
  <c r="F1179" i="11"/>
  <c r="H1179" i="11" s="1"/>
  <c r="F1180" i="11"/>
  <c r="H1180" i="11" s="1"/>
  <c r="F1181" i="11"/>
  <c r="H1181" i="11" s="1"/>
  <c r="F1182" i="11"/>
  <c r="H1182" i="11" s="1"/>
  <c r="F1183" i="11"/>
  <c r="H1183" i="11" s="1"/>
  <c r="F1184" i="11"/>
  <c r="H1184" i="11" s="1"/>
  <c r="F1185" i="11"/>
  <c r="H1185" i="11" s="1"/>
  <c r="F1186" i="11"/>
  <c r="H1186" i="11" s="1"/>
  <c r="F1187" i="11"/>
  <c r="H1187" i="11" s="1"/>
  <c r="F1188" i="11"/>
  <c r="H1188" i="11" s="1"/>
  <c r="F1189" i="11"/>
  <c r="H1189" i="11" s="1"/>
  <c r="F1190" i="11"/>
  <c r="H1190" i="11" s="1"/>
  <c r="F1191" i="11"/>
  <c r="H1191" i="11" s="1"/>
  <c r="F1192" i="11"/>
  <c r="H1192" i="11" s="1"/>
  <c r="F1193" i="11"/>
  <c r="H1193" i="11" s="1"/>
  <c r="F1194" i="11"/>
  <c r="H1194" i="11" s="1"/>
  <c r="F1195" i="11"/>
  <c r="H1195" i="11" s="1"/>
  <c r="F1196" i="11"/>
  <c r="H1196" i="11" s="1"/>
  <c r="F1197" i="11"/>
  <c r="H1197" i="11" s="1"/>
  <c r="F1198" i="11"/>
  <c r="H1198" i="11" s="1"/>
  <c r="F1199" i="11"/>
  <c r="H1199" i="11" s="1"/>
  <c r="F1200" i="11"/>
  <c r="H1200" i="11" s="1"/>
  <c r="F1201" i="11"/>
  <c r="H1201" i="11" s="1"/>
  <c r="F1202" i="11"/>
  <c r="H1202" i="11" s="1"/>
  <c r="F1203" i="11"/>
  <c r="H1203" i="11" s="1"/>
  <c r="F1204" i="11"/>
  <c r="H1204" i="11" s="1"/>
  <c r="F1205" i="11"/>
  <c r="H1205" i="11" s="1"/>
  <c r="F1206" i="11"/>
  <c r="H1206" i="11"/>
  <c r="F1207" i="11"/>
  <c r="H1207" i="11" s="1"/>
  <c r="F1208" i="11"/>
  <c r="H1208" i="11"/>
  <c r="F1209" i="11"/>
  <c r="H1209" i="11"/>
  <c r="F1210" i="11"/>
  <c r="H1210" i="11" s="1"/>
  <c r="F1211" i="11"/>
  <c r="H1211" i="11" s="1"/>
  <c r="F1212" i="11"/>
  <c r="H1212" i="11" s="1"/>
  <c r="F1213" i="11"/>
  <c r="H1213" i="11" s="1"/>
  <c r="F1214" i="11"/>
  <c r="H1214" i="11"/>
  <c r="F1215" i="11"/>
  <c r="H1215" i="11" s="1"/>
  <c r="F1216" i="11"/>
  <c r="H1216" i="11" s="1"/>
  <c r="F1217" i="11"/>
  <c r="H1217" i="11" s="1"/>
  <c r="F1218" i="11"/>
  <c r="H1218" i="11" s="1"/>
  <c r="F1219" i="11"/>
  <c r="H1219" i="11" s="1"/>
  <c r="F1220" i="11"/>
  <c r="H1220" i="11" s="1"/>
  <c r="F1221" i="11"/>
  <c r="H1221" i="11" s="1"/>
  <c r="F1222" i="11"/>
  <c r="H1222" i="11" s="1"/>
  <c r="F1223" i="11"/>
  <c r="H1223" i="11" s="1"/>
  <c r="F1224" i="11"/>
  <c r="H1224" i="11" s="1"/>
  <c r="F1225" i="11"/>
  <c r="H1225" i="11" s="1"/>
  <c r="F1226" i="11"/>
  <c r="H1226" i="11" s="1"/>
  <c r="F1227" i="11"/>
  <c r="H1227" i="11" s="1"/>
  <c r="F1228" i="11"/>
  <c r="H1228" i="11" s="1"/>
  <c r="F1229" i="11"/>
  <c r="H1229" i="11" s="1"/>
  <c r="F1230" i="11"/>
  <c r="H1230" i="11" s="1"/>
  <c r="F1231" i="11"/>
  <c r="H1231" i="11" s="1"/>
  <c r="F1232" i="11"/>
  <c r="H1232" i="11" s="1"/>
  <c r="F1233" i="11"/>
  <c r="H1233" i="11" s="1"/>
  <c r="F1234" i="11"/>
  <c r="H1234" i="11" s="1"/>
  <c r="F1235" i="11"/>
  <c r="H1235" i="11" s="1"/>
  <c r="F1236" i="11"/>
  <c r="H1236" i="11" s="1"/>
  <c r="F1237" i="11"/>
  <c r="H1237" i="11" s="1"/>
  <c r="F1238" i="11"/>
  <c r="H1238" i="11" s="1"/>
  <c r="F1239" i="11"/>
  <c r="H1239" i="11" s="1"/>
  <c r="F1240" i="11"/>
  <c r="H1240" i="11" s="1"/>
  <c r="F1241" i="11"/>
  <c r="H1241" i="11" s="1"/>
  <c r="F1242" i="11"/>
  <c r="H1242" i="11" s="1"/>
  <c r="F1243" i="11"/>
  <c r="H1243" i="11" s="1"/>
  <c r="F1244" i="11"/>
  <c r="H1244" i="11" s="1"/>
  <c r="F1245" i="11"/>
  <c r="H1245" i="11" s="1"/>
  <c r="F1246" i="11"/>
  <c r="H1246" i="11" s="1"/>
  <c r="F1247" i="11"/>
  <c r="H1247" i="11" s="1"/>
  <c r="F1248" i="11"/>
  <c r="H1248" i="11" s="1"/>
  <c r="F1249" i="11"/>
  <c r="H1249" i="11" s="1"/>
  <c r="F1250" i="11"/>
  <c r="H1250" i="11" s="1"/>
  <c r="F1251" i="11"/>
  <c r="H1251" i="11" s="1"/>
  <c r="F1252" i="11"/>
  <c r="H1252" i="11" s="1"/>
  <c r="F1253" i="11"/>
  <c r="H1253" i="11" s="1"/>
  <c r="F1254" i="11"/>
  <c r="H1254" i="11" s="1"/>
  <c r="F1255" i="11"/>
  <c r="H1255" i="11" s="1"/>
  <c r="F1256" i="11"/>
  <c r="H1256" i="11" s="1"/>
  <c r="F1257" i="11"/>
  <c r="H1257" i="11" s="1"/>
  <c r="F1258" i="11"/>
  <c r="H1258" i="11" s="1"/>
  <c r="F1259" i="11"/>
  <c r="H1259" i="11" s="1"/>
  <c r="F1260" i="11"/>
  <c r="H1260" i="11" s="1"/>
  <c r="F1261" i="11"/>
  <c r="H1261" i="11" s="1"/>
  <c r="F1262" i="11"/>
  <c r="H1262" i="11" s="1"/>
  <c r="F1263" i="11"/>
  <c r="H1263" i="11" s="1"/>
  <c r="F1264" i="11"/>
  <c r="H1264" i="11" s="1"/>
  <c r="F1265" i="11"/>
  <c r="H1265" i="11" s="1"/>
  <c r="F1266" i="11"/>
  <c r="H1266" i="11" s="1"/>
  <c r="F1267" i="11"/>
  <c r="H1267" i="11" s="1"/>
  <c r="F1268" i="11"/>
  <c r="H1268" i="11" s="1"/>
  <c r="F1269" i="11"/>
  <c r="H1269" i="11" s="1"/>
  <c r="F1270" i="11"/>
  <c r="H1270" i="11" s="1"/>
  <c r="F1271" i="11"/>
  <c r="H1271" i="11" s="1"/>
  <c r="F1272" i="11"/>
  <c r="H1272" i="11" s="1"/>
  <c r="F1273" i="11"/>
  <c r="H1273" i="11" s="1"/>
  <c r="F1274" i="11"/>
  <c r="H1274" i="11" s="1"/>
  <c r="F1275" i="11"/>
  <c r="H1275" i="11"/>
  <c r="F1276" i="11"/>
  <c r="H1276" i="11" s="1"/>
  <c r="F1277" i="11"/>
  <c r="H1277" i="11" s="1"/>
  <c r="F1278" i="11"/>
  <c r="H1278" i="11" s="1"/>
  <c r="F1279" i="11"/>
  <c r="H1279" i="11" s="1"/>
  <c r="F1280" i="11"/>
  <c r="H1280" i="11" s="1"/>
  <c r="F1281" i="11"/>
  <c r="H1281" i="11" s="1"/>
  <c r="F1282" i="11"/>
  <c r="H1282" i="11" s="1"/>
  <c r="F1283" i="11"/>
  <c r="H1283" i="11" s="1"/>
  <c r="F1284" i="11"/>
  <c r="H1284" i="11" s="1"/>
  <c r="F1285" i="11"/>
  <c r="H1285" i="11" s="1"/>
  <c r="F1286" i="11"/>
  <c r="H1286" i="11" s="1"/>
  <c r="F1287" i="11"/>
  <c r="H1287" i="11" s="1"/>
  <c r="F1288" i="11"/>
  <c r="H1288" i="11" s="1"/>
  <c r="F1289" i="11"/>
  <c r="H1289" i="11" s="1"/>
  <c r="F1290" i="11"/>
  <c r="H1290" i="11" s="1"/>
  <c r="F1291" i="11"/>
  <c r="H1291" i="11" s="1"/>
  <c r="F1292" i="11"/>
  <c r="H1292" i="11" s="1"/>
  <c r="F1293" i="11"/>
  <c r="H1293" i="11" s="1"/>
  <c r="F1294" i="11"/>
  <c r="H1294" i="11" s="1"/>
  <c r="F1295" i="11"/>
  <c r="H1295" i="11" s="1"/>
  <c r="F1296" i="11"/>
  <c r="H1296" i="11" s="1"/>
  <c r="F1297" i="11"/>
  <c r="H1297" i="11" s="1"/>
  <c r="F1298" i="11"/>
  <c r="H1298" i="11" s="1"/>
  <c r="F1299" i="11"/>
  <c r="H1299" i="11" s="1"/>
  <c r="F1300" i="11"/>
  <c r="H1300" i="11" s="1"/>
  <c r="F1301" i="11"/>
  <c r="H1301" i="11" s="1"/>
  <c r="F1302" i="11"/>
  <c r="H1302" i="11" s="1"/>
  <c r="F1303" i="11"/>
  <c r="H1303" i="11" s="1"/>
  <c r="F1304" i="11"/>
  <c r="H1304" i="11" s="1"/>
  <c r="F1305" i="11"/>
  <c r="H1305" i="11" s="1"/>
  <c r="F1306" i="11"/>
  <c r="H1306" i="11" s="1"/>
  <c r="F1307" i="11"/>
  <c r="H1307" i="11" s="1"/>
  <c r="F1308" i="11"/>
  <c r="H1308" i="11" s="1"/>
  <c r="F1309" i="11"/>
  <c r="H1309" i="11" s="1"/>
  <c r="F1310" i="11"/>
  <c r="H1310" i="11" s="1"/>
  <c r="F1311" i="11"/>
  <c r="H1311" i="11" s="1"/>
  <c r="F1312" i="11"/>
  <c r="H1312" i="11" s="1"/>
  <c r="F1313" i="11"/>
  <c r="H1313" i="11" s="1"/>
  <c r="F1314" i="11"/>
  <c r="H1314" i="11" s="1"/>
  <c r="F1315" i="11"/>
  <c r="H1315" i="11" s="1"/>
  <c r="F1316" i="11"/>
  <c r="H1316" i="11" s="1"/>
  <c r="F1317" i="11"/>
  <c r="H1317" i="11" s="1"/>
  <c r="F1318" i="11"/>
  <c r="H1318" i="11" s="1"/>
  <c r="F1319" i="11"/>
  <c r="H1319" i="11" s="1"/>
  <c r="F1320" i="11"/>
  <c r="H1320" i="11" s="1"/>
  <c r="F1321" i="11"/>
  <c r="H1321" i="11" s="1"/>
  <c r="F1322" i="11"/>
  <c r="H1322" i="11" s="1"/>
  <c r="F1323" i="11"/>
  <c r="H1323" i="11" s="1"/>
  <c r="F1324" i="11"/>
  <c r="H1324" i="11" s="1"/>
  <c r="F1325" i="11"/>
  <c r="H1325" i="11" s="1"/>
  <c r="F1326" i="11"/>
  <c r="H1326" i="11" s="1"/>
  <c r="F1327" i="11"/>
  <c r="H1327" i="11" s="1"/>
  <c r="F1328" i="11"/>
  <c r="H1328" i="11" s="1"/>
  <c r="F1329" i="11"/>
  <c r="H1329" i="11" s="1"/>
  <c r="F1330" i="11"/>
  <c r="H1330" i="11" s="1"/>
  <c r="F1331" i="11"/>
  <c r="H1331" i="11" s="1"/>
  <c r="F1332" i="11"/>
  <c r="H1332" i="11" s="1"/>
  <c r="F1333" i="11"/>
  <c r="H1333" i="11" s="1"/>
  <c r="F1334" i="11"/>
  <c r="H1334" i="11" s="1"/>
  <c r="F1335" i="11"/>
  <c r="H1335" i="11" s="1"/>
  <c r="F1336" i="11"/>
  <c r="H1336" i="11" s="1"/>
  <c r="F1337" i="11"/>
  <c r="H1337" i="11" s="1"/>
  <c r="F1338" i="11"/>
  <c r="H1338" i="11" s="1"/>
  <c r="F1339" i="11"/>
  <c r="H1339" i="11" s="1"/>
  <c r="F1340" i="11"/>
  <c r="H1340" i="11" s="1"/>
  <c r="F1341" i="11"/>
  <c r="H1341" i="11" s="1"/>
  <c r="F1342" i="11"/>
  <c r="H1342" i="11" s="1"/>
  <c r="F1343" i="11"/>
  <c r="H1343" i="11" s="1"/>
  <c r="F1344" i="11"/>
  <c r="H1344" i="11" s="1"/>
  <c r="F1345" i="11"/>
  <c r="H1345" i="11" s="1"/>
  <c r="F1346" i="11"/>
  <c r="H1346" i="11" s="1"/>
  <c r="F1347" i="11"/>
  <c r="H1347" i="11" s="1"/>
  <c r="F1348" i="11"/>
  <c r="H1348" i="11" s="1"/>
  <c r="F1349" i="11"/>
  <c r="H1349" i="11" s="1"/>
  <c r="F1350" i="11"/>
  <c r="H1350" i="11" s="1"/>
  <c r="F1351" i="11"/>
  <c r="H1351" i="11" s="1"/>
  <c r="F1352" i="11"/>
  <c r="H1352" i="11" s="1"/>
  <c r="F1353" i="11"/>
  <c r="H1353" i="11" s="1"/>
  <c r="F1354" i="11"/>
  <c r="H1354" i="11" s="1"/>
  <c r="F1355" i="11"/>
  <c r="H1355" i="11" s="1"/>
  <c r="F1356" i="11"/>
  <c r="H1356" i="11" s="1"/>
  <c r="F1357" i="11"/>
  <c r="H1357" i="11" s="1"/>
  <c r="F1358" i="11"/>
  <c r="H1358" i="11" s="1"/>
  <c r="F1359" i="11"/>
  <c r="H1359" i="11" s="1"/>
  <c r="F1360" i="11"/>
  <c r="H1360" i="11" s="1"/>
  <c r="F1361" i="11"/>
  <c r="H1361" i="11" s="1"/>
  <c r="F1362" i="11"/>
  <c r="H1362" i="11" s="1"/>
  <c r="F1363" i="11"/>
  <c r="H1363" i="11" s="1"/>
  <c r="F1364" i="11"/>
  <c r="H1364" i="11" s="1"/>
  <c r="F1365" i="11"/>
  <c r="H1365" i="11" s="1"/>
  <c r="F1366" i="11"/>
  <c r="H1366" i="11" s="1"/>
  <c r="F1367" i="11"/>
  <c r="H1367" i="11" s="1"/>
  <c r="F1368" i="11"/>
  <c r="H1368" i="11" s="1"/>
  <c r="F1369" i="11"/>
  <c r="H1369" i="11" s="1"/>
  <c r="F1370" i="11"/>
  <c r="H1370" i="11" s="1"/>
  <c r="F1371" i="11"/>
  <c r="H1371" i="11" s="1"/>
  <c r="F1372" i="11"/>
  <c r="H1372" i="11" s="1"/>
  <c r="F1373" i="11"/>
  <c r="H1373" i="11" s="1"/>
  <c r="F1374" i="11"/>
  <c r="H1374" i="11" s="1"/>
  <c r="F1375" i="11"/>
  <c r="H1375" i="11" s="1"/>
  <c r="F1376" i="11"/>
  <c r="H1376" i="11" s="1"/>
  <c r="F1377" i="11"/>
  <c r="H1377" i="11" s="1"/>
  <c r="F1378" i="11"/>
  <c r="H1378" i="11" s="1"/>
  <c r="F1379" i="11"/>
  <c r="H1379" i="11" s="1"/>
  <c r="F1380" i="11"/>
  <c r="H1380" i="11" s="1"/>
  <c r="F1381" i="11"/>
  <c r="H1381" i="11" s="1"/>
  <c r="F1382" i="11"/>
  <c r="H1382" i="11" s="1"/>
  <c r="F1383" i="11"/>
  <c r="H1383" i="11" s="1"/>
  <c r="F1384" i="11"/>
  <c r="H1384" i="11" s="1"/>
  <c r="F1385" i="11"/>
  <c r="H1385" i="11" s="1"/>
  <c r="F1386" i="11"/>
  <c r="H1386" i="11" s="1"/>
  <c r="F1387" i="11"/>
  <c r="H1387" i="11" s="1"/>
  <c r="F1388" i="11"/>
  <c r="H1388" i="11" s="1"/>
  <c r="F1389" i="11"/>
  <c r="H1389" i="11" s="1"/>
  <c r="F1390" i="11"/>
  <c r="H1390" i="11" s="1"/>
  <c r="F1391" i="11"/>
  <c r="H1391" i="11" s="1"/>
  <c r="F1392" i="11"/>
  <c r="H1392" i="11" s="1"/>
  <c r="F1393" i="11"/>
  <c r="H1393" i="11" s="1"/>
  <c r="F1394" i="11"/>
  <c r="H1394" i="11" s="1"/>
  <c r="F1395" i="11"/>
  <c r="H1395" i="11" s="1"/>
  <c r="F1396" i="11"/>
  <c r="H1396" i="11" s="1"/>
  <c r="F1397" i="11"/>
  <c r="H1397" i="11" s="1"/>
  <c r="F1398" i="11"/>
  <c r="H1398" i="11" s="1"/>
  <c r="F1399" i="11"/>
  <c r="H1399" i="11" s="1"/>
  <c r="F1400" i="11"/>
  <c r="H1400" i="11" s="1"/>
  <c r="F1401" i="11"/>
  <c r="H1401" i="11" s="1"/>
  <c r="F1402" i="11"/>
  <c r="H1402" i="11" s="1"/>
  <c r="F1403" i="11"/>
  <c r="H1403" i="11" s="1"/>
  <c r="F1404" i="11"/>
  <c r="H1404" i="11" s="1"/>
  <c r="F1405" i="11"/>
  <c r="H1405" i="11" s="1"/>
  <c r="F1406" i="11"/>
  <c r="H1406" i="11" s="1"/>
  <c r="F1407" i="11"/>
  <c r="H1407" i="11" s="1"/>
  <c r="F1408" i="11"/>
  <c r="H1408" i="11" s="1"/>
  <c r="F1409" i="11"/>
  <c r="H1409" i="11" s="1"/>
  <c r="F1410" i="11"/>
  <c r="H1410" i="11" s="1"/>
  <c r="F1411" i="11"/>
  <c r="H1411" i="11" s="1"/>
  <c r="F1412" i="11"/>
  <c r="H1412" i="11" s="1"/>
  <c r="F1413" i="11"/>
  <c r="H1413" i="11" s="1"/>
  <c r="F1414" i="11"/>
  <c r="H1414" i="11" s="1"/>
  <c r="F1415" i="11"/>
  <c r="H1415" i="11" s="1"/>
  <c r="F1416" i="11"/>
  <c r="H1416" i="11" s="1"/>
  <c r="F1417" i="11"/>
  <c r="H1417" i="11" s="1"/>
  <c r="F1418" i="11"/>
  <c r="H1418" i="11" s="1"/>
  <c r="F1419" i="11"/>
  <c r="H1419" i="11" s="1"/>
  <c r="F1420" i="11"/>
  <c r="H1420" i="11" s="1"/>
  <c r="F1421" i="11"/>
  <c r="H1421" i="11" s="1"/>
  <c r="F1422" i="11"/>
  <c r="H1422" i="11" s="1"/>
  <c r="F1423" i="11"/>
  <c r="H1423" i="11" s="1"/>
  <c r="F1424" i="11"/>
  <c r="H1424" i="11" s="1"/>
  <c r="F1425" i="11"/>
  <c r="H1425" i="11" s="1"/>
  <c r="F1426" i="11"/>
  <c r="H1426" i="11" s="1"/>
  <c r="F1427" i="11"/>
  <c r="H1427" i="11" s="1"/>
  <c r="F1428" i="11"/>
  <c r="H1428" i="11" s="1"/>
  <c r="F1429" i="11"/>
  <c r="H1429" i="11" s="1"/>
  <c r="F1430" i="11"/>
  <c r="H1430" i="11" s="1"/>
  <c r="F1431" i="11"/>
  <c r="H1431" i="11" s="1"/>
  <c r="F1432" i="11"/>
  <c r="H1432" i="11" s="1"/>
  <c r="F1433" i="11"/>
  <c r="H1433" i="11" s="1"/>
  <c r="F1434" i="11"/>
  <c r="H1434" i="11" s="1"/>
  <c r="F1435" i="11"/>
  <c r="H1435" i="11" s="1"/>
  <c r="F1436" i="11"/>
  <c r="H1436" i="11" s="1"/>
  <c r="F1437" i="11"/>
  <c r="H1437" i="11" s="1"/>
  <c r="F1438" i="11"/>
  <c r="H1438" i="11" s="1"/>
  <c r="F1439" i="11"/>
  <c r="H1439" i="11" s="1"/>
  <c r="F1440" i="11"/>
  <c r="H1440" i="11" s="1"/>
  <c r="F1441" i="11"/>
  <c r="H1441" i="11" s="1"/>
  <c r="F1442" i="11"/>
  <c r="H1442" i="11" s="1"/>
  <c r="F1443" i="11"/>
  <c r="H1443" i="11" s="1"/>
  <c r="F1444" i="11"/>
  <c r="H1444" i="11" s="1"/>
  <c r="F1445" i="11"/>
  <c r="H1445" i="11" s="1"/>
  <c r="F1446" i="11"/>
  <c r="H1446" i="11" s="1"/>
  <c r="F1447" i="11"/>
  <c r="H1447" i="11" s="1"/>
  <c r="F1448" i="11"/>
  <c r="H1448" i="11" s="1"/>
  <c r="F1449" i="11"/>
  <c r="H1449" i="11" s="1"/>
  <c r="F1450" i="11"/>
  <c r="H1450" i="11" s="1"/>
  <c r="F1451" i="11"/>
  <c r="H1451" i="11" s="1"/>
  <c r="F1452" i="11"/>
  <c r="H1452" i="11" s="1"/>
  <c r="F1453" i="11"/>
  <c r="H1453" i="11" s="1"/>
  <c r="F1454" i="11"/>
  <c r="H1454" i="11" s="1"/>
  <c r="F1455" i="11"/>
  <c r="H1455" i="11" s="1"/>
  <c r="F1456" i="11"/>
  <c r="H1456" i="11" s="1"/>
  <c r="F1457" i="11"/>
  <c r="H1457" i="11" s="1"/>
  <c r="F1458" i="11"/>
  <c r="H1458" i="11" s="1"/>
  <c r="F1459" i="11"/>
  <c r="H1459" i="11" s="1"/>
  <c r="F1460" i="11"/>
  <c r="H1460" i="11" s="1"/>
  <c r="F1461" i="11"/>
  <c r="H1461" i="11" s="1"/>
  <c r="F1462" i="11"/>
  <c r="H1462" i="11" s="1"/>
  <c r="F1463" i="11"/>
  <c r="H1463" i="11" s="1"/>
  <c r="F1464" i="11"/>
  <c r="H1464" i="11" s="1"/>
  <c r="F1465" i="11"/>
  <c r="H1465" i="11" s="1"/>
  <c r="F1466" i="11"/>
  <c r="H1466" i="11" s="1"/>
  <c r="F1467" i="11"/>
  <c r="H1467" i="11" s="1"/>
  <c r="F1468" i="11"/>
  <c r="H1468" i="11" s="1"/>
  <c r="F1469" i="11"/>
  <c r="H1469" i="11" s="1"/>
  <c r="F1470" i="11"/>
  <c r="H1470" i="11" s="1"/>
  <c r="F1471" i="11"/>
  <c r="H1471" i="11" s="1"/>
  <c r="F1472" i="11"/>
  <c r="H1472" i="11" s="1"/>
  <c r="F1473" i="11"/>
  <c r="H1473" i="11" s="1"/>
  <c r="F1474" i="11"/>
  <c r="H1474" i="11" s="1"/>
  <c r="F1475" i="11"/>
  <c r="H1475" i="11" s="1"/>
  <c r="F1476" i="11"/>
  <c r="H1476" i="11" s="1"/>
  <c r="F1477" i="11"/>
  <c r="H1477" i="11" s="1"/>
  <c r="F1478" i="11"/>
  <c r="H1478" i="11" s="1"/>
  <c r="F1479" i="11"/>
  <c r="H1479" i="11" s="1"/>
  <c r="F1480" i="11"/>
  <c r="H1480" i="11" s="1"/>
  <c r="F1481" i="11"/>
  <c r="H1481" i="11" s="1"/>
  <c r="F1482" i="11"/>
  <c r="H1482" i="11" s="1"/>
  <c r="F1483" i="11"/>
  <c r="H1483" i="11" s="1"/>
  <c r="F1484" i="11"/>
  <c r="H1484" i="11" s="1"/>
  <c r="F1485" i="11"/>
  <c r="H1485" i="11" s="1"/>
  <c r="F1486" i="11"/>
  <c r="H1486" i="11" s="1"/>
  <c r="F1487" i="11"/>
  <c r="H1487" i="11" s="1"/>
  <c r="F1488" i="11"/>
  <c r="H1488" i="11" s="1"/>
  <c r="F1489" i="11"/>
  <c r="H1489" i="11" s="1"/>
  <c r="F1490" i="11"/>
  <c r="H1490" i="11" s="1"/>
  <c r="F1491" i="11"/>
  <c r="H1491" i="11" s="1"/>
  <c r="F1492" i="11"/>
  <c r="H1492" i="11" s="1"/>
  <c r="F1493" i="11"/>
  <c r="H1493" i="11" s="1"/>
  <c r="F1494" i="11"/>
  <c r="H1494" i="11" s="1"/>
  <c r="F1495" i="11"/>
  <c r="H1495" i="11" s="1"/>
  <c r="F1496" i="11"/>
  <c r="H1496" i="11" s="1"/>
  <c r="F1497" i="11"/>
  <c r="H1497" i="11" s="1"/>
  <c r="F1498" i="11"/>
  <c r="H1498" i="11" s="1"/>
  <c r="F1499" i="11"/>
  <c r="H1499" i="11" s="1"/>
  <c r="F1500" i="11"/>
  <c r="H1500" i="11" s="1"/>
  <c r="F1501" i="11"/>
  <c r="H1501" i="11" s="1"/>
  <c r="F1502" i="11"/>
  <c r="H1502" i="11" s="1"/>
  <c r="F1503" i="11"/>
  <c r="H1503" i="11" s="1"/>
  <c r="F1504" i="11"/>
  <c r="H1504" i="11" s="1"/>
  <c r="F1505" i="11"/>
  <c r="H1505" i="11" s="1"/>
  <c r="F1506" i="11"/>
  <c r="H1506" i="11" s="1"/>
  <c r="F1507" i="11"/>
  <c r="H1507" i="11" s="1"/>
  <c r="F1508" i="11"/>
  <c r="H1508" i="11" s="1"/>
  <c r="F1509" i="11"/>
  <c r="H1509" i="11" s="1"/>
  <c r="F1510" i="11"/>
  <c r="H1510" i="11" s="1"/>
  <c r="F1511" i="11"/>
  <c r="H1511" i="11" s="1"/>
  <c r="F1512" i="11"/>
  <c r="H1512" i="11" s="1"/>
  <c r="F1513" i="11"/>
  <c r="H1513" i="11" s="1"/>
  <c r="F1514" i="11"/>
  <c r="H1514" i="11" s="1"/>
  <c r="F1515" i="11"/>
  <c r="H1515" i="11"/>
  <c r="F1516" i="11"/>
  <c r="H1516" i="11" s="1"/>
  <c r="F1517" i="11"/>
  <c r="H1517" i="11" s="1"/>
  <c r="F1518" i="11"/>
  <c r="H1518" i="11" s="1"/>
  <c r="F1519" i="11"/>
  <c r="H1519" i="11"/>
  <c r="F1520" i="11"/>
  <c r="H1520" i="11"/>
  <c r="F1521" i="11"/>
  <c r="H1521" i="11" s="1"/>
  <c r="F1522" i="11"/>
  <c r="H1522" i="11" s="1"/>
  <c r="F1523" i="11"/>
  <c r="H1523" i="11" s="1"/>
  <c r="F1524" i="11"/>
  <c r="H1524" i="11"/>
  <c r="F1525" i="11"/>
  <c r="H1525" i="11"/>
  <c r="F1526" i="11"/>
  <c r="H1526" i="11" s="1"/>
  <c r="F1527" i="11"/>
  <c r="H1527" i="11" s="1"/>
  <c r="F1528" i="11"/>
  <c r="H1528" i="11" s="1"/>
  <c r="F1529" i="11"/>
  <c r="H1529" i="11"/>
  <c r="F1530" i="11"/>
  <c r="H1530" i="11"/>
  <c r="F1531" i="11"/>
  <c r="H1531" i="11" s="1"/>
  <c r="F1532" i="11"/>
  <c r="H1532" i="11" s="1"/>
  <c r="F1533" i="11"/>
  <c r="H1533" i="11" s="1"/>
  <c r="F1534" i="11"/>
  <c r="H1534" i="11"/>
  <c r="F1535" i="11"/>
  <c r="H1535" i="11"/>
  <c r="F1536" i="11"/>
  <c r="H1536" i="11" s="1"/>
  <c r="F1537" i="11"/>
  <c r="H1537" i="11" s="1"/>
  <c r="F1538" i="11"/>
  <c r="H1538" i="11" s="1"/>
  <c r="F1539" i="11"/>
  <c r="H1539" i="11"/>
  <c r="F1540" i="11"/>
  <c r="H1540" i="11"/>
  <c r="F1541" i="11"/>
  <c r="H1541" i="11" s="1"/>
  <c r="F1542" i="11"/>
  <c r="H1542" i="11"/>
  <c r="F1543" i="11"/>
  <c r="H1543" i="11" s="1"/>
  <c r="F1544" i="11"/>
  <c r="H1544" i="11"/>
  <c r="F1545" i="11"/>
  <c r="H1545" i="11"/>
  <c r="F1546" i="11"/>
  <c r="H1546" i="11"/>
  <c r="F1547" i="11"/>
  <c r="H1547" i="11"/>
  <c r="D22" i="12" l="1"/>
  <c r="D82" i="12"/>
  <c r="D42" i="12"/>
  <c r="D102" i="12"/>
  <c r="D132" i="12"/>
  <c r="C36" i="9"/>
  <c r="P33" i="11" s="1"/>
  <c r="E38" i="10"/>
  <c r="C38" i="10"/>
  <c r="D131" i="12" l="1"/>
  <c r="D133" i="12" s="1"/>
  <c r="C140" i="12"/>
  <c r="P29" i="11" s="1"/>
  <c r="D134" i="12" l="1"/>
  <c r="E138" i="12"/>
  <c r="C138" i="12"/>
  <c r="C119" i="3" l="1"/>
  <c r="P13" i="11" s="1"/>
  <c r="C519" i="4"/>
  <c r="P16" i="11" s="1"/>
  <c r="C20" i="7" l="1"/>
  <c r="P26" i="11" s="1"/>
  <c r="C502" i="5"/>
  <c r="P19" i="11" s="1"/>
  <c r="C73" i="6"/>
  <c r="P23" i="11" s="1"/>
  <c r="F34" i="9" l="1"/>
  <c r="C34" i="9"/>
  <c r="E18" i="7"/>
  <c r="C18" i="7"/>
  <c r="I71" i="6"/>
  <c r="C71" i="6"/>
  <c r="E500" i="5" l="1"/>
  <c r="C500" i="5"/>
  <c r="E517" i="4"/>
  <c r="C517" i="4"/>
  <c r="E117" i="3"/>
  <c r="C117" i="3"/>
  <c r="F535" i="2" l="1"/>
  <c r="C535" i="2"/>
</calcChain>
</file>

<file path=xl/sharedStrings.xml><?xml version="1.0" encoding="utf-8"?>
<sst xmlns="http://schemas.openxmlformats.org/spreadsheetml/2006/main" count="7217" uniqueCount="2372">
  <si>
    <t>Facility Information</t>
  </si>
  <si>
    <t>Product Information</t>
  </si>
  <si>
    <t>Production Data</t>
  </si>
  <si>
    <t>Electricity Data</t>
  </si>
  <si>
    <t>Gas-to-Power Data</t>
  </si>
  <si>
    <t>Drilling Data</t>
  </si>
  <si>
    <t>Declaration</t>
  </si>
  <si>
    <t>Appendix</t>
  </si>
  <si>
    <t>Instructions</t>
  </si>
  <si>
    <t>Submission and Eligibility Requirements</t>
  </si>
  <si>
    <t>Request for Confidentiality</t>
  </si>
  <si>
    <t>Legal Authority</t>
  </si>
  <si>
    <t>Once each tab is complete, ensure the notification at the bottom reads "Sheet complete". If it does not, follow the instructions to complete the tab.</t>
  </si>
  <si>
    <t>After reviewing the information on each tab, the authorized signing officer must convert this form to a PDF by following the steps on the Declaration tab.</t>
  </si>
  <si>
    <t>Any changes made to this form after it has been signed by the authorized signing officer will deem the submission void.</t>
  </si>
  <si>
    <t>•</t>
  </si>
  <si>
    <t>A baseline emissions intensity must be established for each product produced at the facility.</t>
  </si>
  <si>
    <t>A quantification methodology document (QMD) must be included with this submission.</t>
  </si>
  <si>
    <t>If the regulated facility contains electricity generating units, a simplified process flow diagram of each distinct unit must be included with this submission. The diagrams must be in PDF format.</t>
  </si>
  <si>
    <t>It is the responsibility of the regulated emitter to contact all necessary agencies of the Government of Canada to meet any requirements pertaining to federal acts or regulations.</t>
  </si>
  <si>
    <t>Emissions returns must be verified by a certified third-party verifier. The verification report must be included with this submission.</t>
  </si>
  <si>
    <t>Facility name</t>
  </si>
  <si>
    <t>OBPS registration number</t>
  </si>
  <si>
    <t>Number of individual facilities in the registry associated with this facility, including both active and suspended facilities</t>
  </si>
  <si>
    <t>Registry ID number for each individual facility in the registry associated with this facility</t>
  </si>
  <si>
    <t>#</t>
  </si>
  <si>
    <t>Registry ID number</t>
  </si>
  <si>
    <t>Compliance year</t>
  </si>
  <si>
    <t>Are drilling emissions being reported at this facility?</t>
  </si>
  <si>
    <t>Product name</t>
  </si>
  <si>
    <t>Product 1</t>
  </si>
  <si>
    <t>Product 2</t>
  </si>
  <si>
    <t>Product 3</t>
  </si>
  <si>
    <t>Product 4</t>
  </si>
  <si>
    <t>Product 5</t>
  </si>
  <si>
    <t>Sector</t>
  </si>
  <si>
    <t>Other sector</t>
  </si>
  <si>
    <t>Production</t>
  </si>
  <si>
    <t>Reported data</t>
  </si>
  <si>
    <t>Units</t>
  </si>
  <si>
    <t>Stationary fuel combustion emissions</t>
  </si>
  <si>
    <t>Industrial process emissions</t>
  </si>
  <si>
    <t>Industrial product use emissions</t>
  </si>
  <si>
    <t>Venting emissions</t>
  </si>
  <si>
    <t>Flaring emissions</t>
  </si>
  <si>
    <t>Leakage emissions</t>
  </si>
  <si>
    <t>On-site transportation emissions</t>
  </si>
  <si>
    <t>Waste emissions</t>
  </si>
  <si>
    <t>Wastewater emissions</t>
  </si>
  <si>
    <t>Carbon dioxide</t>
  </si>
  <si>
    <t>Methane</t>
  </si>
  <si>
    <t>Nitrous oxide</t>
  </si>
  <si>
    <t>Sulphur hexafluoride</t>
  </si>
  <si>
    <t>Perfluoromethane</t>
  </si>
  <si>
    <t>Perfluoroethane</t>
  </si>
  <si>
    <t>Perfluoropropane</t>
  </si>
  <si>
    <t>Perfluorobutane</t>
  </si>
  <si>
    <t>Perfluorocyclobutane</t>
  </si>
  <si>
    <t>Perfluoropentane</t>
  </si>
  <si>
    <t>Perfluorohexane</t>
  </si>
  <si>
    <t>HFC-23</t>
  </si>
  <si>
    <t>HFC-32</t>
  </si>
  <si>
    <t>HFC-41</t>
  </si>
  <si>
    <t>HFC-43-10mee</t>
  </si>
  <si>
    <t>HFC-125</t>
  </si>
  <si>
    <t>HFC-134</t>
  </si>
  <si>
    <t>HFC-134a</t>
  </si>
  <si>
    <t>HFC-143</t>
  </si>
  <si>
    <t>HFC-143a</t>
  </si>
  <si>
    <t>HFC-152a</t>
  </si>
  <si>
    <t>HFC-227ea</t>
  </si>
  <si>
    <t>HFC-236fa</t>
  </si>
  <si>
    <t>HFC-245ca</t>
  </si>
  <si>
    <t>Energy in combusted associated gas</t>
  </si>
  <si>
    <t>Total energy in all combusted fuel</t>
  </si>
  <si>
    <t>Total electricity generation from all combusted fuel</t>
  </si>
  <si>
    <t>(GJ)</t>
  </si>
  <si>
    <t>(GWh)</t>
  </si>
  <si>
    <t>Term</t>
  </si>
  <si>
    <t>Regulated industrial emissions</t>
  </si>
  <si>
    <t>Regulated electricity emissions</t>
  </si>
  <si>
    <t>Direct emissions</t>
  </si>
  <si>
    <t>Drilling emissions</t>
  </si>
  <si>
    <t>Total regulated emissions</t>
  </si>
  <si>
    <t>Value</t>
  </si>
  <si>
    <t>metres</t>
  </si>
  <si>
    <t>GWh</t>
  </si>
  <si>
    <t xml:space="preserve">I, </t>
  </si>
  <si>
    <t>provided in this form is accurate and that I am authorized to act on behalf of this facility. I understand that this form is subject to the provisions of the corresponding legislation and regulations, that any submission containing inaccurate information may be denied and require resubmission, and that there are penalties under the corresponding act and regulations for providing false or misleading information. I authorize the Ministry of Environment to verify any information contained in this form with any entity that holds such information.</t>
  </si>
  <si>
    <t>Signature</t>
  </si>
  <si>
    <t>Date</t>
  </si>
  <si>
    <t>Biomass</t>
  </si>
  <si>
    <t>Carbon dioxide emissions from the combustion of biomass must be excluded from the emissions reported on the Production Data tab. Methane and nitrous oxide emissions associated with the waste heat from the combustion of biomass must be included in the stationary fuel combustion emissions reported on the Production Data tab.</t>
  </si>
  <si>
    <t>Electricity</t>
  </si>
  <si>
    <t>Gas-to-power</t>
  </si>
  <si>
    <t>Inputs</t>
  </si>
  <si>
    <t>Sections</t>
  </si>
  <si>
    <t>Ranges</t>
  </si>
  <si>
    <t>Lookups</t>
  </si>
  <si>
    <t>Index</t>
  </si>
  <si>
    <t>Lookup</t>
  </si>
  <si>
    <t>Number of commercial products, excluding electricity generated from the combustion of associated gas</t>
  </si>
  <si>
    <t>Does this facility produce products in the upstream oil and gas sector?</t>
  </si>
  <si>
    <t>Does this facility have a gas-to-power operation?</t>
  </si>
  <si>
    <t>Refer to the Appendix tab for instructions on reporting gas-to-power data.</t>
  </si>
  <si>
    <t>Amount of commercial product</t>
  </si>
  <si>
    <t>A gas-to-power operation includes all units at the facility that generate electricity from the combustion of associated gas that would otherwise be vented, flared or released to the atmosphere as leakage. Only stationary fuel combustion emissions from the combustion of associated gas in a gas-to-power operation are to be included on the Gas-to-Power Data tab. Emissions from the combustion of any fuel besides associated gas in the operation are not considered gas-to-power emissions and must be excluded from the emissions reported on the Gas-to-Power Data tab. These emissions must be reported as stationary fuel combustion emissions on the Electricity Data tab.</t>
  </si>
  <si>
    <t>Input name</t>
  </si>
  <si>
    <t>Last valid entry</t>
  </si>
  <si>
    <t>Current value</t>
  </si>
  <si>
    <t>Last printed value</t>
  </si>
  <si>
    <t>Error check</t>
  </si>
  <si>
    <t>Error message</t>
  </si>
  <si>
    <t>Section name</t>
  </si>
  <si>
    <t>Range name</t>
  </si>
  <si>
    <t>Reference</t>
  </si>
  <si>
    <t>CO2</t>
  </si>
  <si>
    <t>CH4</t>
  </si>
  <si>
    <t>N2O</t>
  </si>
  <si>
    <t>SF6</t>
  </si>
  <si>
    <t>CF4</t>
  </si>
  <si>
    <t>C2F6</t>
  </si>
  <si>
    <t>C3F8</t>
  </si>
  <si>
    <t>C4F10</t>
  </si>
  <si>
    <t>c-C4F8</t>
  </si>
  <si>
    <t>C5F12</t>
  </si>
  <si>
    <t>C6F14</t>
  </si>
  <si>
    <t>CHF3</t>
  </si>
  <si>
    <t>CH2F2</t>
  </si>
  <si>
    <t>CH3F</t>
  </si>
  <si>
    <t>CF3CHFCHFCF2CF3</t>
  </si>
  <si>
    <t>CHF2CF3</t>
  </si>
  <si>
    <t>CHF2CHF2</t>
  </si>
  <si>
    <t>CH2FCF3</t>
  </si>
  <si>
    <t>CH2FCHF2</t>
  </si>
  <si>
    <t>CH3CF3</t>
  </si>
  <si>
    <t>CH3CHF2</t>
  </si>
  <si>
    <t>CF3CHFCF3</t>
  </si>
  <si>
    <t>CF3CH2CF3</t>
  </si>
  <si>
    <t>CH2FCF2CHF2</t>
  </si>
  <si>
    <t>S.Facility.OilGas</t>
  </si>
  <si>
    <t>S.Product.P1</t>
  </si>
  <si>
    <t>S.Product.P2</t>
  </si>
  <si>
    <t>S.Product.P3</t>
  </si>
  <si>
    <t>S.Product.P4</t>
  </si>
  <si>
    <t>S.Product.P5</t>
  </si>
  <si>
    <t>S.Production.P1</t>
  </si>
  <si>
    <t>S.Production.P1C1</t>
  </si>
  <si>
    <t>S.Production.P1C2</t>
  </si>
  <si>
    <t>S.Production.P1C3</t>
  </si>
  <si>
    <t>S.Production.P1C4</t>
  </si>
  <si>
    <t>S.Production.P1C5</t>
  </si>
  <si>
    <t>S.Production.P1C6</t>
  </si>
  <si>
    <t>S.Production.P1C7</t>
  </si>
  <si>
    <t>S.Production.P1C8</t>
  </si>
  <si>
    <t>S.Production.P1C9</t>
  </si>
  <si>
    <t>S.Production.P2</t>
  </si>
  <si>
    <t>S.Production.P2C1</t>
  </si>
  <si>
    <t>S.Production.P2C2</t>
  </si>
  <si>
    <t>S.Production.P2C3</t>
  </si>
  <si>
    <t>S.Production.P2C4</t>
  </si>
  <si>
    <t>S.Production.P2C5</t>
  </si>
  <si>
    <t>S.Production.P2C6</t>
  </si>
  <si>
    <t>S.Production.P2C7</t>
  </si>
  <si>
    <t>S.Production.P2C8</t>
  </si>
  <si>
    <t>S.Production.P2C9</t>
  </si>
  <si>
    <t>S.Production.P3</t>
  </si>
  <si>
    <t>S.Production.P3C1</t>
  </si>
  <si>
    <t>S.Production.P3C2</t>
  </si>
  <si>
    <t>S.Production.P3C3</t>
  </si>
  <si>
    <t>S.Production.P3C4</t>
  </si>
  <si>
    <t>S.Production.P3C5</t>
  </si>
  <si>
    <t>S.Production.P3C6</t>
  </si>
  <si>
    <t>S.Production.P3C7</t>
  </si>
  <si>
    <t>S.Production.P3C8</t>
  </si>
  <si>
    <t>S.Production.P3C9</t>
  </si>
  <si>
    <t>S.Production.P4</t>
  </si>
  <si>
    <t>S.Production.P4C1</t>
  </si>
  <si>
    <t>S.Production.P4C2</t>
  </si>
  <si>
    <t>S.Production.P4C3</t>
  </si>
  <si>
    <t>S.Production.P4C4</t>
  </si>
  <si>
    <t>S.Production.P4C5</t>
  </si>
  <si>
    <t>S.Production.P4C6</t>
  </si>
  <si>
    <t>S.Production.P4C7</t>
  </si>
  <si>
    <t>S.Production.P4C8</t>
  </si>
  <si>
    <t>S.Production.P4C9</t>
  </si>
  <si>
    <t>S.Production.P5</t>
  </si>
  <si>
    <t>S.Production.P5C1</t>
  </si>
  <si>
    <t>S.Production.P5C2</t>
  </si>
  <si>
    <t>S.Production.P5C3</t>
  </si>
  <si>
    <t>S.Production.P5C4</t>
  </si>
  <si>
    <t>S.Production.P5C5</t>
  </si>
  <si>
    <t>S.Production.P5C6</t>
  </si>
  <si>
    <t>S.Production.P5C7</t>
  </si>
  <si>
    <t>S.Production.P5C8</t>
  </si>
  <si>
    <t>S.Production.P5C9</t>
  </si>
  <si>
    <t>S.Electricity.P1</t>
  </si>
  <si>
    <t>S.Electricity.P1C1</t>
  </si>
  <si>
    <t>S.Electricity.P1C2</t>
  </si>
  <si>
    <t>S.Electricity.P1C3</t>
  </si>
  <si>
    <t>S.Electricity.P1C4</t>
  </si>
  <si>
    <t>S.Electricity.P1C5</t>
  </si>
  <si>
    <t>S.Electricity.P1C6</t>
  </si>
  <si>
    <t>S.Electricity.P1C7</t>
  </si>
  <si>
    <t>S.Electricity.P1C8</t>
  </si>
  <si>
    <t>S.Electricity.P1C9</t>
  </si>
  <si>
    <t>S.Electricity.P2</t>
  </si>
  <si>
    <t>S.Electricity.P2C1</t>
  </si>
  <si>
    <t>S.Electricity.P2C2</t>
  </si>
  <si>
    <t>S.Electricity.P2C3</t>
  </si>
  <si>
    <t>S.Electricity.P2C4</t>
  </si>
  <si>
    <t>S.Electricity.P2C5</t>
  </si>
  <si>
    <t>S.Electricity.P2C6</t>
  </si>
  <si>
    <t>S.Electricity.P2C7</t>
  </si>
  <si>
    <t>S.Electricity.P2C8</t>
  </si>
  <si>
    <t>S.Electricity.P2C9</t>
  </si>
  <si>
    <t>S.Electricity.P3</t>
  </si>
  <si>
    <t>S.Electricity.P3C1</t>
  </si>
  <si>
    <t>S.Electricity.P3C2</t>
  </si>
  <si>
    <t>S.Electricity.P3C3</t>
  </si>
  <si>
    <t>S.Electricity.P3C4</t>
  </si>
  <si>
    <t>S.Electricity.P3C5</t>
  </si>
  <si>
    <t>S.Electricity.P3C6</t>
  </si>
  <si>
    <t>S.Electricity.P3C7</t>
  </si>
  <si>
    <t>S.Electricity.P3C8</t>
  </si>
  <si>
    <t>S.Electricity.P3C9</t>
  </si>
  <si>
    <t>S.Electricity.P4</t>
  </si>
  <si>
    <t>S.Electricity.P4C1</t>
  </si>
  <si>
    <t>S.Electricity.P4C2</t>
  </si>
  <si>
    <t>S.Electricity.P4C3</t>
  </si>
  <si>
    <t>S.Electricity.P4C4</t>
  </si>
  <si>
    <t>S.Electricity.P4C5</t>
  </si>
  <si>
    <t>S.Electricity.P4C6</t>
  </si>
  <si>
    <t>S.Electricity.P4C7</t>
  </si>
  <si>
    <t>S.Electricity.P4C8</t>
  </si>
  <si>
    <t>S.Electricity.P4C9</t>
  </si>
  <si>
    <t>S.Electricity.P5</t>
  </si>
  <si>
    <t>S.Electricity.P5C1</t>
  </si>
  <si>
    <t>S.Electricity.P5C2</t>
  </si>
  <si>
    <t>S.Electricity.P5C3</t>
  </si>
  <si>
    <t>S.Electricity.P5C4</t>
  </si>
  <si>
    <t>S.Electricity.P5C5</t>
  </si>
  <si>
    <t>S.Electricity.P5C6</t>
  </si>
  <si>
    <t>S.Electricity.P5C7</t>
  </si>
  <si>
    <t>S.Electricity.P5C8</t>
  </si>
  <si>
    <t>S.Electricity.P5C9</t>
  </si>
  <si>
    <t>S.Gas.P</t>
  </si>
  <si>
    <t>S.Gas.Table1</t>
  </si>
  <si>
    <t>S.Drilling.P</t>
  </si>
  <si>
    <t>S.Developer.Inputs</t>
  </si>
  <si>
    <t>S.Developer.Sections</t>
  </si>
  <si>
    <t>S.Developer.Ranges</t>
  </si>
  <si>
    <t>R.Instructions.PrintArea</t>
  </si>
  <si>
    <t>R.Instructions.VersionNumber</t>
  </si>
  <si>
    <t>R.Instructions.VersionDate</t>
  </si>
  <si>
    <t>R.Facility.PrintArea</t>
  </si>
  <si>
    <t>R.Facility.Timestamp</t>
  </si>
  <si>
    <t>R.Product.PrintArea</t>
  </si>
  <si>
    <t>R.Product.Timestamp</t>
  </si>
  <si>
    <t>R.Production.PrintArea</t>
  </si>
  <si>
    <t>R.Production.Timestamp</t>
  </si>
  <si>
    <t>R.Electricity.PrintArea</t>
  </si>
  <si>
    <t>R.Electricity.Timestamp</t>
  </si>
  <si>
    <t>R.Gas.PrintArea</t>
  </si>
  <si>
    <t>R.Gas.Timestamp</t>
  </si>
  <si>
    <t>R.Drilling.PrintArea</t>
  </si>
  <si>
    <t>R.Drilling.Timestamp</t>
  </si>
  <si>
    <t>R.Declaration.PrintArea</t>
  </si>
  <si>
    <t>R.Declaration.Timestamp</t>
  </si>
  <si>
    <t>R.Appendix.PrintArea</t>
  </si>
  <si>
    <t>Agricultural and industrial equipment manufacturing</t>
  </si>
  <si>
    <t>Chemical manufacturing</t>
  </si>
  <si>
    <t>Ethanol manufacturing</t>
  </si>
  <si>
    <t>Fertilizer manufacturing</t>
  </si>
  <si>
    <t>Food and beverage processing</t>
  </si>
  <si>
    <t>Grain and oilseed processing</t>
  </si>
  <si>
    <t>Iron and steel mills</t>
  </si>
  <si>
    <t>Mineral product manufacturing</t>
  </si>
  <si>
    <t>Mining</t>
  </si>
  <si>
    <t>Natural gas transmission pipelines</t>
  </si>
  <si>
    <t>Pulp mills</t>
  </si>
  <si>
    <t>Refining and upgrading of petroleum</t>
  </si>
  <si>
    <t>Upstream oil and gas</t>
  </si>
  <si>
    <t>Wood product manufacturing</t>
  </si>
  <si>
    <t>Other sectors</t>
  </si>
  <si>
    <t>R.Product.Dropdown</t>
  </si>
  <si>
    <t>I.Facility.FacilityName</t>
  </si>
  <si>
    <t>I.Facility.OBPSNumber</t>
  </si>
  <si>
    <t>I.Facility.ComplianceYear</t>
  </si>
  <si>
    <t>I.Facility.ProductCount</t>
  </si>
  <si>
    <t>I.Facility.GasToPower</t>
  </si>
  <si>
    <t>I.Facility.OilGas</t>
  </si>
  <si>
    <t>I.Facility.Drilling</t>
  </si>
  <si>
    <t>I.Facility.FacilityCount</t>
  </si>
  <si>
    <t>I.Facility.IDNumber</t>
  </si>
  <si>
    <t>I.Product.P1Name</t>
  </si>
  <si>
    <t>I.Product.P1Sector</t>
  </si>
  <si>
    <t>I.Product.P1OtherSector</t>
  </si>
  <si>
    <t>I.Product.P1Electricity</t>
  </si>
  <si>
    <t>I.Product.P2Name</t>
  </si>
  <si>
    <t>I.Product.P2Sector</t>
  </si>
  <si>
    <t>I.Product.P2OtherSector</t>
  </si>
  <si>
    <t>I.Product.P2Electricity</t>
  </si>
  <si>
    <t>I.Product.P3Name</t>
  </si>
  <si>
    <t>I.Product.P3Sector</t>
  </si>
  <si>
    <t>I.Product.P3OtherSector</t>
  </si>
  <si>
    <t>I.Product.P3Electricity</t>
  </si>
  <si>
    <t>I.Product.P4Name</t>
  </si>
  <si>
    <t>I.Product.P4Sector</t>
  </si>
  <si>
    <t>I.Product.P4OtherSector</t>
  </si>
  <si>
    <t>I.Product.P4Electricity</t>
  </si>
  <si>
    <t>I.Product.P5Name</t>
  </si>
  <si>
    <t>I.Product.P5Sector</t>
  </si>
  <si>
    <t>I.Product.P5OtherSector</t>
  </si>
  <si>
    <t>I.Product.P5Electricity</t>
  </si>
  <si>
    <t>I.Production.P1Quantity</t>
  </si>
  <si>
    <t>I.Production.P1Units</t>
  </si>
  <si>
    <t>I.Production.P1C1</t>
  </si>
  <si>
    <t>I.Production.P1C2</t>
  </si>
  <si>
    <t>I.Production.P1C3</t>
  </si>
  <si>
    <t>I.Production.P1C4</t>
  </si>
  <si>
    <t>I.Production.P1C5</t>
  </si>
  <si>
    <t>I.Production.P1C6</t>
  </si>
  <si>
    <t>I.Production.P1C7</t>
  </si>
  <si>
    <t>I.Production.P1C8</t>
  </si>
  <si>
    <t>I.Production.P1C9</t>
  </si>
  <si>
    <t>I.Production.P2Quantity</t>
  </si>
  <si>
    <t>I.Production.P2Units</t>
  </si>
  <si>
    <t>I.Production.P2C1</t>
  </si>
  <si>
    <t>I.Production.P2C2</t>
  </si>
  <si>
    <t>I.Production.P2C3</t>
  </si>
  <si>
    <t>I.Production.P2C4</t>
  </si>
  <si>
    <t>I.Production.P2C5</t>
  </si>
  <si>
    <t>I.Production.P2C6</t>
  </si>
  <si>
    <t>I.Production.P2C7</t>
  </si>
  <si>
    <t>I.Production.P2C8</t>
  </si>
  <si>
    <t>I.Production.P2C9</t>
  </si>
  <si>
    <t>I.Production.P3Quantity</t>
  </si>
  <si>
    <t>I.Production.P3Units</t>
  </si>
  <si>
    <t>I.Production.P3C1</t>
  </si>
  <si>
    <t>I.Production.P3C2</t>
  </si>
  <si>
    <t>I.Production.P3C3</t>
  </si>
  <si>
    <t>I.Production.P3C4</t>
  </si>
  <si>
    <t>I.Production.P3C5</t>
  </si>
  <si>
    <t>I.Production.P3C6</t>
  </si>
  <si>
    <t>I.Production.P3C7</t>
  </si>
  <si>
    <t>I.Production.P3C8</t>
  </si>
  <si>
    <t>I.Production.P3C9</t>
  </si>
  <si>
    <t>I.Production.P4Quantity</t>
  </si>
  <si>
    <t>I.Production.P4Units</t>
  </si>
  <si>
    <t>I.Production.P4C1</t>
  </si>
  <si>
    <t>I.Production.P4C2</t>
  </si>
  <si>
    <t>I.Production.P4C3</t>
  </si>
  <si>
    <t>I.Production.P4C4</t>
  </si>
  <si>
    <t>I.Production.P4C5</t>
  </si>
  <si>
    <t>I.Production.P4C6</t>
  </si>
  <si>
    <t>I.Production.P4C7</t>
  </si>
  <si>
    <t>I.Production.P4C8</t>
  </si>
  <si>
    <t>I.Production.P4C9</t>
  </si>
  <si>
    <t>I.Production.P5Quantity</t>
  </si>
  <si>
    <t>I.Production.P5Units</t>
  </si>
  <si>
    <t>I.Production.P5C1</t>
  </si>
  <si>
    <t>I.Production.P5C2</t>
  </si>
  <si>
    <t>I.Production.P5C3</t>
  </si>
  <si>
    <t>I.Production.P5C4</t>
  </si>
  <si>
    <t>I.Production.P5C5</t>
  </si>
  <si>
    <t>I.Production.P5C6</t>
  </si>
  <si>
    <t>I.Production.P5C7</t>
  </si>
  <si>
    <t>I.Production.P5C8</t>
  </si>
  <si>
    <t>I.Production.P5C9</t>
  </si>
  <si>
    <t>I.Electricity.P1C1</t>
  </si>
  <si>
    <t>I.Electricity.P1C2</t>
  </si>
  <si>
    <t>I.Electricity.P1C3</t>
  </si>
  <si>
    <t>I.Electricity.P1C4</t>
  </si>
  <si>
    <t>I.Electricity.P1C5</t>
  </si>
  <si>
    <t>I.Electricity.P1C6</t>
  </si>
  <si>
    <t>I.Electricity.P1C7</t>
  </si>
  <si>
    <t>I.Electricity.P1C8</t>
  </si>
  <si>
    <t>I.Electricity.P1C9</t>
  </si>
  <si>
    <t>I.Electricity.P2C1</t>
  </si>
  <si>
    <t>I.Electricity.P2C2</t>
  </si>
  <si>
    <t>I.Electricity.P2C3</t>
  </si>
  <si>
    <t>I.Electricity.P2C4</t>
  </si>
  <si>
    <t>I.Electricity.P2C5</t>
  </si>
  <si>
    <t>I.Electricity.P2C6</t>
  </si>
  <si>
    <t>I.Electricity.P2C7</t>
  </si>
  <si>
    <t>I.Electricity.P2C8</t>
  </si>
  <si>
    <t>I.Electricity.P2C9</t>
  </si>
  <si>
    <t>I.Electricity.P3C1</t>
  </si>
  <si>
    <t>I.Electricity.P3C2</t>
  </si>
  <si>
    <t>I.Electricity.P3C3</t>
  </si>
  <si>
    <t>I.Electricity.P3C4</t>
  </si>
  <si>
    <t>I.Electricity.P3C5</t>
  </si>
  <si>
    <t>I.Electricity.P3C6</t>
  </si>
  <si>
    <t>I.Electricity.P3C7</t>
  </si>
  <si>
    <t>I.Electricity.P3C8</t>
  </si>
  <si>
    <t>I.Electricity.P3C9</t>
  </si>
  <si>
    <t>I.Electricity.P4C1</t>
  </si>
  <si>
    <t>I.Electricity.P4C2</t>
  </si>
  <si>
    <t>I.Electricity.P4C3</t>
  </si>
  <si>
    <t>I.Electricity.P4C4</t>
  </si>
  <si>
    <t>I.Electricity.P4C5</t>
  </si>
  <si>
    <t>I.Electricity.P4C6</t>
  </si>
  <si>
    <t>I.Electricity.P4C7</t>
  </si>
  <si>
    <t>I.Electricity.P4C8</t>
  </si>
  <si>
    <t>I.Electricity.P4C9</t>
  </si>
  <si>
    <t>I.Electricity.P5C1</t>
  </si>
  <si>
    <t>I.Electricity.P5C2</t>
  </si>
  <si>
    <t>I.Electricity.P5C3</t>
  </si>
  <si>
    <t>I.Electricity.P5C4</t>
  </si>
  <si>
    <t>I.Electricity.P5C5</t>
  </si>
  <si>
    <t>I.Electricity.P5C6</t>
  </si>
  <si>
    <t>I.Electricity.P5C7</t>
  </si>
  <si>
    <t>I.Electricity.P5C8</t>
  </si>
  <si>
    <t>I.Electricity.P5C9</t>
  </si>
  <si>
    <t>I.Gas.Count</t>
  </si>
  <si>
    <t>I.Gas.AssociatedGasEnergy</t>
  </si>
  <si>
    <t>I.Gas.TotalGasEnergy</t>
  </si>
  <si>
    <t>I.Gas.ElectricityGeneration</t>
  </si>
  <si>
    <t>I.Gas.C1E1</t>
  </si>
  <si>
    <t>I.Gas.C1E2</t>
  </si>
  <si>
    <t>I.Gas.C1E3</t>
  </si>
  <si>
    <t>I.Drilling.Depth</t>
  </si>
  <si>
    <t>I.Drilling.C1</t>
  </si>
  <si>
    <t>I.Declaration.Name</t>
  </si>
  <si>
    <t>I.Declaration.Date</t>
  </si>
  <si>
    <t>I.Developer.P1C1</t>
  </si>
  <si>
    <t>I.Developer.P1C2</t>
  </si>
  <si>
    <t>I.Developer.P1C3</t>
  </si>
  <si>
    <t>I.Developer.P1C4</t>
  </si>
  <si>
    <t>I.Developer.P1C5</t>
  </si>
  <si>
    <t>I.Developer.P1C6</t>
  </si>
  <si>
    <t>I.Developer.P1C7</t>
  </si>
  <si>
    <t>I.Developer.P1C8</t>
  </si>
  <si>
    <t>I.Developer.P1C9</t>
  </si>
  <si>
    <t>I.Developer.P2C1</t>
  </si>
  <si>
    <t>I.Developer.P2C2</t>
  </si>
  <si>
    <t>I.Developer.P2C3</t>
  </si>
  <si>
    <t>I.Developer.P2C4</t>
  </si>
  <si>
    <t>I.Developer.P2C5</t>
  </si>
  <si>
    <t>I.Developer.P2C6</t>
  </si>
  <si>
    <t>I.Developer.P2C7</t>
  </si>
  <si>
    <t>I.Developer.P2C8</t>
  </si>
  <si>
    <t>I.Developer.P2C9</t>
  </si>
  <si>
    <t>I.Developer.P3C1</t>
  </si>
  <si>
    <t>I.Developer.P3C2</t>
  </si>
  <si>
    <t>I.Developer.P3C3</t>
  </si>
  <si>
    <t>I.Developer.P3C4</t>
  </si>
  <si>
    <t>I.Developer.P3C5</t>
  </si>
  <si>
    <t>I.Developer.P3C6</t>
  </si>
  <si>
    <t>I.Developer.P3C7</t>
  </si>
  <si>
    <t>I.Developer.P3C8</t>
  </si>
  <si>
    <t>I.Developer.P3C9</t>
  </si>
  <si>
    <t>I.Developer.P4C1</t>
  </si>
  <si>
    <t>I.Developer.P4C2</t>
  </si>
  <si>
    <t>I.Developer.P4C3</t>
  </si>
  <si>
    <t>I.Developer.P4C4</t>
  </si>
  <si>
    <t>I.Developer.P4C5</t>
  </si>
  <si>
    <t>I.Developer.P4C6</t>
  </si>
  <si>
    <t>I.Developer.P4C7</t>
  </si>
  <si>
    <t>I.Developer.P4C8</t>
  </si>
  <si>
    <t>I.Developer.P4C9</t>
  </si>
  <si>
    <t>I.Developer.P5C1</t>
  </si>
  <si>
    <t>I.Developer.P5C2</t>
  </si>
  <si>
    <t>I.Developer.P5C3</t>
  </si>
  <si>
    <t>I.Developer.P5C4</t>
  </si>
  <si>
    <t>I.Developer.P5C5</t>
  </si>
  <si>
    <t>I.Developer.P5C6</t>
  </si>
  <si>
    <t>I.Developer.P5C7</t>
  </si>
  <si>
    <t>I.Developer.P5C8</t>
  </si>
  <si>
    <t>I.Developer.P5C9</t>
  </si>
  <si>
    <t>Enter the facility name.</t>
  </si>
  <si>
    <t>Enter the OBPS registration number.</t>
  </si>
  <si>
    <t>Enter the compliance year.</t>
  </si>
  <si>
    <t>Enter the number of commercial products.</t>
  </si>
  <si>
    <t>Indicate if the facility has a gas-to-power operation.</t>
  </si>
  <si>
    <t>Indicate if the facility produces products in the upstream oil and gas sector.</t>
  </si>
  <si>
    <t>Indicate if drilling emissions are being reported at the facility.</t>
  </si>
  <si>
    <t>Enter the number of individual facilities in the registry associated with the facility.</t>
  </si>
  <si>
    <t>Enter the registry ID number on row 1 of the table of registry ID numbers.</t>
  </si>
  <si>
    <t>Enter the registry ID number on row 2 of the table of registry ID numbers.</t>
  </si>
  <si>
    <t>Enter the registry ID number on row 3 of the table of registry ID numbers.</t>
  </si>
  <si>
    <t>Enter the registry ID number on row 4 of the table of registry ID numbers.</t>
  </si>
  <si>
    <t>Enter the registry ID number on row 5 of the table of registry ID numbers.</t>
  </si>
  <si>
    <t>Enter the registry ID number on row 6 of the table of registry ID numbers.</t>
  </si>
  <si>
    <t>Enter the registry ID number on row 7 of the table of registry ID numbers.</t>
  </si>
  <si>
    <t>Enter the registry ID number on row 8 of the table of registry ID numbers.</t>
  </si>
  <si>
    <t>Enter the registry ID number on row 9 of the table of registry ID numbers.</t>
  </si>
  <si>
    <t>Enter the registry ID number on row 10 of the table of registry ID numbers.</t>
  </si>
  <si>
    <t>Enter the registry ID number on row 11 of the table of registry ID numbers.</t>
  </si>
  <si>
    <t>Enter the registry ID number on row 12 of the table of registry ID numbers.</t>
  </si>
  <si>
    <t>Enter the registry ID number on row 13 of the table of registry ID numbers.</t>
  </si>
  <si>
    <t>Enter the registry ID number on row 14 of the table of registry ID numbers.</t>
  </si>
  <si>
    <t>Enter the registry ID number on row 15 of the table of registry ID numbers.</t>
  </si>
  <si>
    <t>Enter the registry ID number on row 16 of the table of registry ID numbers.</t>
  </si>
  <si>
    <t>Enter the registry ID number on row 17 of the table of registry ID numbers.</t>
  </si>
  <si>
    <t>Enter the registry ID number on row 18 of the table of registry ID numbers.</t>
  </si>
  <si>
    <t>Enter the registry ID number on row 19 of the table of registry ID numbers.</t>
  </si>
  <si>
    <t>Enter the registry ID number on row 20 of the table of registry ID numbers.</t>
  </si>
  <si>
    <t>Enter the registry ID number on row 21 of the table of registry ID numbers.</t>
  </si>
  <si>
    <t>Enter the registry ID number on row 22 of the table of registry ID numbers.</t>
  </si>
  <si>
    <t>Enter the registry ID number on row 23 of the table of registry ID numbers.</t>
  </si>
  <si>
    <t>Enter the registry ID number on row 24 of the table of registry ID numbers.</t>
  </si>
  <si>
    <t>Enter the registry ID number on row 25 of the table of registry ID numbers.</t>
  </si>
  <si>
    <t>Enter the registry ID number on row 26 of the table of registry ID numbers.</t>
  </si>
  <si>
    <t>Enter the registry ID number on row 27 of the table of registry ID numbers.</t>
  </si>
  <si>
    <t>Enter the registry ID number on row 28 of the table of registry ID numbers.</t>
  </si>
  <si>
    <t>Enter the registry ID number on row 29 of the table of registry ID numbers.</t>
  </si>
  <si>
    <t>Enter the registry ID number on row 30 of the table of registry ID numbers.</t>
  </si>
  <si>
    <t>Enter the registry ID number on row 31 of the table of registry ID numbers.</t>
  </si>
  <si>
    <t>Enter the registry ID number on row 32 of the table of registry ID numbers.</t>
  </si>
  <si>
    <t>Enter the registry ID number on row 33 of the table of registry ID numbers.</t>
  </si>
  <si>
    <t>Enter the registry ID number on row 34 of the table of registry ID numbers.</t>
  </si>
  <si>
    <t>Enter the registry ID number on row 35 of the table of registry ID numbers.</t>
  </si>
  <si>
    <t>Enter the registry ID number on row 36 of the table of registry ID numbers.</t>
  </si>
  <si>
    <t>Enter the registry ID number on row 37 of the table of registry ID numbers.</t>
  </si>
  <si>
    <t>Enter the registry ID number on row 38 of the table of registry ID numbers.</t>
  </si>
  <si>
    <t>Enter the registry ID number on row 39 of the table of registry ID numbers.</t>
  </si>
  <si>
    <t>Enter the registry ID number on row 40 of the table of registry ID numbers.</t>
  </si>
  <si>
    <t>Enter the registry ID number on row 41 of the table of registry ID numbers.</t>
  </si>
  <si>
    <t>Enter the registry ID number on row 42 of the table of registry ID numbers.</t>
  </si>
  <si>
    <t>Enter the registry ID number on row 43 of the table of registry ID numbers.</t>
  </si>
  <si>
    <t>Enter the registry ID number on row 44 of the table of registry ID numbers.</t>
  </si>
  <si>
    <t>Enter the registry ID number on row 45 of the table of registry ID numbers.</t>
  </si>
  <si>
    <t>Enter the registry ID number on row 46 of the table of registry ID numbers.</t>
  </si>
  <si>
    <t>Enter the registry ID number on row 47 of the table of registry ID numbers.</t>
  </si>
  <si>
    <t>Enter the registry ID number on row 48 of the table of registry ID numbers.</t>
  </si>
  <si>
    <t>Enter the registry ID number on row 49 of the table of registry ID numbers.</t>
  </si>
  <si>
    <t>Enter the registry ID number on row 50 of the table of registry ID numbers.</t>
  </si>
  <si>
    <t>Enter the registry ID number on row 51 of the table of registry ID numbers.</t>
  </si>
  <si>
    <t>Enter the registry ID number on row 52 of the table of registry ID numbers.</t>
  </si>
  <si>
    <t>Enter the registry ID number on row 53 of the table of registry ID numbers.</t>
  </si>
  <si>
    <t>Enter the registry ID number on row 54 of the table of registry ID numbers.</t>
  </si>
  <si>
    <t>Enter the registry ID number on row 55 of the table of registry ID numbers.</t>
  </si>
  <si>
    <t>Enter the registry ID number on row 56 of the table of registry ID numbers.</t>
  </si>
  <si>
    <t>Enter the registry ID number on row 57 of the table of registry ID numbers.</t>
  </si>
  <si>
    <t>Enter the registry ID number on row 58 of the table of registry ID numbers.</t>
  </si>
  <si>
    <t>Enter the registry ID number on row 59 of the table of registry ID numbers.</t>
  </si>
  <si>
    <t>Enter the registry ID number on row 60 of the table of registry ID numbers.</t>
  </si>
  <si>
    <t>Enter the registry ID number on row 61 of the table of registry ID numbers.</t>
  </si>
  <si>
    <t>Enter the registry ID number on row 62 of the table of registry ID numbers.</t>
  </si>
  <si>
    <t>Enter the registry ID number on row 63 of the table of registry ID numbers.</t>
  </si>
  <si>
    <t>Enter the registry ID number on row 64 of the table of registry ID numbers.</t>
  </si>
  <si>
    <t>Enter the registry ID number on row 65 of the table of registry ID numbers.</t>
  </si>
  <si>
    <t>Enter the registry ID number on row 66 of the table of registry ID numbers.</t>
  </si>
  <si>
    <t>Enter the registry ID number on row 67 of the table of registry ID numbers.</t>
  </si>
  <si>
    <t>Enter the registry ID number on row 68 of the table of registry ID numbers.</t>
  </si>
  <si>
    <t>Enter the registry ID number on row 69 of the table of registry ID numbers.</t>
  </si>
  <si>
    <t>Enter the registry ID number on row 70 of the table of registry ID numbers.</t>
  </si>
  <si>
    <t>Enter the registry ID number on row 71 of the table of registry ID numbers.</t>
  </si>
  <si>
    <t>Enter the registry ID number on row 72 of the table of registry ID numbers.</t>
  </si>
  <si>
    <t>Enter the registry ID number on row 73 of the table of registry ID numbers.</t>
  </si>
  <si>
    <t>Enter the registry ID number on row 74 of the table of registry ID numbers.</t>
  </si>
  <si>
    <t>Enter the registry ID number on row 75 of the table of registry ID numbers.</t>
  </si>
  <si>
    <t>Enter the registry ID number on row 76 of the table of registry ID numbers.</t>
  </si>
  <si>
    <t>Enter the registry ID number on row 77 of the table of registry ID numbers.</t>
  </si>
  <si>
    <t>Enter the registry ID number on row 78 of the table of registry ID numbers.</t>
  </si>
  <si>
    <t>Enter the registry ID number on row 79 of the table of registry ID numbers.</t>
  </si>
  <si>
    <t>Enter the registry ID number on row 80 of the table of registry ID numbers.</t>
  </si>
  <si>
    <t>Enter the registry ID number on row 81 of the table of registry ID numbers.</t>
  </si>
  <si>
    <t>Enter the registry ID number on row 82 of the table of registry ID numbers.</t>
  </si>
  <si>
    <t>Enter the registry ID number on row 83 of the table of registry ID numbers.</t>
  </si>
  <si>
    <t>Enter the registry ID number on row 84 of the table of registry ID numbers.</t>
  </si>
  <si>
    <t>Enter the registry ID number on row 85 of the table of registry ID numbers.</t>
  </si>
  <si>
    <t>Enter the registry ID number on row 86 of the table of registry ID numbers.</t>
  </si>
  <si>
    <t>Enter the registry ID number on row 87 of the table of registry ID numbers.</t>
  </si>
  <si>
    <t>Enter the registry ID number on row 88 of the table of registry ID numbers.</t>
  </si>
  <si>
    <t>Enter the registry ID number on row 89 of the table of registry ID numbers.</t>
  </si>
  <si>
    <t>Enter the registry ID number on row 90 of the table of registry ID numbers.</t>
  </si>
  <si>
    <t>Enter the registry ID number on row 91 of the table of registry ID numbers.</t>
  </si>
  <si>
    <t>Enter the registry ID number on row 92 of the table of registry ID numbers.</t>
  </si>
  <si>
    <t>Enter the registry ID number on row 93 of the table of registry ID numbers.</t>
  </si>
  <si>
    <t>Enter the registry ID number on row 94 of the table of registry ID numbers.</t>
  </si>
  <si>
    <t>Enter the registry ID number on row 95 of the table of registry ID numbers.</t>
  </si>
  <si>
    <t>Enter the registry ID number on row 96 of the table of registry ID numbers.</t>
  </si>
  <si>
    <t>Enter the registry ID number on row 97 of the table of registry ID numbers.</t>
  </si>
  <si>
    <t>Enter the registry ID number on row 98 of the table of registry ID numbers.</t>
  </si>
  <si>
    <t>Enter the registry ID number on row 99 of the table of registry ID numbers.</t>
  </si>
  <si>
    <t>Enter the registry ID number on row 100 of the table of registry ID numbers.</t>
  </si>
  <si>
    <t>Enter the registry ID number on row 101 of the table of registry ID numbers.</t>
  </si>
  <si>
    <t>Enter the registry ID number on row 102 of the table of registry ID numbers.</t>
  </si>
  <si>
    <t>Enter the registry ID number on row 103 of the table of registry ID numbers.</t>
  </si>
  <si>
    <t>Enter the registry ID number on row 104 of the table of registry ID numbers.</t>
  </si>
  <si>
    <t>Enter the registry ID number on row 105 of the table of registry ID numbers.</t>
  </si>
  <si>
    <t>Enter the registry ID number on row 106 of the table of registry ID numbers.</t>
  </si>
  <si>
    <t>Enter the registry ID number on row 107 of the table of registry ID numbers.</t>
  </si>
  <si>
    <t>Enter the registry ID number on row 108 of the table of registry ID numbers.</t>
  </si>
  <si>
    <t>Enter the registry ID number on row 109 of the table of registry ID numbers.</t>
  </si>
  <si>
    <t>Enter the registry ID number on row 110 of the table of registry ID numbers.</t>
  </si>
  <si>
    <t>Enter the registry ID number on row 111 of the table of registry ID numbers.</t>
  </si>
  <si>
    <t>Enter the registry ID number on row 112 of the table of registry ID numbers.</t>
  </si>
  <si>
    <t>Enter the registry ID number on row 113 of the table of registry ID numbers.</t>
  </si>
  <si>
    <t>Enter the registry ID number on row 114 of the table of registry ID numbers.</t>
  </si>
  <si>
    <t>Enter the registry ID number on row 115 of the table of registry ID numbers.</t>
  </si>
  <si>
    <t>Enter the registry ID number on row 116 of the table of registry ID numbers.</t>
  </si>
  <si>
    <t>Enter the registry ID number on row 117 of the table of registry ID numbers.</t>
  </si>
  <si>
    <t>Enter the registry ID number on row 118 of the table of registry ID numbers.</t>
  </si>
  <si>
    <t>Enter the registry ID number on row 119 of the table of registry ID numbers.</t>
  </si>
  <si>
    <t>Enter the registry ID number on row 120 of the table of registry ID numbers.</t>
  </si>
  <si>
    <t>Enter the registry ID number on row 121 of the table of registry ID numbers.</t>
  </si>
  <si>
    <t>Enter the registry ID number on row 122 of the table of registry ID numbers.</t>
  </si>
  <si>
    <t>Enter the registry ID number on row 123 of the table of registry ID numbers.</t>
  </si>
  <si>
    <t>Enter the registry ID number on row 124 of the table of registry ID numbers.</t>
  </si>
  <si>
    <t>Enter the registry ID number on row 125 of the table of registry ID numbers.</t>
  </si>
  <si>
    <t>Enter the registry ID number on row 126 of the table of registry ID numbers.</t>
  </si>
  <si>
    <t>Enter the registry ID number on row 127 of the table of registry ID numbers.</t>
  </si>
  <si>
    <t>Enter the registry ID number on row 128 of the table of registry ID numbers.</t>
  </si>
  <si>
    <t>Enter the registry ID number on row 129 of the table of registry ID numbers.</t>
  </si>
  <si>
    <t>Enter the registry ID number on row 130 of the table of registry ID numbers.</t>
  </si>
  <si>
    <t>Enter the registry ID number on row 131 of the table of registry ID numbers.</t>
  </si>
  <si>
    <t>Enter the registry ID number on row 132 of the table of registry ID numbers.</t>
  </si>
  <si>
    <t>Enter the registry ID number on row 133 of the table of registry ID numbers.</t>
  </si>
  <si>
    <t>Enter the registry ID number on row 134 of the table of registry ID numbers.</t>
  </si>
  <si>
    <t>Enter the registry ID number on row 135 of the table of registry ID numbers.</t>
  </si>
  <si>
    <t>Enter the registry ID number on row 136 of the table of registry ID numbers.</t>
  </si>
  <si>
    <t>Enter the registry ID number on row 137 of the table of registry ID numbers.</t>
  </si>
  <si>
    <t>Enter the registry ID number on row 138 of the table of registry ID numbers.</t>
  </si>
  <si>
    <t>Enter the registry ID number on row 139 of the table of registry ID numbers.</t>
  </si>
  <si>
    <t>Enter the registry ID number on row 140 of the table of registry ID numbers.</t>
  </si>
  <si>
    <t>Enter the registry ID number on row 141 of the table of registry ID numbers.</t>
  </si>
  <si>
    <t>Enter the registry ID number on row 142 of the table of registry ID numbers.</t>
  </si>
  <si>
    <t>Enter the registry ID number on row 143 of the table of registry ID numbers.</t>
  </si>
  <si>
    <t>Enter the registry ID number on row 144 of the table of registry ID numbers.</t>
  </si>
  <si>
    <t>Enter the registry ID number on row 145 of the table of registry ID numbers.</t>
  </si>
  <si>
    <t>Enter the registry ID number on row 146 of the table of registry ID numbers.</t>
  </si>
  <si>
    <t>Enter the registry ID number on row 147 of the table of registry ID numbers.</t>
  </si>
  <si>
    <t>Enter the registry ID number on row 148 of the table of registry ID numbers.</t>
  </si>
  <si>
    <t>Enter the registry ID number on row 149 of the table of registry ID numbers.</t>
  </si>
  <si>
    <t>Enter the registry ID number on row 150 of the table of registry ID numbers.</t>
  </si>
  <si>
    <t>Enter the registry ID number on row 151 of the table of registry ID numbers.</t>
  </si>
  <si>
    <t>Enter the registry ID number on row 152 of the table of registry ID numbers.</t>
  </si>
  <si>
    <t>Enter the registry ID number on row 153 of the table of registry ID numbers.</t>
  </si>
  <si>
    <t>Enter the registry ID number on row 154 of the table of registry ID numbers.</t>
  </si>
  <si>
    <t>Enter the registry ID number on row 155 of the table of registry ID numbers.</t>
  </si>
  <si>
    <t>Enter the registry ID number on row 156 of the table of registry ID numbers.</t>
  </si>
  <si>
    <t>Enter the registry ID number on row 157 of the table of registry ID numbers.</t>
  </si>
  <si>
    <t>Enter the registry ID number on row 158 of the table of registry ID numbers.</t>
  </si>
  <si>
    <t>Enter the registry ID number on row 159 of the table of registry ID numbers.</t>
  </si>
  <si>
    <t>Enter the registry ID number on row 160 of the table of registry ID numbers.</t>
  </si>
  <si>
    <t>Enter the registry ID number on row 161 of the table of registry ID numbers.</t>
  </si>
  <si>
    <t>Enter the registry ID number on row 162 of the table of registry ID numbers.</t>
  </si>
  <si>
    <t>Enter the registry ID number on row 163 of the table of registry ID numbers.</t>
  </si>
  <si>
    <t>Enter the registry ID number on row 164 of the table of registry ID numbers.</t>
  </si>
  <si>
    <t>Enter the registry ID number on row 165 of the table of registry ID numbers.</t>
  </si>
  <si>
    <t>Enter the registry ID number on row 166 of the table of registry ID numbers.</t>
  </si>
  <si>
    <t>Enter the registry ID number on row 167 of the table of registry ID numbers.</t>
  </si>
  <si>
    <t>Enter the registry ID number on row 168 of the table of registry ID numbers.</t>
  </si>
  <si>
    <t>Enter the registry ID number on row 169 of the table of registry ID numbers.</t>
  </si>
  <si>
    <t>Enter the registry ID number on row 170 of the table of registry ID numbers.</t>
  </si>
  <si>
    <t>Enter the registry ID number on row 171 of the table of registry ID numbers.</t>
  </si>
  <si>
    <t>Enter the registry ID number on row 172 of the table of registry ID numbers.</t>
  </si>
  <si>
    <t>Enter the registry ID number on row 173 of the table of registry ID numbers.</t>
  </si>
  <si>
    <t>Enter the registry ID number on row 174 of the table of registry ID numbers.</t>
  </si>
  <si>
    <t>Enter the registry ID number on row 175 of the table of registry ID numbers.</t>
  </si>
  <si>
    <t>Enter the registry ID number on row 176 of the table of registry ID numbers.</t>
  </si>
  <si>
    <t>Enter the registry ID number on row 177 of the table of registry ID numbers.</t>
  </si>
  <si>
    <t>Enter the registry ID number on row 178 of the table of registry ID numbers.</t>
  </si>
  <si>
    <t>Enter the registry ID number on row 179 of the table of registry ID numbers.</t>
  </si>
  <si>
    <t>Enter the registry ID number on row 180 of the table of registry ID numbers.</t>
  </si>
  <si>
    <t>Enter the registry ID number on row 181 of the table of registry ID numbers.</t>
  </si>
  <si>
    <t>Enter the registry ID number on row 182 of the table of registry ID numbers.</t>
  </si>
  <si>
    <t>Enter the registry ID number on row 183 of the table of registry ID numbers.</t>
  </si>
  <si>
    <t>Enter the registry ID number on row 184 of the table of registry ID numbers.</t>
  </si>
  <si>
    <t>Enter the registry ID number on row 185 of the table of registry ID numbers.</t>
  </si>
  <si>
    <t>Enter the registry ID number on row 186 of the table of registry ID numbers.</t>
  </si>
  <si>
    <t>Enter the registry ID number on row 187 of the table of registry ID numbers.</t>
  </si>
  <si>
    <t>Enter the registry ID number on row 188 of the table of registry ID numbers.</t>
  </si>
  <si>
    <t>Enter the registry ID number on row 189 of the table of registry ID numbers.</t>
  </si>
  <si>
    <t>Enter the registry ID number on row 190 of the table of registry ID numbers.</t>
  </si>
  <si>
    <t>Enter the registry ID number on row 191 of the table of registry ID numbers.</t>
  </si>
  <si>
    <t>Enter the registry ID number on row 192 of the table of registry ID numbers.</t>
  </si>
  <si>
    <t>Enter the registry ID number on row 193 of the table of registry ID numbers.</t>
  </si>
  <si>
    <t>Enter the registry ID number on row 194 of the table of registry ID numbers.</t>
  </si>
  <si>
    <t>Enter the registry ID number on row 195 of the table of registry ID numbers.</t>
  </si>
  <si>
    <t>Enter the registry ID number on row 196 of the table of registry ID numbers.</t>
  </si>
  <si>
    <t>Enter the registry ID number on row 197 of the table of registry ID numbers.</t>
  </si>
  <si>
    <t>Enter the registry ID number on row 198 of the table of registry ID numbers.</t>
  </si>
  <si>
    <t>Enter the registry ID number on row 199 of the table of registry ID numbers.</t>
  </si>
  <si>
    <t>Enter the registry ID number on row 200 of the table of registry ID numbers.</t>
  </si>
  <si>
    <t>Enter the registry ID number on row 201 of the table of registry ID numbers.</t>
  </si>
  <si>
    <t>Enter the registry ID number on row 202 of the table of registry ID numbers.</t>
  </si>
  <si>
    <t>Enter the registry ID number on row 203 of the table of registry ID numbers.</t>
  </si>
  <si>
    <t>Enter the registry ID number on row 204 of the table of registry ID numbers.</t>
  </si>
  <si>
    <t>Enter the registry ID number on row 205 of the table of registry ID numbers.</t>
  </si>
  <si>
    <t>Enter the registry ID number on row 206 of the table of registry ID numbers.</t>
  </si>
  <si>
    <t>Enter the registry ID number on row 207 of the table of registry ID numbers.</t>
  </si>
  <si>
    <t>Enter the registry ID number on row 208 of the table of registry ID numbers.</t>
  </si>
  <si>
    <t>Enter the registry ID number on row 209 of the table of registry ID numbers.</t>
  </si>
  <si>
    <t>Enter the registry ID number on row 210 of the table of registry ID numbers.</t>
  </si>
  <si>
    <t>Enter the registry ID number on row 211 of the table of registry ID numbers.</t>
  </si>
  <si>
    <t>Enter the registry ID number on row 212 of the table of registry ID numbers.</t>
  </si>
  <si>
    <t>Enter the registry ID number on row 213 of the table of registry ID numbers.</t>
  </si>
  <si>
    <t>Enter the registry ID number on row 214 of the table of registry ID numbers.</t>
  </si>
  <si>
    <t>Enter the registry ID number on row 215 of the table of registry ID numbers.</t>
  </si>
  <si>
    <t>Enter the registry ID number on row 216 of the table of registry ID numbers.</t>
  </si>
  <si>
    <t>Enter the registry ID number on row 217 of the table of registry ID numbers.</t>
  </si>
  <si>
    <t>Enter the registry ID number on row 218 of the table of registry ID numbers.</t>
  </si>
  <si>
    <t>Enter the registry ID number on row 219 of the table of registry ID numbers.</t>
  </si>
  <si>
    <t>Enter the registry ID number on row 220 of the table of registry ID numbers.</t>
  </si>
  <si>
    <t>Enter the registry ID number on row 221 of the table of registry ID numbers.</t>
  </si>
  <si>
    <t>Enter the registry ID number on row 222 of the table of registry ID numbers.</t>
  </si>
  <si>
    <t>Enter the registry ID number on row 223 of the table of registry ID numbers.</t>
  </si>
  <si>
    <t>Enter the registry ID number on row 224 of the table of registry ID numbers.</t>
  </si>
  <si>
    <t>Enter the registry ID number on row 225 of the table of registry ID numbers.</t>
  </si>
  <si>
    <t>Enter the registry ID number on row 226 of the table of registry ID numbers.</t>
  </si>
  <si>
    <t>Enter the registry ID number on row 227 of the table of registry ID numbers.</t>
  </si>
  <si>
    <t>Enter the registry ID number on row 228 of the table of registry ID numbers.</t>
  </si>
  <si>
    <t>Enter the registry ID number on row 229 of the table of registry ID numbers.</t>
  </si>
  <si>
    <t>Enter the registry ID number on row 230 of the table of registry ID numbers.</t>
  </si>
  <si>
    <t>Enter the registry ID number on row 231 of the table of registry ID numbers.</t>
  </si>
  <si>
    <t>Enter the registry ID number on row 232 of the table of registry ID numbers.</t>
  </si>
  <si>
    <t>Enter the registry ID number on row 233 of the table of registry ID numbers.</t>
  </si>
  <si>
    <t>Enter the registry ID number on row 234 of the table of registry ID numbers.</t>
  </si>
  <si>
    <t>Enter the registry ID number on row 235 of the table of registry ID numbers.</t>
  </si>
  <si>
    <t>Enter the registry ID number on row 236 of the table of registry ID numbers.</t>
  </si>
  <si>
    <t>Enter the registry ID number on row 237 of the table of registry ID numbers.</t>
  </si>
  <si>
    <t>Enter the registry ID number on row 238 of the table of registry ID numbers.</t>
  </si>
  <si>
    <t>Enter the registry ID number on row 239 of the table of registry ID numbers.</t>
  </si>
  <si>
    <t>Enter the registry ID number on row 240 of the table of registry ID numbers.</t>
  </si>
  <si>
    <t>Enter the registry ID number on row 241 of the table of registry ID numbers.</t>
  </si>
  <si>
    <t>Enter the registry ID number on row 242 of the table of registry ID numbers.</t>
  </si>
  <si>
    <t>Enter the registry ID number on row 243 of the table of registry ID numbers.</t>
  </si>
  <si>
    <t>Enter the registry ID number on row 244 of the table of registry ID numbers.</t>
  </si>
  <si>
    <t>Enter the registry ID number on row 245 of the table of registry ID numbers.</t>
  </si>
  <si>
    <t>Enter the registry ID number on row 246 of the table of registry ID numbers.</t>
  </si>
  <si>
    <t>Enter the registry ID number on row 247 of the table of registry ID numbers.</t>
  </si>
  <si>
    <t>Enter the registry ID number on row 248 of the table of registry ID numbers.</t>
  </si>
  <si>
    <t>Enter the registry ID number on row 249 of the table of registry ID numbers.</t>
  </si>
  <si>
    <t>Enter the registry ID number on row 250 of the table of registry ID numbers.</t>
  </si>
  <si>
    <t>Enter the registry ID number on row 251 of the table of registry ID numbers.</t>
  </si>
  <si>
    <t>Enter the registry ID number on row 252 of the table of registry ID numbers.</t>
  </si>
  <si>
    <t>Enter the registry ID number on row 253 of the table of registry ID numbers.</t>
  </si>
  <si>
    <t>Enter the registry ID number on row 254 of the table of registry ID numbers.</t>
  </si>
  <si>
    <t>Enter the registry ID number on row 255 of the table of registry ID numbers.</t>
  </si>
  <si>
    <t>Enter the registry ID number on row 256 of the table of registry ID numbers.</t>
  </si>
  <si>
    <t>Enter the registry ID number on row 257 of the table of registry ID numbers.</t>
  </si>
  <si>
    <t>Enter the registry ID number on row 258 of the table of registry ID numbers.</t>
  </si>
  <si>
    <t>Enter the registry ID number on row 259 of the table of registry ID numbers.</t>
  </si>
  <si>
    <t>Enter the registry ID number on row 260 of the table of registry ID numbers.</t>
  </si>
  <si>
    <t>Enter the registry ID number on row 261 of the table of registry ID numbers.</t>
  </si>
  <si>
    <t>Enter the registry ID number on row 262 of the table of registry ID numbers.</t>
  </si>
  <si>
    <t>Enter the registry ID number on row 263 of the table of registry ID numbers.</t>
  </si>
  <si>
    <t>Enter the registry ID number on row 264 of the table of registry ID numbers.</t>
  </si>
  <si>
    <t>Enter the registry ID number on row 265 of the table of registry ID numbers.</t>
  </si>
  <si>
    <t>Enter the registry ID number on row 266 of the table of registry ID numbers.</t>
  </si>
  <si>
    <t>Enter the registry ID number on row 267 of the table of registry ID numbers.</t>
  </si>
  <si>
    <t>Enter the registry ID number on row 268 of the table of registry ID numbers.</t>
  </si>
  <si>
    <t>Enter the registry ID number on row 269 of the table of registry ID numbers.</t>
  </si>
  <si>
    <t>Enter the registry ID number on row 270 of the table of registry ID numbers.</t>
  </si>
  <si>
    <t>Enter the registry ID number on row 271 of the table of registry ID numbers.</t>
  </si>
  <si>
    <t>Enter the registry ID number on row 272 of the table of registry ID numbers.</t>
  </si>
  <si>
    <t>Enter the registry ID number on row 273 of the table of registry ID numbers.</t>
  </si>
  <si>
    <t>Enter the registry ID number on row 274 of the table of registry ID numbers.</t>
  </si>
  <si>
    <t>Enter the registry ID number on row 275 of the table of registry ID numbers.</t>
  </si>
  <si>
    <t>Enter the registry ID number on row 276 of the table of registry ID numbers.</t>
  </si>
  <si>
    <t>Enter the registry ID number on row 277 of the table of registry ID numbers.</t>
  </si>
  <si>
    <t>Enter the registry ID number on row 278 of the table of registry ID numbers.</t>
  </si>
  <si>
    <t>Enter the registry ID number on row 279 of the table of registry ID numbers.</t>
  </si>
  <si>
    <t>Enter the registry ID number on row 280 of the table of registry ID numbers.</t>
  </si>
  <si>
    <t>Enter the registry ID number on row 281 of the table of registry ID numbers.</t>
  </si>
  <si>
    <t>Enter the registry ID number on row 282 of the table of registry ID numbers.</t>
  </si>
  <si>
    <t>Enter the registry ID number on row 283 of the table of registry ID numbers.</t>
  </si>
  <si>
    <t>Enter the registry ID number on row 284 of the table of registry ID numbers.</t>
  </si>
  <si>
    <t>Enter the registry ID number on row 285 of the table of registry ID numbers.</t>
  </si>
  <si>
    <t>Enter the registry ID number on row 286 of the table of registry ID numbers.</t>
  </si>
  <si>
    <t>Enter the registry ID number on row 287 of the table of registry ID numbers.</t>
  </si>
  <si>
    <t>Enter the registry ID number on row 288 of the table of registry ID numbers.</t>
  </si>
  <si>
    <t>Enter the registry ID number on row 289 of the table of registry ID numbers.</t>
  </si>
  <si>
    <t>Enter the registry ID number on row 290 of the table of registry ID numbers.</t>
  </si>
  <si>
    <t>Enter the registry ID number on row 291 of the table of registry ID numbers.</t>
  </si>
  <si>
    <t>Enter the registry ID number on row 292 of the table of registry ID numbers.</t>
  </si>
  <si>
    <t>Enter the registry ID number on row 293 of the table of registry ID numbers.</t>
  </si>
  <si>
    <t>Enter the registry ID number on row 294 of the table of registry ID numbers.</t>
  </si>
  <si>
    <t>Enter the registry ID number on row 295 of the table of registry ID numbers.</t>
  </si>
  <si>
    <t>Enter the registry ID number on row 296 of the table of registry ID numbers.</t>
  </si>
  <si>
    <t>Enter the registry ID number on row 297 of the table of registry ID numbers.</t>
  </si>
  <si>
    <t>Enter the registry ID number on row 298 of the table of registry ID numbers.</t>
  </si>
  <si>
    <t>Enter the registry ID number on row 299 of the table of registry ID numbers.</t>
  </si>
  <si>
    <t>Enter the registry ID number on row 300 of the table of registry ID numbers.</t>
  </si>
  <si>
    <t>Enter the registry ID number on row 301 of the table of registry ID numbers.</t>
  </si>
  <si>
    <t>Enter the registry ID number on row 302 of the table of registry ID numbers.</t>
  </si>
  <si>
    <t>Enter the registry ID number on row 303 of the table of registry ID numbers.</t>
  </si>
  <si>
    <t>Enter the registry ID number on row 304 of the table of registry ID numbers.</t>
  </si>
  <si>
    <t>Enter the registry ID number on row 305 of the table of registry ID numbers.</t>
  </si>
  <si>
    <t>Enter the registry ID number on row 306 of the table of registry ID numbers.</t>
  </si>
  <si>
    <t>Enter the registry ID number on row 307 of the table of registry ID numbers.</t>
  </si>
  <si>
    <t>Enter the registry ID number on row 308 of the table of registry ID numbers.</t>
  </si>
  <si>
    <t>Enter the registry ID number on row 309 of the table of registry ID numbers.</t>
  </si>
  <si>
    <t>Enter the registry ID number on row 310 of the table of registry ID numbers.</t>
  </si>
  <si>
    <t>Enter the registry ID number on row 311 of the table of registry ID numbers.</t>
  </si>
  <si>
    <t>Enter the registry ID number on row 312 of the table of registry ID numbers.</t>
  </si>
  <si>
    <t>Enter the registry ID number on row 313 of the table of registry ID numbers.</t>
  </si>
  <si>
    <t>Enter the registry ID number on row 314 of the table of registry ID numbers.</t>
  </si>
  <si>
    <t>Enter the registry ID number on row 315 of the table of registry ID numbers.</t>
  </si>
  <si>
    <t>Enter the registry ID number on row 316 of the table of registry ID numbers.</t>
  </si>
  <si>
    <t>Enter the registry ID number on row 317 of the table of registry ID numbers.</t>
  </si>
  <si>
    <t>Enter the registry ID number on row 318 of the table of registry ID numbers.</t>
  </si>
  <si>
    <t>Enter the registry ID number on row 319 of the table of registry ID numbers.</t>
  </si>
  <si>
    <t>Enter the registry ID number on row 320 of the table of registry ID numbers.</t>
  </si>
  <si>
    <t>Enter the registry ID number on row 321 of the table of registry ID numbers.</t>
  </si>
  <si>
    <t>Enter the registry ID number on row 322 of the table of registry ID numbers.</t>
  </si>
  <si>
    <t>Enter the registry ID number on row 323 of the table of registry ID numbers.</t>
  </si>
  <si>
    <t>Enter the registry ID number on row 324 of the table of registry ID numbers.</t>
  </si>
  <si>
    <t>Enter the registry ID number on row 325 of the table of registry ID numbers.</t>
  </si>
  <si>
    <t>Enter the registry ID number on row 326 of the table of registry ID numbers.</t>
  </si>
  <si>
    <t>Enter the registry ID number on row 327 of the table of registry ID numbers.</t>
  </si>
  <si>
    <t>Enter the registry ID number on row 328 of the table of registry ID numbers.</t>
  </si>
  <si>
    <t>Enter the registry ID number on row 329 of the table of registry ID numbers.</t>
  </si>
  <si>
    <t>Enter the registry ID number on row 330 of the table of registry ID numbers.</t>
  </si>
  <si>
    <t>Enter the registry ID number on row 331 of the table of registry ID numbers.</t>
  </si>
  <si>
    <t>Enter the registry ID number on row 332 of the table of registry ID numbers.</t>
  </si>
  <si>
    <t>Enter the registry ID number on row 333 of the table of registry ID numbers.</t>
  </si>
  <si>
    <t>Enter the registry ID number on row 334 of the table of registry ID numbers.</t>
  </si>
  <si>
    <t>Enter the registry ID number on row 335 of the table of registry ID numbers.</t>
  </si>
  <si>
    <t>Enter the registry ID number on row 336 of the table of registry ID numbers.</t>
  </si>
  <si>
    <t>Enter the registry ID number on row 337 of the table of registry ID numbers.</t>
  </si>
  <si>
    <t>Enter the registry ID number on row 338 of the table of registry ID numbers.</t>
  </si>
  <si>
    <t>Enter the registry ID number on row 339 of the table of registry ID numbers.</t>
  </si>
  <si>
    <t>Enter the registry ID number on row 340 of the table of registry ID numbers.</t>
  </si>
  <si>
    <t>Enter the registry ID number on row 341 of the table of registry ID numbers.</t>
  </si>
  <si>
    <t>Enter the registry ID number on row 342 of the table of registry ID numbers.</t>
  </si>
  <si>
    <t>Enter the registry ID number on row 343 of the table of registry ID numbers.</t>
  </si>
  <si>
    <t>Enter the registry ID number on row 344 of the table of registry ID numbers.</t>
  </si>
  <si>
    <t>Enter the registry ID number on row 345 of the table of registry ID numbers.</t>
  </si>
  <si>
    <t>Enter the registry ID number on row 346 of the table of registry ID numbers.</t>
  </si>
  <si>
    <t>Enter the registry ID number on row 347 of the table of registry ID numbers.</t>
  </si>
  <si>
    <t>Enter the registry ID number on row 348 of the table of registry ID numbers.</t>
  </si>
  <si>
    <t>Enter the registry ID number on row 349 of the table of registry ID numbers.</t>
  </si>
  <si>
    <t>Enter the registry ID number on row 350 of the table of registry ID numbers.</t>
  </si>
  <si>
    <t>Enter the registry ID number on row 351 of the table of registry ID numbers.</t>
  </si>
  <si>
    <t>Enter the registry ID number on row 352 of the table of registry ID numbers.</t>
  </si>
  <si>
    <t>Enter the registry ID number on row 353 of the table of registry ID numbers.</t>
  </si>
  <si>
    <t>Enter the registry ID number on row 354 of the table of registry ID numbers.</t>
  </si>
  <si>
    <t>Enter the registry ID number on row 355 of the table of registry ID numbers.</t>
  </si>
  <si>
    <t>Enter the registry ID number on row 356 of the table of registry ID numbers.</t>
  </si>
  <si>
    <t>Enter the registry ID number on row 357 of the table of registry ID numbers.</t>
  </si>
  <si>
    <t>Enter the registry ID number on row 358 of the table of registry ID numbers.</t>
  </si>
  <si>
    <t>Enter the registry ID number on row 359 of the table of registry ID numbers.</t>
  </si>
  <si>
    <t>Enter the registry ID number on row 360 of the table of registry ID numbers.</t>
  </si>
  <si>
    <t>Enter the registry ID number on row 361 of the table of registry ID numbers.</t>
  </si>
  <si>
    <t>Enter the registry ID number on row 362 of the table of registry ID numbers.</t>
  </si>
  <si>
    <t>Enter the registry ID number on row 363 of the table of registry ID numbers.</t>
  </si>
  <si>
    <t>Enter the registry ID number on row 364 of the table of registry ID numbers.</t>
  </si>
  <si>
    <t>Enter the registry ID number on row 365 of the table of registry ID numbers.</t>
  </si>
  <si>
    <t>Enter the registry ID number on row 366 of the table of registry ID numbers.</t>
  </si>
  <si>
    <t>Enter the registry ID number on row 367 of the table of registry ID numbers.</t>
  </si>
  <si>
    <t>Enter the registry ID number on row 368 of the table of registry ID numbers.</t>
  </si>
  <si>
    <t>Enter the registry ID number on row 369 of the table of registry ID numbers.</t>
  </si>
  <si>
    <t>Enter the registry ID number on row 370 of the table of registry ID numbers.</t>
  </si>
  <si>
    <t>Enter the registry ID number on row 371 of the table of registry ID numbers.</t>
  </si>
  <si>
    <t>Enter the registry ID number on row 372 of the table of registry ID numbers.</t>
  </si>
  <si>
    <t>Enter the registry ID number on row 373 of the table of registry ID numbers.</t>
  </si>
  <si>
    <t>Enter the registry ID number on row 374 of the table of registry ID numbers.</t>
  </si>
  <si>
    <t>Enter the registry ID number on row 375 of the table of registry ID numbers.</t>
  </si>
  <si>
    <t>Enter the registry ID number on row 376 of the table of registry ID numbers.</t>
  </si>
  <si>
    <t>Enter the registry ID number on row 377 of the table of registry ID numbers.</t>
  </si>
  <si>
    <t>Enter the registry ID number on row 378 of the table of registry ID numbers.</t>
  </si>
  <si>
    <t>Enter the registry ID number on row 379 of the table of registry ID numbers.</t>
  </si>
  <si>
    <t>Enter the registry ID number on row 380 of the table of registry ID numbers.</t>
  </si>
  <si>
    <t>Enter the registry ID number on row 381 of the table of registry ID numbers.</t>
  </si>
  <si>
    <t>Enter the registry ID number on row 382 of the table of registry ID numbers.</t>
  </si>
  <si>
    <t>Enter the registry ID number on row 383 of the table of registry ID numbers.</t>
  </si>
  <si>
    <t>Enter the registry ID number on row 384 of the table of registry ID numbers.</t>
  </si>
  <si>
    <t>Enter the registry ID number on row 385 of the table of registry ID numbers.</t>
  </si>
  <si>
    <t>Enter the registry ID number on row 386 of the table of registry ID numbers.</t>
  </si>
  <si>
    <t>Enter the registry ID number on row 387 of the table of registry ID numbers.</t>
  </si>
  <si>
    <t>Enter the registry ID number on row 388 of the table of registry ID numbers.</t>
  </si>
  <si>
    <t>Enter the registry ID number on row 389 of the table of registry ID numbers.</t>
  </si>
  <si>
    <t>Enter the registry ID number on row 390 of the table of registry ID numbers.</t>
  </si>
  <si>
    <t>Enter the registry ID number on row 391 of the table of registry ID numbers.</t>
  </si>
  <si>
    <t>Enter the registry ID number on row 392 of the table of registry ID numbers.</t>
  </si>
  <si>
    <t>Enter the registry ID number on row 393 of the table of registry ID numbers.</t>
  </si>
  <si>
    <t>Enter the registry ID number on row 394 of the table of registry ID numbers.</t>
  </si>
  <si>
    <t>Enter the registry ID number on row 395 of the table of registry ID numbers.</t>
  </si>
  <si>
    <t>Enter the registry ID number on row 396 of the table of registry ID numbers.</t>
  </si>
  <si>
    <t>Enter the registry ID number on row 397 of the table of registry ID numbers.</t>
  </si>
  <si>
    <t>Enter the registry ID number on row 398 of the table of registry ID numbers.</t>
  </si>
  <si>
    <t>Enter the registry ID number on row 399 of the table of registry ID numbers.</t>
  </si>
  <si>
    <t>Enter the registry ID number on row 400 of the table of registry ID numbers.</t>
  </si>
  <si>
    <t>Enter the registry ID number on row 401 of the table of registry ID numbers.</t>
  </si>
  <si>
    <t>Enter the registry ID number on row 402 of the table of registry ID numbers.</t>
  </si>
  <si>
    <t>Enter the registry ID number on row 403 of the table of registry ID numbers.</t>
  </si>
  <si>
    <t>Enter the registry ID number on row 404 of the table of registry ID numbers.</t>
  </si>
  <si>
    <t>Enter the registry ID number on row 405 of the table of registry ID numbers.</t>
  </si>
  <si>
    <t>Enter the registry ID number on row 406 of the table of registry ID numbers.</t>
  </si>
  <si>
    <t>Enter the registry ID number on row 407 of the table of registry ID numbers.</t>
  </si>
  <si>
    <t>Enter the registry ID number on row 408 of the table of registry ID numbers.</t>
  </si>
  <si>
    <t>Enter the registry ID number on row 409 of the table of registry ID numbers.</t>
  </si>
  <si>
    <t>Enter the registry ID number on row 410 of the table of registry ID numbers.</t>
  </si>
  <si>
    <t>Enter the registry ID number on row 411 of the table of registry ID numbers.</t>
  </si>
  <si>
    <t>Enter the registry ID number on row 412 of the table of registry ID numbers.</t>
  </si>
  <si>
    <t>Enter the registry ID number on row 413 of the table of registry ID numbers.</t>
  </si>
  <si>
    <t>Enter the registry ID number on row 414 of the table of registry ID numbers.</t>
  </si>
  <si>
    <t>Enter the registry ID number on row 415 of the table of registry ID numbers.</t>
  </si>
  <si>
    <t>Enter the registry ID number on row 416 of the table of registry ID numbers.</t>
  </si>
  <si>
    <t>Enter the registry ID number on row 417 of the table of registry ID numbers.</t>
  </si>
  <si>
    <t>Enter the registry ID number on row 418 of the table of registry ID numbers.</t>
  </si>
  <si>
    <t>Enter the registry ID number on row 419 of the table of registry ID numbers.</t>
  </si>
  <si>
    <t>Enter the registry ID number on row 420 of the table of registry ID numbers.</t>
  </si>
  <si>
    <t>Enter the registry ID number on row 421 of the table of registry ID numbers.</t>
  </si>
  <si>
    <t>Enter the registry ID number on row 422 of the table of registry ID numbers.</t>
  </si>
  <si>
    <t>Enter the registry ID number on row 423 of the table of registry ID numbers.</t>
  </si>
  <si>
    <t>Enter the registry ID number on row 424 of the table of registry ID numbers.</t>
  </si>
  <si>
    <t>Enter the registry ID number on row 425 of the table of registry ID numbers.</t>
  </si>
  <si>
    <t>Enter the registry ID number on row 426 of the table of registry ID numbers.</t>
  </si>
  <si>
    <t>Enter the registry ID number on row 427 of the table of registry ID numbers.</t>
  </si>
  <si>
    <t>Enter the registry ID number on row 428 of the table of registry ID numbers.</t>
  </si>
  <si>
    <t>Enter the registry ID number on row 429 of the table of registry ID numbers.</t>
  </si>
  <si>
    <t>Enter the registry ID number on row 430 of the table of registry ID numbers.</t>
  </si>
  <si>
    <t>Enter the registry ID number on row 431 of the table of registry ID numbers.</t>
  </si>
  <si>
    <t>Enter the registry ID number on row 432 of the table of registry ID numbers.</t>
  </si>
  <si>
    <t>Enter the registry ID number on row 433 of the table of registry ID numbers.</t>
  </si>
  <si>
    <t>Enter the registry ID number on row 434 of the table of registry ID numbers.</t>
  </si>
  <si>
    <t>Enter the registry ID number on row 435 of the table of registry ID numbers.</t>
  </si>
  <si>
    <t>Enter the registry ID number on row 436 of the table of registry ID numbers.</t>
  </si>
  <si>
    <t>Enter the registry ID number on row 437 of the table of registry ID numbers.</t>
  </si>
  <si>
    <t>Enter the registry ID number on row 438 of the table of registry ID numbers.</t>
  </si>
  <si>
    <t>Enter the registry ID number on row 439 of the table of registry ID numbers.</t>
  </si>
  <si>
    <t>Enter the registry ID number on row 440 of the table of registry ID numbers.</t>
  </si>
  <si>
    <t>Enter the registry ID number on row 441 of the table of registry ID numbers.</t>
  </si>
  <si>
    <t>Enter the registry ID number on row 442 of the table of registry ID numbers.</t>
  </si>
  <si>
    <t>Enter the registry ID number on row 443 of the table of registry ID numbers.</t>
  </si>
  <si>
    <t>Enter the registry ID number on row 444 of the table of registry ID numbers.</t>
  </si>
  <si>
    <t>Enter the registry ID number on row 445 of the table of registry ID numbers.</t>
  </si>
  <si>
    <t>Enter the registry ID number on row 446 of the table of registry ID numbers.</t>
  </si>
  <si>
    <t>Enter the registry ID number on row 447 of the table of registry ID numbers.</t>
  </si>
  <si>
    <t>Enter the registry ID number on row 448 of the table of registry ID numbers.</t>
  </si>
  <si>
    <t>Enter the registry ID number on row 449 of the table of registry ID numbers.</t>
  </si>
  <si>
    <t>Enter the registry ID number on row 450 of the table of registry ID numbers.</t>
  </si>
  <si>
    <t>Enter the registry ID number on row 451 of the table of registry ID numbers.</t>
  </si>
  <si>
    <t>Enter the registry ID number on row 452 of the table of registry ID numbers.</t>
  </si>
  <si>
    <t>Enter the registry ID number on row 453 of the table of registry ID numbers.</t>
  </si>
  <si>
    <t>Enter the registry ID number on row 454 of the table of registry ID numbers.</t>
  </si>
  <si>
    <t>Enter the registry ID number on row 455 of the table of registry ID numbers.</t>
  </si>
  <si>
    <t>Enter the registry ID number on row 456 of the table of registry ID numbers.</t>
  </si>
  <si>
    <t>Enter the registry ID number on row 457 of the table of registry ID numbers.</t>
  </si>
  <si>
    <t>Enter the registry ID number on row 458 of the table of registry ID numbers.</t>
  </si>
  <si>
    <t>Enter the registry ID number on row 459 of the table of registry ID numbers.</t>
  </si>
  <si>
    <t>Enter the registry ID number on row 460 of the table of registry ID numbers.</t>
  </si>
  <si>
    <t>Enter the registry ID number on row 461 of the table of registry ID numbers.</t>
  </si>
  <si>
    <t>Enter the registry ID number on row 462 of the table of registry ID numbers.</t>
  </si>
  <si>
    <t>Enter the registry ID number on row 463 of the table of registry ID numbers.</t>
  </si>
  <si>
    <t>Enter the registry ID number on row 464 of the table of registry ID numbers.</t>
  </si>
  <si>
    <t>Enter the registry ID number on row 465 of the table of registry ID numbers.</t>
  </si>
  <si>
    <t>Enter the registry ID number on row 466 of the table of registry ID numbers.</t>
  </si>
  <si>
    <t>Enter the registry ID number on row 467 of the table of registry ID numbers.</t>
  </si>
  <si>
    <t>Enter the registry ID number on row 468 of the table of registry ID numbers.</t>
  </si>
  <si>
    <t>Enter the registry ID number on row 469 of the table of registry ID numbers.</t>
  </si>
  <si>
    <t>Enter the registry ID number on row 470 of the table of registry ID numbers.</t>
  </si>
  <si>
    <t>Enter the registry ID number on row 471 of the table of registry ID numbers.</t>
  </si>
  <si>
    <t>Enter the registry ID number on row 472 of the table of registry ID numbers.</t>
  </si>
  <si>
    <t>Enter the registry ID number on row 473 of the table of registry ID numbers.</t>
  </si>
  <si>
    <t>Enter the registry ID number on row 474 of the table of registry ID numbers.</t>
  </si>
  <si>
    <t>Enter the registry ID number on row 475 of the table of registry ID numbers.</t>
  </si>
  <si>
    <t>Enter the registry ID number on row 476 of the table of registry ID numbers.</t>
  </si>
  <si>
    <t>Enter the registry ID number on row 477 of the table of registry ID numbers.</t>
  </si>
  <si>
    <t>Enter the registry ID number on row 478 of the table of registry ID numbers.</t>
  </si>
  <si>
    <t>Enter the registry ID number on row 479 of the table of registry ID numbers.</t>
  </si>
  <si>
    <t>Enter the registry ID number on row 480 of the table of registry ID numbers.</t>
  </si>
  <si>
    <t>Enter the registry ID number on row 481 of the table of registry ID numbers.</t>
  </si>
  <si>
    <t>Enter the registry ID number on row 482 of the table of registry ID numbers.</t>
  </si>
  <si>
    <t>Enter the registry ID number on row 483 of the table of registry ID numbers.</t>
  </si>
  <si>
    <t>Enter the registry ID number on row 484 of the table of registry ID numbers.</t>
  </si>
  <si>
    <t>Enter the registry ID number on row 485 of the table of registry ID numbers.</t>
  </si>
  <si>
    <t>Enter the registry ID number on row 486 of the table of registry ID numbers.</t>
  </si>
  <si>
    <t>Enter the registry ID number on row 487 of the table of registry ID numbers.</t>
  </si>
  <si>
    <t>Enter the registry ID number on row 488 of the table of registry ID numbers.</t>
  </si>
  <si>
    <t>Enter the registry ID number on row 489 of the table of registry ID numbers.</t>
  </si>
  <si>
    <t>Enter the registry ID number on row 490 of the table of registry ID numbers.</t>
  </si>
  <si>
    <t>Enter the registry ID number on row 491 of the table of registry ID numbers.</t>
  </si>
  <si>
    <t>Enter the registry ID number on row 492 of the table of registry ID numbers.</t>
  </si>
  <si>
    <t>Enter the registry ID number on row 493 of the table of registry ID numbers.</t>
  </si>
  <si>
    <t>Enter the registry ID number on row 494 of the table of registry ID numbers.</t>
  </si>
  <si>
    <t>Enter the registry ID number on row 495 of the table of registry ID numbers.</t>
  </si>
  <si>
    <t>Enter the registry ID number on row 496 of the table of registry ID numbers.</t>
  </si>
  <si>
    <t>Enter the registry ID number on row 497 of the table of registry ID numbers.</t>
  </si>
  <si>
    <t>Enter the registry ID number on row 498 of the table of registry ID numbers.</t>
  </si>
  <si>
    <t>Enter the registry ID number on row 499 of the table of registry ID numbers.</t>
  </si>
  <si>
    <t>Enter the registry ID number on row 500 of the table of registry ID numbers.</t>
  </si>
  <si>
    <t>Enter the name of product 1.</t>
  </si>
  <si>
    <t>Select the sector that applies to product 1.</t>
  </si>
  <si>
    <t>It was indicated on the Facility Information tab that the facility does not produce products in the upstream oil and gas sector. Review the sector that applies to product 1.</t>
  </si>
  <si>
    <t>Enter the sector that applies to product 1.</t>
  </si>
  <si>
    <t>Select the source categories that produced direct emissions for product 1.</t>
  </si>
  <si>
    <t>Indicate if product 1 has regulated electricity emissions.</t>
  </si>
  <si>
    <t>Enter the name of product 2.</t>
  </si>
  <si>
    <t>Select the sector that applies to product 2.</t>
  </si>
  <si>
    <t>It was indicated on the Facility Information tab that the facility does not produce products in the upstream oil and gas sector. Review the sector that applies to product 2.</t>
  </si>
  <si>
    <t>Enter the sector that applies to product 2.</t>
  </si>
  <si>
    <t>Select the source categories that produced direct emissions for product 2.</t>
  </si>
  <si>
    <t>Indicate if product 2 has regulated electricity emissions.</t>
  </si>
  <si>
    <t>Enter the name of product 3.</t>
  </si>
  <si>
    <t>Select the sector that applies to product 3.</t>
  </si>
  <si>
    <t>It was indicated on the Facility Information tab that the facility does not produce products in the upstream oil and gas sector. Review the sector that applies to product 3.</t>
  </si>
  <si>
    <t>Enter the sector that applies to product 3.</t>
  </si>
  <si>
    <t>Select the source categories that produced direct emissions for product 3.</t>
  </si>
  <si>
    <t>Indicate if product 3 has regulated electricity emissions.</t>
  </si>
  <si>
    <t>Enter the name of product 4.</t>
  </si>
  <si>
    <t>Select the sector that applies to product 4.</t>
  </si>
  <si>
    <t>It was indicated on the Facility Information tab that the facility does not produce products in the upstream oil and gas sector. Review the sector that applies to product 4.</t>
  </si>
  <si>
    <t>Enter the sector that applies to product 4.</t>
  </si>
  <si>
    <t>Select the source categories that produced direct emissions for product 4.</t>
  </si>
  <si>
    <t>Indicate if product 4 has regulated electricity emissions.</t>
  </si>
  <si>
    <t>Enter the name of product 5.</t>
  </si>
  <si>
    <t>Select the sector that applies to product 5.</t>
  </si>
  <si>
    <t>It was indicated on the Facility Information tab that the facility does not produce products in the upstream oil and gas sector. Review the sector that applies to product 5.</t>
  </si>
  <si>
    <t>Enter the sector that applies to product 5.</t>
  </si>
  <si>
    <t>Select the source categories that produced direct emissions for product 5.</t>
  </si>
  <si>
    <t>Indicate if product 5 has regulated electricity emissions.</t>
  </si>
  <si>
    <t>It was indicated on the Facility Information tab that the facility produces products in the upstream oil and gas sector. Review the sector that applies to each product.</t>
  </si>
  <si>
    <t>Enter the amount of commercial product produced for product 1 in the compliance year.</t>
  </si>
  <si>
    <t>Enter the product units for product 1.</t>
  </si>
  <si>
    <t>Enter the carbon dioxide emissions in the stationary fuel combustion source category for product 1 in the compliance year.</t>
  </si>
  <si>
    <t>Enter the methane emissions in the stationary fuel combustion source category for product 1 in the compliance year.</t>
  </si>
  <si>
    <t>Enter the nitrous oxide emissions in the stationary fuel combustion source category for product 1 in the compliance year.</t>
  </si>
  <si>
    <t>Enter the carbon dioxide emissions in the industrial process source category for product 1 in the compliance year.</t>
  </si>
  <si>
    <t>Enter the methane emissions in the industrial process source category for product 1 in the compliance year.</t>
  </si>
  <si>
    <t>Enter the nitrous oxide emissions in the industrial process source category for product 1 in the compliance year.</t>
  </si>
  <si>
    <t>Enter the sulphur hexafluoride emissions in the industrial process source category for product 1 in the compliance year.</t>
  </si>
  <si>
    <t>Enter the perfluoromethane emissions in the industrial process source category for product 1 in the compliance year.</t>
  </si>
  <si>
    <t>Enter the perfluoroethane emissions in the industrial process source category for product 1 in the compliance year.</t>
  </si>
  <si>
    <t>Enter the perfluoropropane emissions in the industrial process source category for product 1 in the compliance year.</t>
  </si>
  <si>
    <t>Enter the perfluorobutane emissions in the industrial process source category for product 1 in the compliance year.</t>
  </si>
  <si>
    <t>Enter the perfluorocyclobutane emissions in the industrial process source category for product 1 in the compliance year.</t>
  </si>
  <si>
    <t>Enter the perfluoropentane emissions in the industrial process source category for product 1 in the compliance year.</t>
  </si>
  <si>
    <t>Enter the perfluorohexane emissions in the industrial process source category for product 1 in the compliance year.</t>
  </si>
  <si>
    <t>Enter the HFC-23 emissions in the industrial process source category for product 1 in the compliance year.</t>
  </si>
  <si>
    <t>Enter the HFC-32 emissions in the industrial process source category for product 1 in the compliance year.</t>
  </si>
  <si>
    <t>Enter the HFC-41 emissions in the industrial process source category for product 1 in the compliance year.</t>
  </si>
  <si>
    <t>Enter the HFC-43-10mee emissions in the industrial process source category for product 1 in the compliance year.</t>
  </si>
  <si>
    <t>Enter the HFC-125 emissions in the industrial process source category for product 1 in the compliance year.</t>
  </si>
  <si>
    <t>Enter the HFC-134 emissions in the industrial process source category for product 1 in the compliance year.</t>
  </si>
  <si>
    <t>Enter the HFC-134a emissions in the industrial process source category for product 1 in the compliance year.</t>
  </si>
  <si>
    <t>Enter the HFC-143 emissions in the industrial process source category for product 1 in the compliance year.</t>
  </si>
  <si>
    <t>Enter the HFC-143a emissions in the industrial process source category for product 1 in the compliance year.</t>
  </si>
  <si>
    <t>Enter the HFC-152a emissions in the industrial process source category for product 1 in the compliance year.</t>
  </si>
  <si>
    <t>Enter the HFC-227ea emissions in the industrial process source category for product 1 in the compliance year.</t>
  </si>
  <si>
    <t>Enter the HFC-236fa emissions in the industrial process source category for product 1 in the compliance year.</t>
  </si>
  <si>
    <t>Enter the HFC-245ca emissions in the industrial process source category for product 1 in the compliance year.</t>
  </si>
  <si>
    <t>Enter the sulphur hexafluoride emissions in the industrial product use source category for product 1 in the compliance year.</t>
  </si>
  <si>
    <t>Enter the perfluoromethane emissions in the industrial product use source category for product 1 in the compliance year.</t>
  </si>
  <si>
    <t>Enter the perfluoroethane emissions in the industrial product use source category for product 1 in the compliance year.</t>
  </si>
  <si>
    <t>Enter the perfluoropropane emissions in the industrial product use source category for product 1 in the compliance year.</t>
  </si>
  <si>
    <t>Enter the perfluorobutane emissions in the industrial product use source category for product 1 in the compliance year.</t>
  </si>
  <si>
    <t>Enter the perfluorocyclobutane emissions in the industrial product use source category for product 1 in the compliance year.</t>
  </si>
  <si>
    <t>Enter the perfluoropentane emissions in the industrial product use source category for product 1 in the compliance year.</t>
  </si>
  <si>
    <t>Enter the perfluorohexane emissions in the industrial product use source category for product 1 in the compliance year.</t>
  </si>
  <si>
    <t>Enter the HFC-23 emissions in the industrial product use source category for product 1 in the compliance year.</t>
  </si>
  <si>
    <t>Enter the HFC-32 emissions in the industrial product use source category for product 1 in the compliance year.</t>
  </si>
  <si>
    <t>Enter the HFC-41 emissions in the industrial product use source category for product 1 in the compliance year.</t>
  </si>
  <si>
    <t>Enter the HFC-43-10mee emissions in the industrial product use source category for product 1 in the compliance year.</t>
  </si>
  <si>
    <t>Enter the HFC-125 emissions in the industrial product use source category for product 1 in the compliance year.</t>
  </si>
  <si>
    <t>Enter the HFC-134 emissions in the industrial product use source category for product 1 in the compliance year.</t>
  </si>
  <si>
    <t>Enter the HFC-134a emissions in the industrial product use source category for product 1 in the compliance year.</t>
  </si>
  <si>
    <t>Enter the HFC-143 emissions in the industrial product use source category for product 1 in the compliance year.</t>
  </si>
  <si>
    <t>Enter the HFC-143a emissions in the industrial product use source category for product 1 in the compliance year.</t>
  </si>
  <si>
    <t>Enter the HFC-152a emissions in the industrial product use source category for product 1 in the compliance year.</t>
  </si>
  <si>
    <t>Enter the HFC-227ea emissions in the industrial product use source category for product 1 in the compliance year.</t>
  </si>
  <si>
    <t>Enter the HFC-236fa emissions in the industrial product use source category for product 1 in the compliance year.</t>
  </si>
  <si>
    <t>Enter the HFC-245ca emissions in the industrial product use source category for product 1 in the compliance year.</t>
  </si>
  <si>
    <t>Enter the carbon dioxide emissions in the venting source category for product 1 in the compliance year.</t>
  </si>
  <si>
    <t>Enter the methane emissions in the venting source category for product 1 in the compliance year.</t>
  </si>
  <si>
    <t>Enter the nitrous oxide emissions in the venting source category for product 1 in the compliance year.</t>
  </si>
  <si>
    <t>Enter the carbon dioxide emissions in the flaring source category for product 1 in the compliance year.</t>
  </si>
  <si>
    <t>Enter the methane emissions in the flaring source category for product 1 in the compliance year.</t>
  </si>
  <si>
    <t>Enter the nitrous oxide emissions in the flaring source category for product 1 in the compliance year.</t>
  </si>
  <si>
    <t>Enter the carbon dioxide emissions in the leakage source category for product 1 in the compliance year.</t>
  </si>
  <si>
    <t>Enter the methane emissions in the leakage source category for product 1 in the compliance year.</t>
  </si>
  <si>
    <t>Enter the nitrous oxide emissions in the leakage source category for product 1 in the compliance year.</t>
  </si>
  <si>
    <t>Enter the carbon dioxide emissions in the on-site transportation source category for product 1 in the compliance year.</t>
  </si>
  <si>
    <t>Enter the methane emissions in the on-site transportation source category for product 1 in the compliance year.</t>
  </si>
  <si>
    <t>Enter the nitrous oxide emissions in the on-site transportation source category for product 1 in the compliance year.</t>
  </si>
  <si>
    <t>Enter the carbon dioxide emissions in the waste source category for product 1 in the compliance year.</t>
  </si>
  <si>
    <t>Enter the methane emissions in the waste source category for product 1 in the compliance year.</t>
  </si>
  <si>
    <t>Enter the nitrous oxide emissions in the waste source category for product 1 in the compliance year.</t>
  </si>
  <si>
    <t>Enter the carbon dioxide emissions in the wastewater source category for product 1 in the compliance year.</t>
  </si>
  <si>
    <t>Enter the methane emissions in the wastewater source category for product 1 in the compliance year.</t>
  </si>
  <si>
    <t>Enter the nitrous oxide emissions in the wastewater source category for product 1 in the compliance year.</t>
  </si>
  <si>
    <t>Enter the amount of commercial product produced for product 2 in the compliance year.</t>
  </si>
  <si>
    <t>Enter the product units for product 2.</t>
  </si>
  <si>
    <t>Enter the carbon dioxide emissions in the stationary fuel combustion source category for product 2 in the compliance year.</t>
  </si>
  <si>
    <t>Enter the methane emissions in the stationary fuel combustion source category for product 2 in the compliance year.</t>
  </si>
  <si>
    <t>Enter the nitrous oxide emissions in the stationary fuel combustion source category for product 2 in the compliance year.</t>
  </si>
  <si>
    <t>Enter the carbon dioxide emissions in the industrial process source category for product 2 in the compliance year.</t>
  </si>
  <si>
    <t>Enter the methane emissions in the industrial process source category for product 2 in the compliance year.</t>
  </si>
  <si>
    <t>Enter the nitrous oxide emissions in the industrial process source category for product 2 in the compliance year.</t>
  </si>
  <si>
    <t>Enter the sulphur hexafluoride emissions in the industrial process source category for product 2 in the compliance year.</t>
  </si>
  <si>
    <t>Enter the perfluoromethane emissions in the industrial process source category for product 2 in the compliance year.</t>
  </si>
  <si>
    <t>Enter the perfluoroethane emissions in the industrial process source category for product 2 in the compliance year.</t>
  </si>
  <si>
    <t>Enter the perfluoropropane emissions in the industrial process source category for product 2 in the compliance year.</t>
  </si>
  <si>
    <t>Enter the perfluorobutane emissions in the industrial process source category for product 2 in the compliance year.</t>
  </si>
  <si>
    <t>Enter the perfluorocyclobutane emissions in the industrial process source category for product 2 in the compliance year.</t>
  </si>
  <si>
    <t>Enter the perfluoropentane emissions in the industrial process source category for product 2 in the compliance year.</t>
  </si>
  <si>
    <t>Enter the perfluorohexane emissions in the industrial process source category for product 2 in the compliance year.</t>
  </si>
  <si>
    <t>Enter the HFC-23 emissions in the industrial process source category for product 2 in the compliance year.</t>
  </si>
  <si>
    <t>Enter the HFC-32 emissions in the industrial process source category for product 2 in the compliance year.</t>
  </si>
  <si>
    <t>Enter the HFC-41 emissions in the industrial process source category for product 2 in the compliance year.</t>
  </si>
  <si>
    <t>Enter the HFC-43-10mee emissions in the industrial process source category for product 2 in the compliance year.</t>
  </si>
  <si>
    <t>Enter the HFC-125 emissions in the industrial process source category for product 2 in the compliance year.</t>
  </si>
  <si>
    <t>Enter the HFC-134 emissions in the industrial process source category for product 2 in the compliance year.</t>
  </si>
  <si>
    <t>Enter the HFC-134a emissions in the industrial process source category for product 2 in the compliance year.</t>
  </si>
  <si>
    <t>Enter the HFC-143 emissions in the industrial process source category for product 2 in the compliance year.</t>
  </si>
  <si>
    <t>Enter the HFC-143a emissions in the industrial process source category for product 2 in the compliance year.</t>
  </si>
  <si>
    <t>Enter the HFC-152a emissions in the industrial process source category for product 2 in the compliance year.</t>
  </si>
  <si>
    <t>Enter the HFC-227ea emissions in the industrial process source category for product 2 in the compliance year.</t>
  </si>
  <si>
    <t>Enter the HFC-236fa emissions in the industrial process source category for product 2 in the compliance year.</t>
  </si>
  <si>
    <t>Enter the HFC-245ca emissions in the industrial process source category for product 2 in the compliance year.</t>
  </si>
  <si>
    <t>Enter the sulphur hexafluoride emissions in the industrial product use source category for product 2 in the compliance year.</t>
  </si>
  <si>
    <t>Enter the perfluoromethane emissions in the industrial product use source category for product 2 in the compliance year.</t>
  </si>
  <si>
    <t>Enter the perfluoroethane emissions in the industrial product use source category for product 2 in the compliance year.</t>
  </si>
  <si>
    <t>Enter the perfluoropropane emissions in the industrial product use source category for product 2 in the compliance year.</t>
  </si>
  <si>
    <t>Enter the perfluorobutane emissions in the industrial product use source category for product 2 in the compliance year.</t>
  </si>
  <si>
    <t>Enter the perfluorocyclobutane emissions in the industrial product use source category for product 2 in the compliance year.</t>
  </si>
  <si>
    <t>Enter the perfluoropentane emissions in the industrial product use source category for product 2 in the compliance year.</t>
  </si>
  <si>
    <t>Enter the perfluorohexane emissions in the industrial product use source category for product 2 in the compliance year.</t>
  </si>
  <si>
    <t>Enter the HFC-23 emissions in the industrial product use source category for product 2 in the compliance year.</t>
  </si>
  <si>
    <t>Enter the HFC-32 emissions in the industrial product use source category for product 2 in the compliance year.</t>
  </si>
  <si>
    <t>Enter the HFC-41 emissions in the industrial product use source category for product 2 in the compliance year.</t>
  </si>
  <si>
    <t>Enter the HFC-43-10mee emissions in the industrial product use source category for product 2 in the compliance year.</t>
  </si>
  <si>
    <t>Enter the HFC-125 emissions in the industrial product use source category for product 2 in the compliance year.</t>
  </si>
  <si>
    <t>Enter the HFC-134 emissions in the industrial product use source category for product 2 in the compliance year.</t>
  </si>
  <si>
    <t>Enter the HFC-134a emissions in the industrial product use source category for product 2 in the compliance year.</t>
  </si>
  <si>
    <t>Enter the HFC-143 emissions in the industrial product use source category for product 2 in the compliance year.</t>
  </si>
  <si>
    <t>Enter the HFC-143a emissions in the industrial product use source category for product 2 in the compliance year.</t>
  </si>
  <si>
    <t>Enter the HFC-152a emissions in the industrial product use source category for product 2 in the compliance year.</t>
  </si>
  <si>
    <t>Enter the HFC-227ea emissions in the industrial product use source category for product 2 in the compliance year.</t>
  </si>
  <si>
    <t>Enter the HFC-236fa emissions in the industrial product use source category for product 2 in the compliance year.</t>
  </si>
  <si>
    <t>Enter the HFC-245ca emissions in the industrial product use source category for product 2 in the compliance year.</t>
  </si>
  <si>
    <t>Enter the carbon dioxide emissions in the venting source category for product 2 in the compliance year.</t>
  </si>
  <si>
    <t>Enter the methane emissions in the venting source category for product 2 in the compliance year.</t>
  </si>
  <si>
    <t>Enter the nitrous oxide emissions in the venting source category for product 2 in the compliance year.</t>
  </si>
  <si>
    <t>Enter the carbon dioxide emissions in the flaring source category for product 2 in the compliance year.</t>
  </si>
  <si>
    <t>Enter the methane emissions in the flaring source category for product 2 in the compliance year.</t>
  </si>
  <si>
    <t>Enter the nitrous oxide emissions in the flaring source category for product 2 in the compliance year.</t>
  </si>
  <si>
    <t>Enter the carbon dioxide emissions in the leakage source category for product 2 in the compliance year.</t>
  </si>
  <si>
    <t>Enter the methane emissions in the leakage source category for product 2 in the compliance year.</t>
  </si>
  <si>
    <t>Enter the nitrous oxide emissions in the leakage source category for product 2 in the compliance year.</t>
  </si>
  <si>
    <t>Enter the carbon dioxide emissions in the on-site transportation source category for product 2 in the compliance year.</t>
  </si>
  <si>
    <t>Enter the methane emissions in the on-site transportation source category for product 2 in the compliance year.</t>
  </si>
  <si>
    <t>Enter the nitrous oxide emissions in the on-site transportation source category for product 2 in the compliance year.</t>
  </si>
  <si>
    <t>Enter the carbon dioxide emissions in the waste source category for product 2 in the compliance year.</t>
  </si>
  <si>
    <t>Enter the methane emissions in the waste source category for product 2 in the compliance year.</t>
  </si>
  <si>
    <t>Enter the nitrous oxide emissions in the waste source category for product 2 in the compliance year.</t>
  </si>
  <si>
    <t>Enter the carbon dioxide emissions in the wastewater source category for product 2 in the compliance year.</t>
  </si>
  <si>
    <t>Enter the methane emissions in the wastewater source category for product 2 in the compliance year.</t>
  </si>
  <si>
    <t>Enter the nitrous oxide emissions in the wastewater source category for product 2 in the compliance year.</t>
  </si>
  <si>
    <t>Enter the amount of commercial product produced for product 3 in the compliance year.</t>
  </si>
  <si>
    <t>Enter the product units for product 3.</t>
  </si>
  <si>
    <t>Enter the carbon dioxide emissions in the stationary fuel combustion source category for product 3 in the compliance year.</t>
  </si>
  <si>
    <t>Enter the methane emissions in the stationary fuel combustion source category for product 3 in the compliance year.</t>
  </si>
  <si>
    <t>Enter the nitrous oxide emissions in the stationary fuel combustion source category for product 3 in the compliance year.</t>
  </si>
  <si>
    <t>Enter the carbon dioxide emissions in the industrial process source category for product 3 in the compliance year.</t>
  </si>
  <si>
    <t>Enter the methane emissions in the industrial process source category for product 3 in the compliance year.</t>
  </si>
  <si>
    <t>Enter the nitrous oxide emissions in the industrial process source category for product 3 in the compliance year.</t>
  </si>
  <si>
    <t>Enter the sulphur hexafluoride emissions in the industrial process source category for product 3 in the compliance year.</t>
  </si>
  <si>
    <t>Enter the perfluoromethane emissions in the industrial process source category for product 3 in the compliance year.</t>
  </si>
  <si>
    <t>Enter the perfluoroethane emissions in the industrial process source category for product 3 in the compliance year.</t>
  </si>
  <si>
    <t>Enter the perfluoropropane emissions in the industrial process source category for product 3 in the compliance year.</t>
  </si>
  <si>
    <t>Enter the perfluorobutane emissions in the industrial process source category for product 3 in the compliance year.</t>
  </si>
  <si>
    <t>Enter the perfluorocyclobutane emissions in the industrial process source category for product 3 in the compliance year.</t>
  </si>
  <si>
    <t>Enter the perfluoropentane emissions in the industrial process source category for product 3 in the compliance year.</t>
  </si>
  <si>
    <t>Enter the perfluorohexane emissions in the industrial process source category for product 3 in the compliance year.</t>
  </si>
  <si>
    <t>Enter the HFC-23 emissions in the industrial process source category for product 3 in the compliance year.</t>
  </si>
  <si>
    <t>Enter the HFC-32 emissions in the industrial process source category for product 3 in the compliance year.</t>
  </si>
  <si>
    <t>Enter the HFC-41 emissions in the industrial process source category for product 3 in the compliance year.</t>
  </si>
  <si>
    <t>Enter the HFC-43-10mee emissions in the industrial process source category for product 3 in the compliance year.</t>
  </si>
  <si>
    <t>Enter the HFC-125 emissions in the industrial process source category for product 3 in the compliance year.</t>
  </si>
  <si>
    <t>Enter the HFC-134 emissions in the industrial process source category for product 3 in the compliance year.</t>
  </si>
  <si>
    <t>Enter the HFC-134a emissions in the industrial process source category for product 3 in the compliance year.</t>
  </si>
  <si>
    <t>Enter the HFC-143 emissions in the industrial process source category for product 3 in the compliance year.</t>
  </si>
  <si>
    <t>Enter the HFC-143a emissions in the industrial process source category for product 3 in the compliance year.</t>
  </si>
  <si>
    <t>Enter the HFC-152a emissions in the industrial process source category for product 3 in the compliance year.</t>
  </si>
  <si>
    <t>Enter the HFC-227ea emissions in the industrial process source category for product 3 in the compliance year.</t>
  </si>
  <si>
    <t>Enter the HFC-236fa emissions in the industrial process source category for product 3 in the compliance year.</t>
  </si>
  <si>
    <t>Enter the HFC-245ca emissions in the industrial process source category for product 3 in the compliance year.</t>
  </si>
  <si>
    <t>Enter the sulphur hexafluoride emissions in the industrial product use source category for product 3 in the compliance year.</t>
  </si>
  <si>
    <t>Enter the perfluoromethane emissions in the industrial product use source category for product 3 in the compliance year.</t>
  </si>
  <si>
    <t>Enter the perfluoroethane emissions in the industrial product use source category for product 3 in the compliance year.</t>
  </si>
  <si>
    <t>Enter the perfluoropropane emissions in the industrial product use source category for product 3 in the compliance year.</t>
  </si>
  <si>
    <t>Enter the perfluorobutane emissions in the industrial product use source category for product 3 in the compliance year.</t>
  </si>
  <si>
    <t>Enter the perfluorocyclobutane emissions in the industrial product use source category for product 3 in the compliance year.</t>
  </si>
  <si>
    <t>Enter the perfluoropentane emissions in the industrial product use source category for product 3 in the compliance year.</t>
  </si>
  <si>
    <t>Enter the perfluorohexane emissions in the industrial product use source category for product 3 in the compliance year.</t>
  </si>
  <si>
    <t>Enter the HFC-23 emissions in the industrial product use source category for product 3 in the compliance year.</t>
  </si>
  <si>
    <t>Enter the HFC-32 emissions in the industrial product use source category for product 3 in the compliance year.</t>
  </si>
  <si>
    <t>Enter the HFC-41 emissions in the industrial product use source category for product 3 in the compliance year.</t>
  </si>
  <si>
    <t>Enter the HFC-43-10mee emissions in the industrial product use source category for product 3 in the compliance year.</t>
  </si>
  <si>
    <t>Enter the HFC-125 emissions in the industrial product use source category for product 3 in the compliance year.</t>
  </si>
  <si>
    <t>Enter the HFC-134 emissions in the industrial product use source category for product 3 in the compliance year.</t>
  </si>
  <si>
    <t>Enter the HFC-134a emissions in the industrial product use source category for product 3 in the compliance year.</t>
  </si>
  <si>
    <t>Enter the HFC-143 emissions in the industrial product use source category for product 3 in the compliance year.</t>
  </si>
  <si>
    <t>Enter the HFC-143a emissions in the industrial product use source category for product 3 in the compliance year.</t>
  </si>
  <si>
    <t>Enter the HFC-152a emissions in the industrial product use source category for product 3 in the compliance year.</t>
  </si>
  <si>
    <t>Enter the HFC-227ea emissions in the industrial product use source category for product 3 in the compliance year.</t>
  </si>
  <si>
    <t>Enter the HFC-236fa emissions in the industrial product use source category for product 3 in the compliance year.</t>
  </si>
  <si>
    <t>Enter the HFC-245ca emissions in the industrial product use source category for product 3 in the compliance year.</t>
  </si>
  <si>
    <t>Enter the carbon dioxide emissions in the venting source category for product 3 in the compliance year.</t>
  </si>
  <si>
    <t>Enter the methane emissions in the venting source category for product 3 in the compliance year.</t>
  </si>
  <si>
    <t>Enter the nitrous oxide emissions in the venting source category for product 3 in the compliance year.</t>
  </si>
  <si>
    <t>Enter the carbon dioxide emissions in the flaring source category for product 3 in the compliance year.</t>
  </si>
  <si>
    <t>Enter the methane emissions in the flaring source category for product 3 in the compliance year.</t>
  </si>
  <si>
    <t>Enter the nitrous oxide emissions in the flaring source category for product 3 in the compliance year.</t>
  </si>
  <si>
    <t>Enter the carbon dioxide emissions in the leakage source category for product 3 in the compliance year.</t>
  </si>
  <si>
    <t>Enter the methane emissions in the leakage source category for product 3 in the compliance year.</t>
  </si>
  <si>
    <t>Enter the nitrous oxide emissions in the leakage source category for product 3 in the compliance year.</t>
  </si>
  <si>
    <t>Enter the carbon dioxide emissions in the on-site transportation source category for product 3 in the compliance year.</t>
  </si>
  <si>
    <t>Enter the methane emissions in the on-site transportation source category for product 3 in the compliance year.</t>
  </si>
  <si>
    <t>Enter the nitrous oxide emissions in the on-site transportation source category for product 3 in the compliance year.</t>
  </si>
  <si>
    <t>Enter the carbon dioxide emissions in the waste source category for product 3 in the compliance year.</t>
  </si>
  <si>
    <t>Enter the methane emissions in the waste source category for product 3 in the compliance year.</t>
  </si>
  <si>
    <t>Enter the nitrous oxide emissions in the waste source category for product 3 in the compliance year.</t>
  </si>
  <si>
    <t>Enter the carbon dioxide emissions in the wastewater source category for product 3 in the compliance year.</t>
  </si>
  <si>
    <t>Enter the methane emissions in the wastewater source category for product 3 in the compliance year.</t>
  </si>
  <si>
    <t>Enter the nitrous oxide emissions in the wastewater source category for product 3 in the compliance year.</t>
  </si>
  <si>
    <t>Enter the amount of commercial product produced for product 4 in the compliance year.</t>
  </si>
  <si>
    <t>Enter the product units for product 4.</t>
  </si>
  <si>
    <t>Enter the carbon dioxide emissions in the stationary fuel combustion source category for product 4 in the compliance year.</t>
  </si>
  <si>
    <t>Enter the methane emissions in the stationary fuel combustion source category for product 4 in the compliance year.</t>
  </si>
  <si>
    <t>Enter the nitrous oxide emissions in the stationary fuel combustion source category for product 4 in the compliance year.</t>
  </si>
  <si>
    <t>Enter the carbon dioxide emissions in the industrial process source category for product 4 in the compliance year.</t>
  </si>
  <si>
    <t>Enter the methane emissions in the industrial process source category for product 4 in the compliance year.</t>
  </si>
  <si>
    <t>Enter the nitrous oxide emissions in the industrial process source category for product 4 in the compliance year.</t>
  </si>
  <si>
    <t>Enter the sulphur hexafluoride emissions in the industrial process source category for product 4 in the compliance year.</t>
  </si>
  <si>
    <t>Enter the perfluoromethane emissions in the industrial process source category for product 4 in the compliance year.</t>
  </si>
  <si>
    <t>Enter the perfluoroethane emissions in the industrial process source category for product 4 in the compliance year.</t>
  </si>
  <si>
    <t>Enter the perfluoropropane emissions in the industrial process source category for product 4 in the compliance year.</t>
  </si>
  <si>
    <t>Enter the perfluorobutane emissions in the industrial process source category for product 4 in the compliance year.</t>
  </si>
  <si>
    <t>Enter the perfluorocyclobutane emissions in the industrial process source category for product 4 in the compliance year.</t>
  </si>
  <si>
    <t>Enter the perfluoropentane emissions in the industrial process source category for product 4 in the compliance year.</t>
  </si>
  <si>
    <t>Enter the perfluorohexane emissions in the industrial process source category for product 4 in the compliance year.</t>
  </si>
  <si>
    <t>Enter the HFC-23 emissions in the industrial process source category for product 4 in the compliance year.</t>
  </si>
  <si>
    <t>Enter the HFC-32 emissions in the industrial process source category for product 4 in the compliance year.</t>
  </si>
  <si>
    <t>Enter the HFC-41 emissions in the industrial process source category for product 4 in the compliance year.</t>
  </si>
  <si>
    <t>Enter the HFC-43-10mee emissions in the industrial process source category for product 4 in the compliance year.</t>
  </si>
  <si>
    <t>Enter the HFC-125 emissions in the industrial process source category for product 4 in the compliance year.</t>
  </si>
  <si>
    <t>Enter the HFC-134 emissions in the industrial process source category for product 4 in the compliance year.</t>
  </si>
  <si>
    <t>Enter the HFC-134a emissions in the industrial process source category for product 4 in the compliance year.</t>
  </si>
  <si>
    <t>Enter the HFC-143 emissions in the industrial process source category for product 4 in the compliance year.</t>
  </si>
  <si>
    <t>Enter the HFC-143a emissions in the industrial process source category for product 4 in the compliance year.</t>
  </si>
  <si>
    <t>Enter the HFC-152a emissions in the industrial process source category for product 4 in the compliance year.</t>
  </si>
  <si>
    <t>Enter the HFC-227ea emissions in the industrial process source category for product 4 in the compliance year.</t>
  </si>
  <si>
    <t>Enter the HFC-236fa emissions in the industrial process source category for product 4 in the compliance year.</t>
  </si>
  <si>
    <t>Enter the HFC-245ca emissions in the industrial process source category for product 4 in the compliance year.</t>
  </si>
  <si>
    <t>Enter the sulphur hexafluoride emissions in the industrial product use source category for product 4 in the compliance year.</t>
  </si>
  <si>
    <t>Enter the perfluoromethane emissions in the industrial product use source category for product 4 in the compliance year.</t>
  </si>
  <si>
    <t>Enter the perfluoroethane emissions in the industrial product use source category for product 4 in the compliance year.</t>
  </si>
  <si>
    <t>Enter the perfluoropropane emissions in the industrial product use source category for product 4 in the compliance year.</t>
  </si>
  <si>
    <t>Enter the perfluorobutane emissions in the industrial product use source category for product 4 in the compliance year.</t>
  </si>
  <si>
    <t>Enter the perfluorocyclobutane emissions in the industrial product use source category for product 4 in the compliance year.</t>
  </si>
  <si>
    <t>Enter the perfluoropentane emissions in the industrial product use source category for product 4 in the compliance year.</t>
  </si>
  <si>
    <t>Enter the perfluorohexane emissions in the industrial product use source category for product 4 in the compliance year.</t>
  </si>
  <si>
    <t>Enter the HFC-23 emissions in the industrial product use source category for product 4 in the compliance year.</t>
  </si>
  <si>
    <t>Enter the HFC-32 emissions in the industrial product use source category for product 4 in the compliance year.</t>
  </si>
  <si>
    <t>Enter the HFC-41 emissions in the industrial product use source category for product 4 in the compliance year.</t>
  </si>
  <si>
    <t>Enter the HFC-43-10mee emissions in the industrial product use source category for product 4 in the compliance year.</t>
  </si>
  <si>
    <t>Enter the HFC-125 emissions in the industrial product use source category for product 4 in the compliance year.</t>
  </si>
  <si>
    <t>Enter the HFC-134 emissions in the industrial product use source category for product 4 in the compliance year.</t>
  </si>
  <si>
    <t>Enter the HFC-134a emissions in the industrial product use source category for product 4 in the compliance year.</t>
  </si>
  <si>
    <t>Enter the HFC-143 emissions in the industrial product use source category for product 4 in the compliance year.</t>
  </si>
  <si>
    <t>Enter the HFC-143a emissions in the industrial product use source category for product 4 in the compliance year.</t>
  </si>
  <si>
    <t>Enter the HFC-152a emissions in the industrial product use source category for product 4 in the compliance year.</t>
  </si>
  <si>
    <t>Enter the HFC-227ea emissions in the industrial product use source category for product 4 in the compliance year.</t>
  </si>
  <si>
    <t>Enter the HFC-236fa emissions in the industrial product use source category for product 4 in the compliance year.</t>
  </si>
  <si>
    <t>Enter the HFC-245ca emissions in the industrial product use source category for product 4 in the compliance year.</t>
  </si>
  <si>
    <t>Enter the carbon dioxide emissions in the venting source category for product 4 in the compliance year.</t>
  </si>
  <si>
    <t>Enter the methane emissions in the venting source category for product 4 in the compliance year.</t>
  </si>
  <si>
    <t>Enter the nitrous oxide emissions in the venting source category for product 4 in the compliance year.</t>
  </si>
  <si>
    <t>Enter the carbon dioxide emissions in the flaring source category for product 4 in the compliance year.</t>
  </si>
  <si>
    <t>Enter the methane emissions in the flaring source category for product 4 in the compliance year.</t>
  </si>
  <si>
    <t>Enter the nitrous oxide emissions in the flaring source category for product 4 in the compliance year.</t>
  </si>
  <si>
    <t>Enter the carbon dioxide emissions in the leakage source category for product 4 in the compliance year.</t>
  </si>
  <si>
    <t>Enter the methane emissions in the leakage source category for product 4 in the compliance year.</t>
  </si>
  <si>
    <t>Enter the nitrous oxide emissions in the leakage source category for product 4 in the compliance year.</t>
  </si>
  <si>
    <t>Enter the carbon dioxide emissions in the on-site transportation source category for product 4 in the compliance year.</t>
  </si>
  <si>
    <t>Enter the methane emissions in the on-site transportation source category for product 4 in the compliance year.</t>
  </si>
  <si>
    <t>Enter the nitrous oxide emissions in the on-site transportation source category for product 4 in the compliance year.</t>
  </si>
  <si>
    <t>Enter the carbon dioxide emissions in the waste source category for product 4 in the compliance year.</t>
  </si>
  <si>
    <t>Enter the methane emissions in the waste source category for product 4 in the compliance year.</t>
  </si>
  <si>
    <t>Enter the nitrous oxide emissions in the waste source category for product 4 in the compliance year.</t>
  </si>
  <si>
    <t>Enter the carbon dioxide emissions in the wastewater source category for product 4 in the compliance year.</t>
  </si>
  <si>
    <t>Enter the methane emissions in the wastewater source category for product 4 in the compliance year.</t>
  </si>
  <si>
    <t>Enter the nitrous oxide emissions in the wastewater source category for product 4 in the compliance year.</t>
  </si>
  <si>
    <t>Enter the amount of commercial product produced for product 5 in the compliance year.</t>
  </si>
  <si>
    <t>Enter the product units for product 5.</t>
  </si>
  <si>
    <t>Enter the carbon dioxide emissions in the stationary fuel combustion source category for product 5 in the compliance year.</t>
  </si>
  <si>
    <t>Enter the methane emissions in the stationary fuel combustion source category for product 5 in the compliance year.</t>
  </si>
  <si>
    <t>Enter the nitrous oxide emissions in the stationary fuel combustion source category for product 5 in the compliance year.</t>
  </si>
  <si>
    <t>Enter the carbon dioxide emissions in the industrial process source category for product 5 in the compliance year.</t>
  </si>
  <si>
    <t>Enter the methane emissions in the industrial process source category for product 5 in the compliance year.</t>
  </si>
  <si>
    <t>Enter the nitrous oxide emissions in the industrial process source category for product 5 in the compliance year.</t>
  </si>
  <si>
    <t>Enter the sulphur hexafluoride emissions in the industrial process source category for product 5 in the compliance year.</t>
  </si>
  <si>
    <t>Enter the perfluoromethane emissions in the industrial process source category for product 5 in the compliance year.</t>
  </si>
  <si>
    <t>Enter the perfluoroethane emissions in the industrial process source category for product 5 in the compliance year.</t>
  </si>
  <si>
    <t>Enter the perfluoropropane emissions in the industrial process source category for product 5 in the compliance year.</t>
  </si>
  <si>
    <t>Enter the perfluorobutane emissions in the industrial process source category for product 5 in the compliance year.</t>
  </si>
  <si>
    <t>Enter the perfluorocyclobutane emissions in the industrial process source category for product 5 in the compliance year.</t>
  </si>
  <si>
    <t>Enter the perfluoropentane emissions in the industrial process source category for product 5 in the compliance year.</t>
  </si>
  <si>
    <t>Enter the perfluorohexane emissions in the industrial process source category for product 5 in the compliance year.</t>
  </si>
  <si>
    <t>Enter the HFC-23 emissions in the industrial process source category for product 5 in the compliance year.</t>
  </si>
  <si>
    <t>Enter the HFC-32 emissions in the industrial process source category for product 5 in the compliance year.</t>
  </si>
  <si>
    <t>Enter the HFC-41 emissions in the industrial process source category for product 5 in the compliance year.</t>
  </si>
  <si>
    <t>Enter the HFC-43-10mee emissions in the industrial process source category for product 5 in the compliance year.</t>
  </si>
  <si>
    <t>Enter the HFC-125 emissions in the industrial process source category for product 5 in the compliance year.</t>
  </si>
  <si>
    <t>Enter the HFC-134 emissions in the industrial process source category for product 5 in the compliance year.</t>
  </si>
  <si>
    <t>Enter the HFC-134a emissions in the industrial process source category for product 5 in the compliance year.</t>
  </si>
  <si>
    <t>Enter the HFC-143 emissions in the industrial process source category for product 5 in the compliance year.</t>
  </si>
  <si>
    <t>Enter the HFC-143a emissions in the industrial process source category for product 5 in the compliance year.</t>
  </si>
  <si>
    <t>Enter the HFC-152a emissions in the industrial process source category for product 5 in the compliance year.</t>
  </si>
  <si>
    <t>Enter the HFC-227ea emissions in the industrial process source category for product 5 in the compliance year.</t>
  </si>
  <si>
    <t>Enter the HFC-236fa emissions in the industrial process source category for product 5 in the compliance year.</t>
  </si>
  <si>
    <t>Enter the HFC-245ca emissions in the industrial process source category for product 5 in the compliance year.</t>
  </si>
  <si>
    <t>Enter the sulphur hexafluoride emissions in the industrial product use source category for product 5 in the compliance year.</t>
  </si>
  <si>
    <t>Enter the perfluoromethane emissions in the industrial product use source category for product 5 in the compliance year.</t>
  </si>
  <si>
    <t>Enter the perfluoroethane emissions in the industrial product use source category for product 5 in the compliance year.</t>
  </si>
  <si>
    <t>Enter the perfluoropropane emissions in the industrial product use source category for product 5 in the compliance year.</t>
  </si>
  <si>
    <t>Enter the perfluorobutane emissions in the industrial product use source category for product 5 in the compliance year.</t>
  </si>
  <si>
    <t>Enter the perfluorocyclobutane emissions in the industrial product use source category for product 5 in the compliance year.</t>
  </si>
  <si>
    <t>Enter the perfluoropentane emissions in the industrial product use source category for product 5 in the compliance year.</t>
  </si>
  <si>
    <t>Enter the perfluorohexane emissions in the industrial product use source category for product 5 in the compliance year.</t>
  </si>
  <si>
    <t>Enter the HFC-23 emissions in the industrial product use source category for product 5 in the compliance year.</t>
  </si>
  <si>
    <t>Enter the HFC-32 emissions in the industrial product use source category for product 5 in the compliance year.</t>
  </si>
  <si>
    <t>Enter the HFC-41 emissions in the industrial product use source category for product 5 in the compliance year.</t>
  </si>
  <si>
    <t>Enter the HFC-43-10mee emissions in the industrial product use source category for product 5 in the compliance year.</t>
  </si>
  <si>
    <t>Enter the HFC-125 emissions in the industrial product use source category for product 5 in the compliance year.</t>
  </si>
  <si>
    <t>Enter the HFC-134 emissions in the industrial product use source category for product 5 in the compliance year.</t>
  </si>
  <si>
    <t>Enter the HFC-134a emissions in the industrial product use source category for product 5 in the compliance year.</t>
  </si>
  <si>
    <t>Enter the HFC-143 emissions in the industrial product use source category for product 5 in the compliance year.</t>
  </si>
  <si>
    <t>Enter the HFC-143a emissions in the industrial product use source category for product 5 in the compliance year.</t>
  </si>
  <si>
    <t>Enter the HFC-152a emissions in the industrial product use source category for product 5 in the compliance year.</t>
  </si>
  <si>
    <t>Enter the HFC-227ea emissions in the industrial product use source category for product 5 in the compliance year.</t>
  </si>
  <si>
    <t>Enter the HFC-236fa emissions in the industrial product use source category for product 5 in the compliance year.</t>
  </si>
  <si>
    <t>Enter the HFC-245ca emissions in the industrial product use source category for product 5 in the compliance year.</t>
  </si>
  <si>
    <t>Enter the carbon dioxide emissions in the venting source category for product 5 in the compliance year.</t>
  </si>
  <si>
    <t>Enter the methane emissions in the venting source category for product 5 in the compliance year.</t>
  </si>
  <si>
    <t>Enter the nitrous oxide emissions in the venting source category for product 5 in the compliance year.</t>
  </si>
  <si>
    <t>Enter the carbon dioxide emissions in the flaring source category for product 5 in the compliance year.</t>
  </si>
  <si>
    <t>Enter the methane emissions in the flaring source category for product 5 in the compliance year.</t>
  </si>
  <si>
    <t>Enter the nitrous oxide emissions in the flaring source category for product 5 in the compliance year.</t>
  </si>
  <si>
    <t>Enter the carbon dioxide emissions in the leakage source category for product 5 in the compliance year.</t>
  </si>
  <si>
    <t>Enter the methane emissions in the leakage source category for product 5 in the compliance year.</t>
  </si>
  <si>
    <t>Enter the nitrous oxide emissions in the leakage source category for product 5 in the compliance year.</t>
  </si>
  <si>
    <t>Enter the carbon dioxide emissions in the on-site transportation source category for product 5 in the compliance year.</t>
  </si>
  <si>
    <t>Enter the methane emissions in the on-site transportation source category for product 5 in the compliance year.</t>
  </si>
  <si>
    <t>Enter the nitrous oxide emissions in the on-site transportation source category for product 5 in the compliance year.</t>
  </si>
  <si>
    <t>Enter the carbon dioxide emissions in the waste source category for product 5 in the compliance year.</t>
  </si>
  <si>
    <t>Enter the methane emissions in the waste source category for product 5 in the compliance year.</t>
  </si>
  <si>
    <t>Enter the nitrous oxide emissions in the waste source category for product 5 in the compliance year.</t>
  </si>
  <si>
    <t>Enter the carbon dioxide emissions in the wastewater source category for product 5 in the compliance year.</t>
  </si>
  <si>
    <t>Enter the methane emissions in the wastewater source category for product 5 in the compliance year.</t>
  </si>
  <si>
    <t>Enter the nitrous oxide emissions in the wastewater source category for product 5 in the compliance year.</t>
  </si>
  <si>
    <t>Enter the number of units within the gas-to-power operation in the compliance year.</t>
  </si>
  <si>
    <t>Enter the energy in combusted associated gas on row 1 of the table.</t>
  </si>
  <si>
    <t>Enter the energy in combusted associated gas on row 2 of the table.</t>
  </si>
  <si>
    <t>Enter the energy in combusted associated gas on row 3 of the table.</t>
  </si>
  <si>
    <t>Enter the energy in combusted associated gas on row 4 of the table.</t>
  </si>
  <si>
    <t>Enter the energy in combusted associated gas on row 5 of the table.</t>
  </si>
  <si>
    <t>Enter the energy in combusted associated gas on row 6 of the table.</t>
  </si>
  <si>
    <t>Enter the energy in combusted associated gas on row 7 of the table.</t>
  </si>
  <si>
    <t>Enter the energy in combusted associated gas on row 8 of the table.</t>
  </si>
  <si>
    <t>Enter the energy in combusted associated gas on row 9 of the table.</t>
  </si>
  <si>
    <t>Enter the energy in combusted associated gas on row 10 of the table.</t>
  </si>
  <si>
    <t>Enter the energy in combusted associated gas on row 11 of the table.</t>
  </si>
  <si>
    <t>Enter the energy in combusted associated gas on row 12 of the table.</t>
  </si>
  <si>
    <t>Enter the energy in combusted associated gas on row 13 of the table.</t>
  </si>
  <si>
    <t>Enter the energy in combusted associated gas on row 14 of the table.</t>
  </si>
  <si>
    <t>Enter the energy in combusted associated gas on row 15 of the table.</t>
  </si>
  <si>
    <t>Enter the energy in combusted associated gas on row 16 of the table.</t>
  </si>
  <si>
    <t>Enter the energy in combusted associated gas on row 17 of the table.</t>
  </si>
  <si>
    <t>Enter the energy in combusted associated gas on row 18 of the table.</t>
  </si>
  <si>
    <t>Enter the energy in combusted associated gas on row 19 of the table.</t>
  </si>
  <si>
    <t>Enter the energy in combusted associated gas on row 20 of the table.</t>
  </si>
  <si>
    <t>Enter the energy in combusted associated gas on row 21 of the table.</t>
  </si>
  <si>
    <t>Enter the energy in combusted associated gas on row 22 of the table.</t>
  </si>
  <si>
    <t>Enter the energy in combusted associated gas on row 23 of the table.</t>
  </si>
  <si>
    <t>Enter the energy in combusted associated gas on row 24 of the table.</t>
  </si>
  <si>
    <t>Enter the energy in combusted associated gas on row 25 of the table.</t>
  </si>
  <si>
    <t>Enter the energy in combusted associated gas on row 26 of the table.</t>
  </si>
  <si>
    <t>Enter the energy in combusted associated gas on row 27 of the table.</t>
  </si>
  <si>
    <t>Enter the energy in combusted associated gas on row 28 of the table.</t>
  </si>
  <si>
    <t>Enter the energy in combusted associated gas on row 29 of the table.</t>
  </si>
  <si>
    <t>Enter the energy in combusted associated gas on row 30 of the table.</t>
  </si>
  <si>
    <t>Enter the energy in combusted associated gas on row 31 of the table.</t>
  </si>
  <si>
    <t>Enter the energy in combusted associated gas on row 32 of the table.</t>
  </si>
  <si>
    <t>Enter the energy in combusted associated gas on row 33 of the table.</t>
  </si>
  <si>
    <t>Enter the energy in combusted associated gas on row 34 of the table.</t>
  </si>
  <si>
    <t>Enter the energy in combusted associated gas on row 35 of the table.</t>
  </si>
  <si>
    <t>Enter the energy in combusted associated gas on row 36 of the table.</t>
  </si>
  <si>
    <t>Enter the energy in combusted associated gas on row 37 of the table.</t>
  </si>
  <si>
    <t>Enter the energy in combusted associated gas on row 38 of the table.</t>
  </si>
  <si>
    <t>Enter the energy in combusted associated gas on row 39 of the table.</t>
  </si>
  <si>
    <t>Enter the energy in combusted associated gas on row 40 of the table.</t>
  </si>
  <si>
    <t>Enter the energy in combusted associated gas on row 41 of the table.</t>
  </si>
  <si>
    <t>Enter the energy in combusted associated gas on row 42 of the table.</t>
  </si>
  <si>
    <t>Enter the energy in combusted associated gas on row 43 of the table.</t>
  </si>
  <si>
    <t>Enter the energy in combusted associated gas on row 44 of the table.</t>
  </si>
  <si>
    <t>Enter the energy in combusted associated gas on row 45 of the table.</t>
  </si>
  <si>
    <t>Enter the energy in combusted associated gas on row 46 of the table.</t>
  </si>
  <si>
    <t>Enter the energy in combusted associated gas on row 47 of the table.</t>
  </si>
  <si>
    <t>Enter the energy in combusted associated gas on row 48 of the table.</t>
  </si>
  <si>
    <t>Enter the energy in combusted associated gas on row 49 of the table.</t>
  </si>
  <si>
    <t>Enter the energy in combusted associated gas on row 50 of the table.</t>
  </si>
  <si>
    <t>Enter the total energy in all combusted fuel on row 1 of the table.</t>
  </si>
  <si>
    <t>Enter the total energy in all combusted fuel on row 2 of the table.</t>
  </si>
  <si>
    <t>Enter the total energy in all combusted fuel on row 3 of the table.</t>
  </si>
  <si>
    <t>Enter the total energy in all combusted fuel on row 4 of the table.</t>
  </si>
  <si>
    <t>Enter the total energy in all combusted fuel on row 5 of the table.</t>
  </si>
  <si>
    <t>Enter the total energy in all combusted fuel on row 6 of the table.</t>
  </si>
  <si>
    <t>Enter the total energy in all combusted fuel on row 7 of the table.</t>
  </si>
  <si>
    <t>Enter the total energy in all combusted fuel on row 8 of the table.</t>
  </si>
  <si>
    <t>Enter the total energy in all combusted fuel on row 9 of the table.</t>
  </si>
  <si>
    <t>Enter the total energy in all combusted fuel on row 10 of the table.</t>
  </si>
  <si>
    <t>Enter the total energy in all combusted fuel on row 11 of the table.</t>
  </si>
  <si>
    <t>Enter the total energy in all combusted fuel on row 12 of the table.</t>
  </si>
  <si>
    <t>Enter the total energy in all combusted fuel on row 13 of the table.</t>
  </si>
  <si>
    <t>Enter the total energy in all combusted fuel on row 14 of the table.</t>
  </si>
  <si>
    <t>Enter the total energy in all combusted fuel on row 15 of the table.</t>
  </si>
  <si>
    <t>Enter the total energy in all combusted fuel on row 16 of the table.</t>
  </si>
  <si>
    <t>Enter the total energy in all combusted fuel on row 17 of the table.</t>
  </si>
  <si>
    <t>Enter the total energy in all combusted fuel on row 18 of the table.</t>
  </si>
  <si>
    <t>Enter the total energy in all combusted fuel on row 19 of the table.</t>
  </si>
  <si>
    <t>Enter the total energy in all combusted fuel on row 20 of the table.</t>
  </si>
  <si>
    <t>Enter the total energy in all combusted fuel on row 21 of the table.</t>
  </si>
  <si>
    <t>Enter the total energy in all combusted fuel on row 22 of the table.</t>
  </si>
  <si>
    <t>Enter the total energy in all combusted fuel on row 23 of the table.</t>
  </si>
  <si>
    <t>Enter the total energy in all combusted fuel on row 24 of the table.</t>
  </si>
  <si>
    <t>Enter the total energy in all combusted fuel on row 25 of the table.</t>
  </si>
  <si>
    <t>Enter the total energy in all combusted fuel on row 26 of the table.</t>
  </si>
  <si>
    <t>Enter the total energy in all combusted fuel on row 27 of the table.</t>
  </si>
  <si>
    <t>Enter the total energy in all combusted fuel on row 28 of the table.</t>
  </si>
  <si>
    <t>Enter the total energy in all combusted fuel on row 29 of the table.</t>
  </si>
  <si>
    <t>Enter the total energy in all combusted fuel on row 30 of the table.</t>
  </si>
  <si>
    <t>Enter the total energy in all combusted fuel on row 31 of the table.</t>
  </si>
  <si>
    <t>Enter the total energy in all combusted fuel on row 32 of the table.</t>
  </si>
  <si>
    <t>Enter the total energy in all combusted fuel on row 33 of the table.</t>
  </si>
  <si>
    <t>Enter the total energy in all combusted fuel on row 34 of the table.</t>
  </si>
  <si>
    <t>Enter the total energy in all combusted fuel on row 35 of the table.</t>
  </si>
  <si>
    <t>Enter the total energy in all combusted fuel on row 36 of the table.</t>
  </si>
  <si>
    <t>Enter the total energy in all combusted fuel on row 37 of the table.</t>
  </si>
  <si>
    <t>Enter the total energy in all combusted fuel on row 38 of the table.</t>
  </si>
  <si>
    <t>Enter the total energy in all combusted fuel on row 39 of the table.</t>
  </si>
  <si>
    <t>Enter the total energy in all combusted fuel on row 40 of the table.</t>
  </si>
  <si>
    <t>Enter the total energy in all combusted fuel on row 41 of the table.</t>
  </si>
  <si>
    <t>Enter the total energy in all combusted fuel on row 42 of the table.</t>
  </si>
  <si>
    <t>Enter the total energy in all combusted fuel on row 43 of the table.</t>
  </si>
  <si>
    <t>Enter the total energy in all combusted fuel on row 44 of the table.</t>
  </si>
  <si>
    <t>Enter the total energy in all combusted fuel on row 45 of the table.</t>
  </si>
  <si>
    <t>Enter the total energy in all combusted fuel on row 46 of the table.</t>
  </si>
  <si>
    <t>Enter the total energy in all combusted fuel on row 47 of the table.</t>
  </si>
  <si>
    <t>Enter the total energy in all combusted fuel on row 48 of the table.</t>
  </si>
  <si>
    <t>Enter the total energy in all combusted fuel on row 49 of the table.</t>
  </si>
  <si>
    <t>Enter the total energy in all combusted fuel on row 50 of the table.</t>
  </si>
  <si>
    <t>Enter the total electricity generation from all combusted fuel on row 1 of the table.</t>
  </si>
  <si>
    <t>Enter the total electricity generation from all combusted fuel on row 2 of the table.</t>
  </si>
  <si>
    <t>Enter the total electricity generation from all combusted fuel on row 3 of the table.</t>
  </si>
  <si>
    <t>Enter the total electricity generation from all combusted fuel on row 4 of the table.</t>
  </si>
  <si>
    <t>Enter the total electricity generation from all combusted fuel on row 5 of the table.</t>
  </si>
  <si>
    <t>Enter the total electricity generation from all combusted fuel on row 6 of the table.</t>
  </si>
  <si>
    <t>Enter the total electricity generation from all combusted fuel on row 7 of the table.</t>
  </si>
  <si>
    <t>Enter the total electricity generation from all combusted fuel on row 8 of the table.</t>
  </si>
  <si>
    <t>Enter the total electricity generation from all combusted fuel on row 9 of the table.</t>
  </si>
  <si>
    <t>Enter the total electricity generation from all combusted fuel on row 10 of the table.</t>
  </si>
  <si>
    <t>Enter the total electricity generation from all combusted fuel on row 11 of the table.</t>
  </si>
  <si>
    <t>Enter the total electricity generation from all combusted fuel on row 12 of the table.</t>
  </si>
  <si>
    <t>Enter the total electricity generation from all combusted fuel on row 13 of the table.</t>
  </si>
  <si>
    <t>Enter the total electricity generation from all combusted fuel on row 14 of the table.</t>
  </si>
  <si>
    <t>Enter the total electricity generation from all combusted fuel on row 15 of the table.</t>
  </si>
  <si>
    <t>Enter the total electricity generation from all combusted fuel on row 16 of the table.</t>
  </si>
  <si>
    <t>Enter the total electricity generation from all combusted fuel on row 17 of the table.</t>
  </si>
  <si>
    <t>Enter the total electricity generation from all combusted fuel on row 18 of the table.</t>
  </si>
  <si>
    <t>Enter the total electricity generation from all combusted fuel on row 19 of the table.</t>
  </si>
  <si>
    <t>Enter the total electricity generation from all combusted fuel on row 20 of the table.</t>
  </si>
  <si>
    <t>Enter the total electricity generation from all combusted fuel on row 21 of the table.</t>
  </si>
  <si>
    <t>Enter the total electricity generation from all combusted fuel on row 22 of the table.</t>
  </si>
  <si>
    <t>Enter the total electricity generation from all combusted fuel on row 23 of the table.</t>
  </si>
  <si>
    <t>Enter the total electricity generation from all combusted fuel on row 24 of the table.</t>
  </si>
  <si>
    <t>Enter the total electricity generation from all combusted fuel on row 25 of the table.</t>
  </si>
  <si>
    <t>Enter the total electricity generation from all combusted fuel on row 26 of the table.</t>
  </si>
  <si>
    <t>Enter the total electricity generation from all combusted fuel on row 27 of the table.</t>
  </si>
  <si>
    <t>Enter the total electricity generation from all combusted fuel on row 28 of the table.</t>
  </si>
  <si>
    <t>Enter the total electricity generation from all combusted fuel on row 29 of the table.</t>
  </si>
  <si>
    <t>Enter the total electricity generation from all combusted fuel on row 30 of the table.</t>
  </si>
  <si>
    <t>Enter the total electricity generation from all combusted fuel on row 31 of the table.</t>
  </si>
  <si>
    <t>Enter the total electricity generation from all combusted fuel on row 32 of the table.</t>
  </si>
  <si>
    <t>Enter the total electricity generation from all combusted fuel on row 33 of the table.</t>
  </si>
  <si>
    <t>Enter the total electricity generation from all combusted fuel on row 34 of the table.</t>
  </si>
  <si>
    <t>Enter the total electricity generation from all combusted fuel on row 35 of the table.</t>
  </si>
  <si>
    <t>Enter the total electricity generation from all combusted fuel on row 36 of the table.</t>
  </si>
  <si>
    <t>Enter the total electricity generation from all combusted fuel on row 37 of the table.</t>
  </si>
  <si>
    <t>Enter the total electricity generation from all combusted fuel on row 38 of the table.</t>
  </si>
  <si>
    <t>Enter the total electricity generation from all combusted fuel on row 39 of the table.</t>
  </si>
  <si>
    <t>Enter the total electricity generation from all combusted fuel on row 40 of the table.</t>
  </si>
  <si>
    <t>Enter the total electricity generation from all combusted fuel on row 41 of the table.</t>
  </si>
  <si>
    <t>Enter the total electricity generation from all combusted fuel on row 42 of the table.</t>
  </si>
  <si>
    <t>Enter the total electricity generation from all combusted fuel on row 43 of the table.</t>
  </si>
  <si>
    <t>Enter the total electricity generation from all combusted fuel on row 44 of the table.</t>
  </si>
  <si>
    <t>Enter the total electricity generation from all combusted fuel on row 45 of the table.</t>
  </si>
  <si>
    <t>Enter the total electricity generation from all combusted fuel on row 46 of the table.</t>
  </si>
  <si>
    <t>Enter the total electricity generation from all combusted fuel on row 47 of the table.</t>
  </si>
  <si>
    <t>Enter the total electricity generation from all combusted fuel on row 48 of the table.</t>
  </si>
  <si>
    <t>Enter the total electricity generation from all combusted fuel on row 49 of the table.</t>
  </si>
  <si>
    <t>Enter the total electricity generation from all combusted fuel on row 50 of the table.</t>
  </si>
  <si>
    <t>Enter the carbon dioxide emissions from associated gas on row 1 of the table.</t>
  </si>
  <si>
    <t>Enter the carbon dioxide emissions from associated gas on row 2 of the table.</t>
  </si>
  <si>
    <t>Enter the carbon dioxide emissions from associated gas on row 3 of the table.</t>
  </si>
  <si>
    <t>Enter the carbon dioxide emissions from associated gas on row 4 of the table.</t>
  </si>
  <si>
    <t>Enter the carbon dioxide emissions from associated gas on row 5 of the table.</t>
  </si>
  <si>
    <t>Enter the carbon dioxide emissions from associated gas on row 6 of the table.</t>
  </si>
  <si>
    <t>Enter the carbon dioxide emissions from associated gas on row 7 of the table.</t>
  </si>
  <si>
    <t>Enter the carbon dioxide emissions from associated gas on row 8 of the table.</t>
  </si>
  <si>
    <t>Enter the carbon dioxide emissions from associated gas on row 9 of the table.</t>
  </si>
  <si>
    <t>Enter the carbon dioxide emissions from associated gas on row 10 of the table.</t>
  </si>
  <si>
    <t>Enter the carbon dioxide emissions from associated gas on row 11 of the table.</t>
  </si>
  <si>
    <t>Enter the carbon dioxide emissions from associated gas on row 12 of the table.</t>
  </si>
  <si>
    <t>Enter the carbon dioxide emissions from associated gas on row 13 of the table.</t>
  </si>
  <si>
    <t>Enter the carbon dioxide emissions from associated gas on row 14 of the table.</t>
  </si>
  <si>
    <t>Enter the carbon dioxide emissions from associated gas on row 15 of the table.</t>
  </si>
  <si>
    <t>Enter the carbon dioxide emissions from associated gas on row 16 of the table.</t>
  </si>
  <si>
    <t>Enter the carbon dioxide emissions from associated gas on row 17 of the table.</t>
  </si>
  <si>
    <t>Enter the carbon dioxide emissions from associated gas on row 18 of the table.</t>
  </si>
  <si>
    <t>Enter the carbon dioxide emissions from associated gas on row 19 of the table.</t>
  </si>
  <si>
    <t>Enter the carbon dioxide emissions from associated gas on row 20 of the table.</t>
  </si>
  <si>
    <t>Enter the carbon dioxide emissions from associated gas on row 21 of the table.</t>
  </si>
  <si>
    <t>Enter the carbon dioxide emissions from associated gas on row 22 of the table.</t>
  </si>
  <si>
    <t>Enter the carbon dioxide emissions from associated gas on row 23 of the table.</t>
  </si>
  <si>
    <t>Enter the carbon dioxide emissions from associated gas on row 24 of the table.</t>
  </si>
  <si>
    <t>Enter the carbon dioxide emissions from associated gas on row 25 of the table.</t>
  </si>
  <si>
    <t>Enter the carbon dioxide emissions from associated gas on row 26 of the table.</t>
  </si>
  <si>
    <t>Enter the carbon dioxide emissions from associated gas on row 27 of the table.</t>
  </si>
  <si>
    <t>Enter the carbon dioxide emissions from associated gas on row 28 of the table.</t>
  </si>
  <si>
    <t>Enter the carbon dioxide emissions from associated gas on row 29 of the table.</t>
  </si>
  <si>
    <t>Enter the carbon dioxide emissions from associated gas on row 30 of the table.</t>
  </si>
  <si>
    <t>Enter the carbon dioxide emissions from associated gas on row 31 of the table.</t>
  </si>
  <si>
    <t>Enter the carbon dioxide emissions from associated gas on row 32 of the table.</t>
  </si>
  <si>
    <t>Enter the carbon dioxide emissions from associated gas on row 33 of the table.</t>
  </si>
  <si>
    <t>Enter the carbon dioxide emissions from associated gas on row 34 of the table.</t>
  </si>
  <si>
    <t>Enter the carbon dioxide emissions from associated gas on row 35 of the table.</t>
  </si>
  <si>
    <t>Enter the carbon dioxide emissions from associated gas on row 36 of the table.</t>
  </si>
  <si>
    <t>Enter the carbon dioxide emissions from associated gas on row 37 of the table.</t>
  </si>
  <si>
    <t>Enter the carbon dioxide emissions from associated gas on row 38 of the table.</t>
  </si>
  <si>
    <t>Enter the carbon dioxide emissions from associated gas on row 39 of the table.</t>
  </si>
  <si>
    <t>Enter the carbon dioxide emissions from associated gas on row 40 of the table.</t>
  </si>
  <si>
    <t>Enter the carbon dioxide emissions from associated gas on row 41 of the table.</t>
  </si>
  <si>
    <t>Enter the carbon dioxide emissions from associated gas on row 42 of the table.</t>
  </si>
  <si>
    <t>Enter the carbon dioxide emissions from associated gas on row 43 of the table.</t>
  </si>
  <si>
    <t>Enter the carbon dioxide emissions from associated gas on row 44 of the table.</t>
  </si>
  <si>
    <t>Enter the carbon dioxide emissions from associated gas on row 45 of the table.</t>
  </si>
  <si>
    <t>Enter the carbon dioxide emissions from associated gas on row 46 of the table.</t>
  </si>
  <si>
    <t>Enter the carbon dioxide emissions from associated gas on row 47 of the table.</t>
  </si>
  <si>
    <t>Enter the carbon dioxide emissions from associated gas on row 48 of the table.</t>
  </si>
  <si>
    <t>Enter the carbon dioxide emissions from associated gas on row 49 of the table.</t>
  </si>
  <si>
    <t>Enter the carbon dioxide emissions from associated gas on row 50 of the table.</t>
  </si>
  <si>
    <t>Enter the methane emissions from associated gas on row 1 of the table.</t>
  </si>
  <si>
    <t>Enter the methane emissions from associated gas on row 2 of the table.</t>
  </si>
  <si>
    <t>Enter the methane emissions from associated gas on row 3 of the table.</t>
  </si>
  <si>
    <t>Enter the methane emissions from associated gas on row 4 of the table.</t>
  </si>
  <si>
    <t>Enter the methane emissions from associated gas on row 5 of the table.</t>
  </si>
  <si>
    <t>Enter the methane emissions from associated gas on row 6 of the table.</t>
  </si>
  <si>
    <t>Enter the methane emissions from associated gas on row 7 of the table.</t>
  </si>
  <si>
    <t>Enter the methane emissions from associated gas on row 8 of the table.</t>
  </si>
  <si>
    <t>Enter the methane emissions from associated gas on row 9 of the table.</t>
  </si>
  <si>
    <t>Enter the methane emissions from associated gas on row 10 of the table.</t>
  </si>
  <si>
    <t>Enter the methane emissions from associated gas on row 11 of the table.</t>
  </si>
  <si>
    <t>Enter the methane emissions from associated gas on row 12 of the table.</t>
  </si>
  <si>
    <t>Enter the methane emissions from associated gas on row 13 of the table.</t>
  </si>
  <si>
    <t>Enter the methane emissions from associated gas on row 14 of the table.</t>
  </si>
  <si>
    <t>Enter the methane emissions from associated gas on row 15 of the table.</t>
  </si>
  <si>
    <t>Enter the methane emissions from associated gas on row 16 of the table.</t>
  </si>
  <si>
    <t>Enter the methane emissions from associated gas on row 17 of the table.</t>
  </si>
  <si>
    <t>Enter the methane emissions from associated gas on row 18 of the table.</t>
  </si>
  <si>
    <t>Enter the methane emissions from associated gas on row 19 of the table.</t>
  </si>
  <si>
    <t>Enter the methane emissions from associated gas on row 20 of the table.</t>
  </si>
  <si>
    <t>Enter the methane emissions from associated gas on row 21 of the table.</t>
  </si>
  <si>
    <t>Enter the methane emissions from associated gas on row 22 of the table.</t>
  </si>
  <si>
    <t>Enter the methane emissions from associated gas on row 23 of the table.</t>
  </si>
  <si>
    <t>Enter the methane emissions from associated gas on row 24 of the table.</t>
  </si>
  <si>
    <t>Enter the methane emissions from associated gas on row 25 of the table.</t>
  </si>
  <si>
    <t>Enter the methane emissions from associated gas on row 26 of the table.</t>
  </si>
  <si>
    <t>Enter the methane emissions from associated gas on row 27 of the table.</t>
  </si>
  <si>
    <t>Enter the methane emissions from associated gas on row 28 of the table.</t>
  </si>
  <si>
    <t>Enter the methane emissions from associated gas on row 29 of the table.</t>
  </si>
  <si>
    <t>Enter the methane emissions from associated gas on row 30 of the table.</t>
  </si>
  <si>
    <t>Enter the methane emissions from associated gas on row 31 of the table.</t>
  </si>
  <si>
    <t>Enter the methane emissions from associated gas on row 32 of the table.</t>
  </si>
  <si>
    <t>Enter the methane emissions from associated gas on row 33 of the table.</t>
  </si>
  <si>
    <t>Enter the methane emissions from associated gas on row 34 of the table.</t>
  </si>
  <si>
    <t>Enter the methane emissions from associated gas on row 35 of the table.</t>
  </si>
  <si>
    <t>Enter the methane emissions from associated gas on row 36 of the table.</t>
  </si>
  <si>
    <t>Enter the methane emissions from associated gas on row 37 of the table.</t>
  </si>
  <si>
    <t>Enter the methane emissions from associated gas on row 38 of the table.</t>
  </si>
  <si>
    <t>Enter the methane emissions from associated gas on row 39 of the table.</t>
  </si>
  <si>
    <t>Enter the methane emissions from associated gas on row 40 of the table.</t>
  </si>
  <si>
    <t>Enter the methane emissions from associated gas on row 41 of the table.</t>
  </si>
  <si>
    <t>Enter the methane emissions from associated gas on row 42 of the table.</t>
  </si>
  <si>
    <t>Enter the methane emissions from associated gas on row 43 of the table.</t>
  </si>
  <si>
    <t>Enter the methane emissions from associated gas on row 44 of the table.</t>
  </si>
  <si>
    <t>Enter the methane emissions from associated gas on row 45 of the table.</t>
  </si>
  <si>
    <t>Enter the methane emissions from associated gas on row 46 of the table.</t>
  </si>
  <si>
    <t>Enter the methane emissions from associated gas on row 47 of the table.</t>
  </si>
  <si>
    <t>Enter the methane emissions from associated gas on row 48 of the table.</t>
  </si>
  <si>
    <t>Enter the methane emissions from associated gas on row 49 of the table.</t>
  </si>
  <si>
    <t>Enter the methane emissions from associated gas on row 50 of the table.</t>
  </si>
  <si>
    <t>Enter the nitrous oxide emissions from associated gas on row 1 of the table.</t>
  </si>
  <si>
    <t>Enter the nitrous oxide emissions from associated gas on row 2 of the table.</t>
  </si>
  <si>
    <t>Enter the nitrous oxide emissions from associated gas on row 3 of the table.</t>
  </si>
  <si>
    <t>Enter the nitrous oxide emissions from associated gas on row 4 of the table.</t>
  </si>
  <si>
    <t>Enter the nitrous oxide emissions from associated gas on row 5 of the table.</t>
  </si>
  <si>
    <t>Enter the nitrous oxide emissions from associated gas on row 6 of the table.</t>
  </si>
  <si>
    <t>Enter the nitrous oxide emissions from associated gas on row 7 of the table.</t>
  </si>
  <si>
    <t>Enter the nitrous oxide emissions from associated gas on row 8 of the table.</t>
  </si>
  <si>
    <t>Enter the nitrous oxide emissions from associated gas on row 9 of the table.</t>
  </si>
  <si>
    <t>Enter the nitrous oxide emissions from associated gas on row 10 of the table.</t>
  </si>
  <si>
    <t>Enter the nitrous oxide emissions from associated gas on row 11 of the table.</t>
  </si>
  <si>
    <t>Enter the nitrous oxide emissions from associated gas on row 12 of the table.</t>
  </si>
  <si>
    <t>Enter the nitrous oxide emissions from associated gas on row 13 of the table.</t>
  </si>
  <si>
    <t>Enter the nitrous oxide emissions from associated gas on row 14 of the table.</t>
  </si>
  <si>
    <t>Enter the nitrous oxide emissions from associated gas on row 15 of the table.</t>
  </si>
  <si>
    <t>Enter the nitrous oxide emissions from associated gas on row 16 of the table.</t>
  </si>
  <si>
    <t>Enter the nitrous oxide emissions from associated gas on row 17 of the table.</t>
  </si>
  <si>
    <t>Enter the nitrous oxide emissions from associated gas on row 18 of the table.</t>
  </si>
  <si>
    <t>Enter the nitrous oxide emissions from associated gas on row 19 of the table.</t>
  </si>
  <si>
    <t>Enter the nitrous oxide emissions from associated gas on row 20 of the table.</t>
  </si>
  <si>
    <t>Enter the nitrous oxide emissions from associated gas on row 21 of the table.</t>
  </si>
  <si>
    <t>Enter the nitrous oxide emissions from associated gas on row 22 of the table.</t>
  </si>
  <si>
    <t>Enter the nitrous oxide emissions from associated gas on row 23 of the table.</t>
  </si>
  <si>
    <t>Enter the nitrous oxide emissions from associated gas on row 24 of the table.</t>
  </si>
  <si>
    <t>Enter the nitrous oxide emissions from associated gas on row 25 of the table.</t>
  </si>
  <si>
    <t>Enter the nitrous oxide emissions from associated gas on row 26 of the table.</t>
  </si>
  <si>
    <t>Enter the nitrous oxide emissions from associated gas on row 27 of the table.</t>
  </si>
  <si>
    <t>Enter the nitrous oxide emissions from associated gas on row 28 of the table.</t>
  </si>
  <si>
    <t>Enter the nitrous oxide emissions from associated gas on row 29 of the table.</t>
  </si>
  <si>
    <t>Enter the nitrous oxide emissions from associated gas on row 30 of the table.</t>
  </si>
  <si>
    <t>Enter the nitrous oxide emissions from associated gas on row 31 of the table.</t>
  </si>
  <si>
    <t>Enter the nitrous oxide emissions from associated gas on row 32 of the table.</t>
  </si>
  <si>
    <t>Enter the nitrous oxide emissions from associated gas on row 33 of the table.</t>
  </si>
  <si>
    <t>Enter the nitrous oxide emissions from associated gas on row 34 of the table.</t>
  </si>
  <si>
    <t>Enter the nitrous oxide emissions from associated gas on row 35 of the table.</t>
  </si>
  <si>
    <t>Enter the nitrous oxide emissions from associated gas on row 36 of the table.</t>
  </si>
  <si>
    <t>Enter the nitrous oxide emissions from associated gas on row 37 of the table.</t>
  </si>
  <si>
    <t>Enter the nitrous oxide emissions from associated gas on row 38 of the table.</t>
  </si>
  <si>
    <t>Enter the nitrous oxide emissions from associated gas on row 39 of the table.</t>
  </si>
  <si>
    <t>Enter the nitrous oxide emissions from associated gas on row 40 of the table.</t>
  </si>
  <si>
    <t>Enter the nitrous oxide emissions from associated gas on row 41 of the table.</t>
  </si>
  <si>
    <t>Enter the nitrous oxide emissions from associated gas on row 42 of the table.</t>
  </si>
  <si>
    <t>Enter the nitrous oxide emissions from associated gas on row 43 of the table.</t>
  </si>
  <si>
    <t>Enter the nitrous oxide emissions from associated gas on row 44 of the table.</t>
  </si>
  <si>
    <t>Enter the nitrous oxide emissions from associated gas on row 45 of the table.</t>
  </si>
  <si>
    <t>Enter the nitrous oxide emissions from associated gas on row 46 of the table.</t>
  </si>
  <si>
    <t>Enter the nitrous oxide emissions from associated gas on row 47 of the table.</t>
  </si>
  <si>
    <t>Enter the nitrous oxide emissions from associated gas on row 48 of the table.</t>
  </si>
  <si>
    <t>Enter the nitrous oxide emissions from associated gas on row 49 of the table.</t>
  </si>
  <si>
    <t>Enter the nitrous oxide emissions from associated gas on row 50 of the table.</t>
  </si>
  <si>
    <t>Enter the number of metres drilled in the compliance year.</t>
  </si>
  <si>
    <t>Enter the name of the authorized signing officer.</t>
  </si>
  <si>
    <t>Enter the date of signature.</t>
  </si>
  <si>
    <t>Enter the carbon dioxide emissions in the stationary fuel combustion source category from drilling in the compliance year.</t>
  </si>
  <si>
    <t>Enter the methane emissions in the stationary fuel combustion source category from drilling in the compliance year.</t>
  </si>
  <si>
    <t>Enter the nitrous oxide emissions in the stationary fuel combustion source category from drilling in the compliance year.</t>
  </si>
  <si>
    <t>S.Developer.LastEntry</t>
  </si>
  <si>
    <t>S.Drilling.PC1</t>
  </si>
  <si>
    <r>
      <t xml:space="preserve">Any electricity emissions produced during the compliance year of the barrel of oil equivalent (BOE) product that are not subject to </t>
    </r>
    <r>
      <rPr>
        <i/>
        <sz val="11"/>
        <color rgb="FF000000"/>
        <rFont val="Aptos Narrow"/>
        <family val="2"/>
      </rPr>
      <t>The Electricity Facility Standard,</t>
    </r>
    <r>
      <rPr>
        <sz val="11"/>
        <color rgb="FF000000"/>
        <rFont val="Aptos Narrow"/>
        <family val="2"/>
      </rPr>
      <t xml:space="preserve"> and not resulting from the combustion of associated gas in a gas-to-power operation, must be reported on the Electricity Data tab and excluded from the Production Data tab.</t>
    </r>
  </si>
  <si>
    <r>
      <t>tonnes CO</t>
    </r>
    <r>
      <rPr>
        <vertAlign val="subscript"/>
        <sz val="11"/>
        <color rgb="FF000000"/>
        <rFont val="Aptos Narrow"/>
        <family val="2"/>
      </rPr>
      <t>2</t>
    </r>
  </si>
  <si>
    <r>
      <t>tonnes CH</t>
    </r>
    <r>
      <rPr>
        <vertAlign val="subscript"/>
        <sz val="11"/>
        <color rgb="FF000000"/>
        <rFont val="Aptos Narrow"/>
        <family val="2"/>
      </rPr>
      <t>4</t>
    </r>
  </si>
  <si>
    <r>
      <t>tonnes N</t>
    </r>
    <r>
      <rPr>
        <vertAlign val="subscript"/>
        <sz val="11"/>
        <color rgb="FF000000"/>
        <rFont val="Aptos Narrow"/>
        <family val="2"/>
      </rPr>
      <t>2</t>
    </r>
    <r>
      <rPr>
        <sz val="11"/>
        <color rgb="FF000000"/>
        <rFont val="Aptos Narrow"/>
        <family val="2"/>
      </rPr>
      <t>O</t>
    </r>
  </si>
  <si>
    <r>
      <t>tonnes SF</t>
    </r>
    <r>
      <rPr>
        <vertAlign val="subscript"/>
        <sz val="11"/>
        <color rgb="FF000000"/>
        <rFont val="Aptos Narrow"/>
        <family val="2"/>
      </rPr>
      <t>6</t>
    </r>
  </si>
  <si>
    <r>
      <t>tonnes CF</t>
    </r>
    <r>
      <rPr>
        <vertAlign val="subscript"/>
        <sz val="11"/>
        <color rgb="FF000000"/>
        <rFont val="Aptos Narrow"/>
        <family val="2"/>
      </rPr>
      <t>4</t>
    </r>
  </si>
  <si>
    <r>
      <t>tonnes C</t>
    </r>
    <r>
      <rPr>
        <vertAlign val="subscript"/>
        <sz val="11"/>
        <color rgb="FF000000"/>
        <rFont val="Aptos Narrow"/>
        <family val="2"/>
      </rPr>
      <t>2</t>
    </r>
    <r>
      <rPr>
        <sz val="11"/>
        <color rgb="FF000000"/>
        <rFont val="Aptos Narrow"/>
        <family val="2"/>
      </rPr>
      <t>F</t>
    </r>
    <r>
      <rPr>
        <vertAlign val="subscript"/>
        <sz val="11"/>
        <color rgb="FF000000"/>
        <rFont val="Aptos Narrow"/>
        <family val="2"/>
      </rPr>
      <t>6</t>
    </r>
  </si>
  <si>
    <r>
      <t>tonnes C</t>
    </r>
    <r>
      <rPr>
        <vertAlign val="subscript"/>
        <sz val="11"/>
        <color rgb="FF000000"/>
        <rFont val="Aptos Narrow"/>
        <family val="2"/>
      </rPr>
      <t>3</t>
    </r>
    <r>
      <rPr>
        <sz val="11"/>
        <color rgb="FF000000"/>
        <rFont val="Aptos Narrow"/>
        <family val="2"/>
      </rPr>
      <t>F</t>
    </r>
    <r>
      <rPr>
        <vertAlign val="subscript"/>
        <sz val="11"/>
        <color rgb="FF000000"/>
        <rFont val="Aptos Narrow"/>
        <family val="2"/>
      </rPr>
      <t>8</t>
    </r>
  </si>
  <si>
    <r>
      <t>tonnes C</t>
    </r>
    <r>
      <rPr>
        <vertAlign val="subscript"/>
        <sz val="11"/>
        <color rgb="FF000000"/>
        <rFont val="Aptos Narrow"/>
        <family val="2"/>
      </rPr>
      <t>4</t>
    </r>
    <r>
      <rPr>
        <sz val="11"/>
        <color rgb="FF000000"/>
        <rFont val="Aptos Narrow"/>
        <family val="2"/>
      </rPr>
      <t>F</t>
    </r>
    <r>
      <rPr>
        <vertAlign val="subscript"/>
        <sz val="11"/>
        <color rgb="FF000000"/>
        <rFont val="Aptos Narrow"/>
        <family val="2"/>
      </rPr>
      <t>10</t>
    </r>
  </si>
  <si>
    <r>
      <t>tonnes c-C</t>
    </r>
    <r>
      <rPr>
        <vertAlign val="subscript"/>
        <sz val="11"/>
        <color rgb="FF000000"/>
        <rFont val="Aptos Narrow"/>
        <family val="2"/>
      </rPr>
      <t>4</t>
    </r>
    <r>
      <rPr>
        <sz val="11"/>
        <color rgb="FF000000"/>
        <rFont val="Aptos Narrow"/>
        <family val="2"/>
      </rPr>
      <t>F</t>
    </r>
    <r>
      <rPr>
        <vertAlign val="subscript"/>
        <sz val="11"/>
        <color rgb="FF000000"/>
        <rFont val="Aptos Narrow"/>
        <family val="2"/>
      </rPr>
      <t>8</t>
    </r>
  </si>
  <si>
    <r>
      <t>tonnes C</t>
    </r>
    <r>
      <rPr>
        <vertAlign val="subscript"/>
        <sz val="11"/>
        <color rgb="FF000000"/>
        <rFont val="Aptos Narrow"/>
        <family val="2"/>
      </rPr>
      <t>5</t>
    </r>
    <r>
      <rPr>
        <sz val="11"/>
        <color rgb="FF000000"/>
        <rFont val="Aptos Narrow"/>
        <family val="2"/>
      </rPr>
      <t>F</t>
    </r>
    <r>
      <rPr>
        <vertAlign val="subscript"/>
        <sz val="11"/>
        <color rgb="FF000000"/>
        <rFont val="Aptos Narrow"/>
        <family val="2"/>
      </rPr>
      <t>12</t>
    </r>
  </si>
  <si>
    <r>
      <t>tonnes C</t>
    </r>
    <r>
      <rPr>
        <vertAlign val="subscript"/>
        <sz val="11"/>
        <color rgb="FF000000"/>
        <rFont val="Aptos Narrow"/>
        <family val="2"/>
      </rPr>
      <t>6</t>
    </r>
    <r>
      <rPr>
        <sz val="11"/>
        <color rgb="FF000000"/>
        <rFont val="Aptos Narrow"/>
        <family val="2"/>
      </rPr>
      <t>F</t>
    </r>
    <r>
      <rPr>
        <vertAlign val="subscript"/>
        <sz val="11"/>
        <color rgb="FF000000"/>
        <rFont val="Aptos Narrow"/>
        <family val="2"/>
      </rPr>
      <t>14</t>
    </r>
  </si>
  <si>
    <r>
      <t>tonnes CHF</t>
    </r>
    <r>
      <rPr>
        <vertAlign val="subscript"/>
        <sz val="11"/>
        <color rgb="FF000000"/>
        <rFont val="Aptos Narrow"/>
        <family val="2"/>
      </rPr>
      <t>3</t>
    </r>
  </si>
  <si>
    <r>
      <t>tonnes CH</t>
    </r>
    <r>
      <rPr>
        <vertAlign val="subscript"/>
        <sz val="11"/>
        <color rgb="FF000000"/>
        <rFont val="Aptos Narrow"/>
        <family val="2"/>
      </rPr>
      <t>2</t>
    </r>
    <r>
      <rPr>
        <sz val="11"/>
        <color rgb="FF000000"/>
        <rFont val="Aptos Narrow"/>
        <family val="2"/>
      </rPr>
      <t>F</t>
    </r>
    <r>
      <rPr>
        <vertAlign val="subscript"/>
        <sz val="11"/>
        <color rgb="FF000000"/>
        <rFont val="Aptos Narrow"/>
        <family val="2"/>
      </rPr>
      <t>2</t>
    </r>
  </si>
  <si>
    <r>
      <t>tonnes CH</t>
    </r>
    <r>
      <rPr>
        <vertAlign val="subscript"/>
        <sz val="11"/>
        <color rgb="FF000000"/>
        <rFont val="Aptos Narrow"/>
        <family val="2"/>
      </rPr>
      <t>3</t>
    </r>
    <r>
      <rPr>
        <sz val="11"/>
        <color rgb="FF000000"/>
        <rFont val="Aptos Narrow"/>
        <family val="2"/>
      </rPr>
      <t>F</t>
    </r>
  </si>
  <si>
    <r>
      <t>tonnes CF</t>
    </r>
    <r>
      <rPr>
        <vertAlign val="subscript"/>
        <sz val="11"/>
        <color rgb="FF000000"/>
        <rFont val="Aptos Narrow"/>
        <family val="2"/>
      </rPr>
      <t>3</t>
    </r>
    <r>
      <rPr>
        <sz val="11"/>
        <color rgb="FF000000"/>
        <rFont val="Aptos Narrow"/>
        <family val="2"/>
      </rPr>
      <t>CHFCHFCF</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</si>
  <si>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r>
      <t>tonnes CHF</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</si>
  <si>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r>
      <t>tonnes CHF</t>
    </r>
    <r>
      <rPr>
        <vertAlign val="subscript"/>
        <sz val="11"/>
        <color rgb="FF000000"/>
        <rFont val="Aptos Narrow"/>
        <family val="2"/>
      </rPr>
      <t>2</t>
    </r>
    <r>
      <rPr>
        <sz val="11"/>
        <color rgb="FF000000"/>
        <rFont val="Aptos Narrow"/>
        <family val="2"/>
      </rPr>
      <t>CHF</t>
    </r>
    <r>
      <rPr>
        <vertAlign val="subscript"/>
        <sz val="11"/>
        <color rgb="FF000000"/>
        <rFont val="Aptos Narrow"/>
        <family val="2"/>
      </rPr>
      <t>2</t>
    </r>
  </si>
  <si>
    <r>
      <t>tonnes CH</t>
    </r>
    <r>
      <rPr>
        <vertAlign val="subscript"/>
        <sz val="11"/>
        <color rgb="FF000000"/>
        <rFont val="Aptos Narrow"/>
        <family val="2"/>
      </rPr>
      <t>2</t>
    </r>
    <r>
      <rPr>
        <sz val="11"/>
        <color rgb="FF000000"/>
        <rFont val="Aptos Narrow"/>
        <family val="2"/>
      </rPr>
      <t>FCF</t>
    </r>
    <r>
      <rPr>
        <vertAlign val="subscript"/>
        <sz val="11"/>
        <color rgb="FF000000"/>
        <rFont val="Aptos Narrow"/>
        <family val="2"/>
      </rPr>
      <t>3</t>
    </r>
  </si>
  <si>
    <r>
      <t>tonnes CH</t>
    </r>
    <r>
      <rPr>
        <vertAlign val="subscript"/>
        <sz val="11"/>
        <color rgb="FF000000"/>
        <rFont val="Aptos Narrow"/>
        <family val="2"/>
      </rPr>
      <t>2</t>
    </r>
    <r>
      <rPr>
        <sz val="11"/>
        <color rgb="FF000000"/>
        <rFont val="Aptos Narrow"/>
        <family val="2"/>
      </rPr>
      <t>FCHF</t>
    </r>
    <r>
      <rPr>
        <vertAlign val="subscript"/>
        <sz val="11"/>
        <color rgb="FF000000"/>
        <rFont val="Aptos Narrow"/>
        <family val="2"/>
      </rPr>
      <t>2</t>
    </r>
  </si>
  <si>
    <r>
      <t>tonnes CH</t>
    </r>
    <r>
      <rPr>
        <vertAlign val="subscript"/>
        <sz val="11"/>
        <color rgb="FF000000"/>
        <rFont val="Aptos Narrow"/>
        <family val="2"/>
      </rPr>
      <t>3</t>
    </r>
    <r>
      <rPr>
        <sz val="11"/>
        <color rgb="FF000000"/>
        <rFont val="Aptos Narrow"/>
        <family val="2"/>
      </rPr>
      <t>CF</t>
    </r>
    <r>
      <rPr>
        <vertAlign val="subscript"/>
        <sz val="11"/>
        <color rgb="FF000000"/>
        <rFont val="Aptos Narrow"/>
        <family val="2"/>
      </rPr>
      <t>3</t>
    </r>
  </si>
  <si>
    <r>
      <t>tonnes CH</t>
    </r>
    <r>
      <rPr>
        <vertAlign val="subscript"/>
        <sz val="11"/>
        <color rgb="FF000000"/>
        <rFont val="Aptos Narrow"/>
        <family val="2"/>
      </rPr>
      <t>3</t>
    </r>
    <r>
      <rPr>
        <sz val="11"/>
        <color rgb="FF000000"/>
        <rFont val="Aptos Narrow"/>
        <family val="2"/>
      </rPr>
      <t>CHF</t>
    </r>
    <r>
      <rPr>
        <vertAlign val="subscript"/>
        <sz val="11"/>
        <color rgb="FF000000"/>
        <rFont val="Aptos Narrow"/>
        <family val="2"/>
      </rPr>
      <t>2</t>
    </r>
  </si>
  <si>
    <r>
      <t>tonnes CF</t>
    </r>
    <r>
      <rPr>
        <vertAlign val="subscript"/>
        <sz val="11"/>
        <color rgb="FF000000"/>
        <rFont val="Aptos Narrow"/>
        <family val="2"/>
      </rPr>
      <t>3</t>
    </r>
    <r>
      <rPr>
        <sz val="11"/>
        <color rgb="FF000000"/>
        <rFont val="Aptos Narrow"/>
        <family val="2"/>
      </rPr>
      <t>CHFCF</t>
    </r>
    <r>
      <rPr>
        <vertAlign val="subscript"/>
        <sz val="11"/>
        <color rgb="FF000000"/>
        <rFont val="Aptos Narrow"/>
        <family val="2"/>
      </rPr>
      <t>3</t>
    </r>
  </si>
  <si>
    <r>
      <t>tonnes CF</t>
    </r>
    <r>
      <rPr>
        <vertAlign val="subscript"/>
        <sz val="11"/>
        <color rgb="FF000000"/>
        <rFont val="Aptos Narrow"/>
        <family val="2"/>
      </rPr>
      <t>3</t>
    </r>
    <r>
      <rPr>
        <sz val="11"/>
        <color rgb="FF000000"/>
        <rFont val="Aptos Narrow"/>
        <family val="2"/>
      </rPr>
      <t>CH</t>
    </r>
    <r>
      <rPr>
        <vertAlign val="subscript"/>
        <sz val="11"/>
        <color rgb="FF000000"/>
        <rFont val="Aptos Narrow"/>
        <family val="2"/>
      </rPr>
      <t>2</t>
    </r>
    <r>
      <rPr>
        <sz val="11"/>
        <color rgb="FF000000"/>
        <rFont val="Aptos Narrow"/>
        <family val="2"/>
      </rPr>
      <t>CF</t>
    </r>
    <r>
      <rPr>
        <vertAlign val="subscript"/>
        <sz val="11"/>
        <color rgb="FF000000"/>
        <rFont val="Aptos Narrow"/>
        <family val="2"/>
      </rPr>
      <t>3</t>
    </r>
  </si>
  <si>
    <r>
      <t>tonnes CH</t>
    </r>
    <r>
      <rPr>
        <vertAlign val="subscript"/>
        <sz val="11"/>
        <color rgb="FF000000"/>
        <rFont val="Aptos Narrow"/>
        <family val="2"/>
      </rPr>
      <t>2</t>
    </r>
    <r>
      <rPr>
        <sz val="11"/>
        <color rgb="FF000000"/>
        <rFont val="Aptos Narrow"/>
        <family val="2"/>
      </rPr>
      <t>FCF</t>
    </r>
    <r>
      <rPr>
        <vertAlign val="subscript"/>
        <sz val="11"/>
        <color rgb="FF000000"/>
        <rFont val="Aptos Narrow"/>
        <family val="2"/>
      </rPr>
      <t>2</t>
    </r>
    <r>
      <rPr>
        <sz val="11"/>
        <color rgb="FF000000"/>
        <rFont val="Aptos Narrow"/>
        <family val="2"/>
      </rPr>
      <t>CHF</t>
    </r>
    <r>
      <rPr>
        <vertAlign val="subscript"/>
        <sz val="11"/>
        <color rgb="FF000000"/>
        <rFont val="Aptos Narrow"/>
        <family val="2"/>
      </rPr>
      <t>2</t>
    </r>
  </si>
  <si>
    <r>
      <t>(tonnes CO</t>
    </r>
    <r>
      <rPr>
        <b/>
        <vertAlign val="subscript"/>
        <sz val="11"/>
        <color rgb="FF000000"/>
        <rFont val="Aptos Narrow"/>
        <family val="2"/>
      </rPr>
      <t>2</t>
    </r>
    <r>
      <rPr>
        <b/>
        <sz val="11"/>
        <color rgb="FF000000"/>
        <rFont val="Aptos Narrow"/>
        <family val="2"/>
      </rPr>
      <t>)</t>
    </r>
  </si>
  <si>
    <r>
      <t>(tonnes CH</t>
    </r>
    <r>
      <rPr>
        <b/>
        <vertAlign val="subscript"/>
        <sz val="11"/>
        <color rgb="FF000000"/>
        <rFont val="Aptos Narrow"/>
        <family val="2"/>
      </rPr>
      <t>4</t>
    </r>
    <r>
      <rPr>
        <b/>
        <sz val="11"/>
        <color rgb="FF000000"/>
        <rFont val="Aptos Narrow"/>
        <family val="2"/>
      </rPr>
      <t>)</t>
    </r>
  </si>
  <si>
    <r>
      <t>(tonnes N</t>
    </r>
    <r>
      <rPr>
        <b/>
        <vertAlign val="subscript"/>
        <sz val="11"/>
        <color rgb="FF000000"/>
        <rFont val="Aptos Narrow"/>
        <family val="2"/>
      </rPr>
      <t>2</t>
    </r>
    <r>
      <rPr>
        <b/>
        <sz val="11"/>
        <color rgb="FF000000"/>
        <rFont val="Aptos Narrow"/>
        <family val="2"/>
      </rPr>
      <t>O)</t>
    </r>
  </si>
  <si>
    <r>
      <t xml:space="preserve">Emissions Return Form for Regulated Emitters Subject to 
</t>
    </r>
    <r>
      <rPr>
        <b/>
        <i/>
        <sz val="18"/>
        <color rgb="FFFFFFFF"/>
        <rFont val="Aptos Narrow"/>
        <family val="2"/>
      </rPr>
      <t>The Industrial Facility Standard</t>
    </r>
  </si>
  <si>
    <r>
      <t xml:space="preserve">This form makes use of macros. </t>
    </r>
    <r>
      <rPr>
        <b/>
        <sz val="11"/>
        <color rgb="FF000000"/>
        <rFont val="Aptos Narrow"/>
        <family val="2"/>
      </rPr>
      <t>Please enable macros.</t>
    </r>
  </si>
  <si>
    <r>
      <t xml:space="preserve">This form is for industrial facilities registered under </t>
    </r>
    <r>
      <rPr>
        <i/>
        <sz val="11"/>
        <color rgb="FF000000"/>
        <rFont val="Aptos Narrow"/>
        <family val="2"/>
      </rPr>
      <t>The Industrial Facility Standard.</t>
    </r>
  </si>
  <si>
    <r>
      <t xml:space="preserve">The requirements in this form are administered under the authority of </t>
    </r>
    <r>
      <rPr>
        <i/>
        <sz val="11"/>
        <color rgb="FF000000"/>
        <rFont val="Aptos Narrow"/>
        <family val="2"/>
      </rPr>
      <t>The Management and Reduction of Greenhouse Gases Act, The Management and Reduction of Greenhouse Gases (Standards and Compliance) Regulations, 2023</t>
    </r>
    <r>
      <rPr>
        <sz val="11"/>
        <color rgb="FF000000"/>
        <rFont val="Aptos Narrow"/>
        <family val="2"/>
      </rPr>
      <t xml:space="preserve"> and </t>
    </r>
    <r>
      <rPr>
        <i/>
        <sz val="11"/>
        <color rgb="FF000000"/>
        <rFont val="Aptos Narrow"/>
        <family val="2"/>
      </rPr>
      <t>The Industrial Facility Standard.</t>
    </r>
  </si>
  <si>
    <r>
      <t>tonnes CO</t>
    </r>
    <r>
      <rPr>
        <vertAlign val="subscript"/>
        <sz val="11"/>
        <color rgb="FF000000"/>
        <rFont val="Aptos Narrow"/>
        <family val="2"/>
      </rPr>
      <t>2</t>
    </r>
    <r>
      <rPr>
        <sz val="11"/>
        <color rgb="FF000000"/>
        <rFont val="Aptos Narrow"/>
        <family val="2"/>
      </rPr>
      <t>e</t>
    </r>
  </si>
  <si>
    <t>Drilling</t>
  </si>
  <si>
    <t>Metres drilled</t>
  </si>
  <si>
    <t>Carbon dioxide emissions from associated gas</t>
  </si>
  <si>
    <t>Methane emissions from associated gas</t>
  </si>
  <si>
    <t>Nitrous oxide emissions from associated gas</t>
  </si>
  <si>
    <t>Number of units within the gas-to-power operation</t>
  </si>
  <si>
    <t>Number of metres drilled through drilling operations using fuel purchased by the regulated emitter</t>
  </si>
  <si>
    <t>Select the source categories that produced direct emissions.</t>
  </si>
  <si>
    <t>Does this product have regulated electricity emissions?</t>
  </si>
  <si>
    <t>unit</t>
  </si>
  <si>
    <t>Reduction period</t>
  </si>
  <si>
    <t>Performance standard allocation</t>
  </si>
  <si>
    <t>Baseline emissions intensity</t>
  </si>
  <si>
    <t>Performance standard</t>
  </si>
  <si>
    <t>Gas-to-Power</t>
  </si>
  <si>
    <r>
      <t>tonnes CO</t>
    </r>
    <r>
      <rPr>
        <vertAlign val="subscript"/>
        <sz val="11"/>
        <color rgb="FF000000"/>
        <rFont val="Aptos Narrow"/>
        <family val="2"/>
      </rPr>
      <t>2</t>
    </r>
    <r>
      <rPr>
        <sz val="11"/>
        <color rgb="FF000000"/>
        <rFont val="Aptos Narrow"/>
        <family val="2"/>
      </rPr>
      <t>e/GWh</t>
    </r>
  </si>
  <si>
    <t>Benchmark for drilling</t>
  </si>
  <si>
    <t>Permitted emissions</t>
  </si>
  <si>
    <t>Performance credits</t>
  </si>
  <si>
    <t>Compliance obligation</t>
  </si>
  <si>
    <r>
      <t>tonnes CO</t>
    </r>
    <r>
      <rPr>
        <vertAlign val="subscript"/>
        <sz val="11"/>
        <color rgb="FF000000"/>
        <rFont val="Aptos Narrow"/>
        <family val="2"/>
      </rPr>
      <t>2</t>
    </r>
    <r>
      <rPr>
        <sz val="11"/>
        <color rgb="FF000000"/>
        <rFont val="Aptos Narrow"/>
        <family val="2"/>
      </rPr>
      <t>e/unit</t>
    </r>
  </si>
  <si>
    <t>Baseline industrial process emissions</t>
  </si>
  <si>
    <t>Baseline production</t>
  </si>
  <si>
    <r>
      <t>tonnes CO</t>
    </r>
    <r>
      <rPr>
        <vertAlign val="subscript"/>
        <sz val="11"/>
        <color rgb="FF000000"/>
        <rFont val="Aptos Narrow"/>
        <family val="2"/>
      </rPr>
      <t>2</t>
    </r>
    <r>
      <rPr>
        <sz val="11"/>
        <color rgb="FF000000"/>
        <rFont val="Aptos Narrow"/>
        <family val="2"/>
      </rPr>
      <t>e/metres</t>
    </r>
  </si>
  <si>
    <t>Agricultural and industrial equipment manufacturing 1</t>
  </si>
  <si>
    <t>Agricultural and industrial equipment manufacturing 2</t>
  </si>
  <si>
    <t>Agricultural and industrial equipment manufacturing 3</t>
  </si>
  <si>
    <t>Agricultural and industrial equipment manufacturing 4</t>
  </si>
  <si>
    <t>Agricultural and industrial equipment manufacturing 5</t>
  </si>
  <si>
    <t>Agricultural and industrial equipment manufacturing 6</t>
  </si>
  <si>
    <t>Agricultural and industrial equipment manufacturing 7</t>
  </si>
  <si>
    <t>Agricultural and industrial equipment manufacturing 8</t>
  </si>
  <si>
    <t>Agricultural and industrial equipment manufacturing 9</t>
  </si>
  <si>
    <t>Agricultural and industrial equipment manufacturing 10</t>
  </si>
  <si>
    <t>Agricultural and industrial equipment manufacturing 11</t>
  </si>
  <si>
    <t>Agricultural and industrial equipment manufacturing 12</t>
  </si>
  <si>
    <t>Chemical manufacturing 1</t>
  </si>
  <si>
    <t>Chemical manufacturing 2</t>
  </si>
  <si>
    <t>Chemical manufacturing 3</t>
  </si>
  <si>
    <t>Chemical manufacturing 4</t>
  </si>
  <si>
    <t>Chemical manufacturing 5</t>
  </si>
  <si>
    <t>Chemical manufacturing 6</t>
  </si>
  <si>
    <t>Chemical manufacturing 7</t>
  </si>
  <si>
    <t>Chemical manufacturing 8</t>
  </si>
  <si>
    <t>Chemical manufacturing 9</t>
  </si>
  <si>
    <t>Chemical manufacturing 10</t>
  </si>
  <si>
    <t>Chemical manufacturing 11</t>
  </si>
  <si>
    <t>Chemical manufacturing 12</t>
  </si>
  <si>
    <t>Ethanol manufacturing 1</t>
  </si>
  <si>
    <t>Ethanol manufacturing 2</t>
  </si>
  <si>
    <t>Ethanol manufacturing 3</t>
  </si>
  <si>
    <t>Ethanol manufacturing 4</t>
  </si>
  <si>
    <t>Ethanol manufacturing 5</t>
  </si>
  <si>
    <t>Ethanol manufacturing 6</t>
  </si>
  <si>
    <t>Ethanol manufacturing 7</t>
  </si>
  <si>
    <t>Ethanol manufacturing 8</t>
  </si>
  <si>
    <t>Ethanol manufacturing 9</t>
  </si>
  <si>
    <t>Ethanol manufacturing 10</t>
  </si>
  <si>
    <t>Ethanol manufacturing 11</t>
  </si>
  <si>
    <t>Ethanol manufacturing 12</t>
  </si>
  <si>
    <t>Fertilizer manufacturing 1</t>
  </si>
  <si>
    <t>Fertilizer manufacturing 2</t>
  </si>
  <si>
    <t>Fertilizer manufacturing 3</t>
  </si>
  <si>
    <t>Fertilizer manufacturing 4</t>
  </si>
  <si>
    <t>Fertilizer manufacturing 5</t>
  </si>
  <si>
    <t>Fertilizer manufacturing 6</t>
  </si>
  <si>
    <t>Fertilizer manufacturing 7</t>
  </si>
  <si>
    <t>Fertilizer manufacturing 8</t>
  </si>
  <si>
    <t>Fertilizer manufacturing 9</t>
  </si>
  <si>
    <t>Fertilizer manufacturing 10</t>
  </si>
  <si>
    <t>Fertilizer manufacturing 11</t>
  </si>
  <si>
    <t>Fertilizer manufacturing 12</t>
  </si>
  <si>
    <t>Food and beverage processing 1</t>
  </si>
  <si>
    <t>Food and beverage processing 2</t>
  </si>
  <si>
    <t>Food and beverage processing 3</t>
  </si>
  <si>
    <t>Food and beverage processing 4</t>
  </si>
  <si>
    <t>Food and beverage processing 5</t>
  </si>
  <si>
    <t>Food and beverage processing 6</t>
  </si>
  <si>
    <t>Food and beverage processing 7</t>
  </si>
  <si>
    <t>Food and beverage processing 8</t>
  </si>
  <si>
    <t>Food and beverage processing 9</t>
  </si>
  <si>
    <t>Food and beverage processing 10</t>
  </si>
  <si>
    <t>Food and beverage processing 11</t>
  </si>
  <si>
    <t>Food and beverage processing 12</t>
  </si>
  <si>
    <t>Grain and oilseed processing 1</t>
  </si>
  <si>
    <t>Grain and oilseed processing 2</t>
  </si>
  <si>
    <t>Grain and oilseed processing 3</t>
  </si>
  <si>
    <t>Grain and oilseed processing 4</t>
  </si>
  <si>
    <t>Grain and oilseed processing 5</t>
  </si>
  <si>
    <t>Grain and oilseed processing 6</t>
  </si>
  <si>
    <t>Grain and oilseed processing 7</t>
  </si>
  <si>
    <t>Grain and oilseed processing 8</t>
  </si>
  <si>
    <t>Grain and oilseed processing 9</t>
  </si>
  <si>
    <t>Grain and oilseed processing 10</t>
  </si>
  <si>
    <t>Grain and oilseed processing 11</t>
  </si>
  <si>
    <t>Grain and oilseed processing 12</t>
  </si>
  <si>
    <t>Iron and steel mills 1</t>
  </si>
  <si>
    <t>Iron and steel mills 2</t>
  </si>
  <si>
    <t>Iron and steel mills 3</t>
  </si>
  <si>
    <t>Iron and steel mills 4</t>
  </si>
  <si>
    <t>Iron and steel mills 5</t>
  </si>
  <si>
    <t>Iron and steel mills 6</t>
  </si>
  <si>
    <t>Iron and steel mills 7</t>
  </si>
  <si>
    <t>Iron and steel mills 8</t>
  </si>
  <si>
    <t>Iron and steel mills 9</t>
  </si>
  <si>
    <t>Iron and steel mills 10</t>
  </si>
  <si>
    <t>Iron and steel mills 11</t>
  </si>
  <si>
    <t>Iron and steel mills 12</t>
  </si>
  <si>
    <t>Mineral product manufacturing 1</t>
  </si>
  <si>
    <t>Mineral product manufacturing 2</t>
  </si>
  <si>
    <t>Mineral product manufacturing 3</t>
  </si>
  <si>
    <t>Mineral product manufacturing 4</t>
  </si>
  <si>
    <t>Mineral product manufacturing 5</t>
  </si>
  <si>
    <t>Mineral product manufacturing 6</t>
  </si>
  <si>
    <t>Mineral product manufacturing 7</t>
  </si>
  <si>
    <t>Mineral product manufacturing 8</t>
  </si>
  <si>
    <t>Mineral product manufacturing 9</t>
  </si>
  <si>
    <t>Mineral product manufacturing 10</t>
  </si>
  <si>
    <t>Mineral product manufacturing 11</t>
  </si>
  <si>
    <t>Mineral product manufacturing 12</t>
  </si>
  <si>
    <t>Mining 1</t>
  </si>
  <si>
    <t>Mining 2</t>
  </si>
  <si>
    <t>Mining 3</t>
  </si>
  <si>
    <t>Mining 4</t>
  </si>
  <si>
    <t>Mining 5</t>
  </si>
  <si>
    <t>Mining 6</t>
  </si>
  <si>
    <t>Mining 7</t>
  </si>
  <si>
    <t>Mining 8</t>
  </si>
  <si>
    <t>Mining 9</t>
  </si>
  <si>
    <t>Mining 10</t>
  </si>
  <si>
    <t>Mining 11</t>
  </si>
  <si>
    <t>Mining 12</t>
  </si>
  <si>
    <t>Natural gas transmission pipelines 1</t>
  </si>
  <si>
    <t>Natural gas transmission pipelines 2</t>
  </si>
  <si>
    <t>Natural gas transmission pipelines 3</t>
  </si>
  <si>
    <t>Natural gas transmission pipelines 4</t>
  </si>
  <si>
    <t>Natural gas transmission pipelines 5</t>
  </si>
  <si>
    <t>Natural gas transmission pipelines 6</t>
  </si>
  <si>
    <t>Natural gas transmission pipelines 7</t>
  </si>
  <si>
    <t>Natural gas transmission pipelines 8</t>
  </si>
  <si>
    <t>Natural gas transmission pipelines 9</t>
  </si>
  <si>
    <t>Natural gas transmission pipelines 10</t>
  </si>
  <si>
    <t>Natural gas transmission pipelines 11</t>
  </si>
  <si>
    <t>Natural gas transmission pipelines 12</t>
  </si>
  <si>
    <t>Pulp mills 1</t>
  </si>
  <si>
    <t>Pulp mills 2</t>
  </si>
  <si>
    <t>Pulp mills 3</t>
  </si>
  <si>
    <t>Pulp mills 4</t>
  </si>
  <si>
    <t>Pulp mills 5</t>
  </si>
  <si>
    <t>Pulp mills 6</t>
  </si>
  <si>
    <t>Pulp mills 7</t>
  </si>
  <si>
    <t>Pulp mills 8</t>
  </si>
  <si>
    <t>Pulp mills 9</t>
  </si>
  <si>
    <t>Pulp mills 10</t>
  </si>
  <si>
    <t>Pulp mills 11</t>
  </si>
  <si>
    <t>Pulp mills 12</t>
  </si>
  <si>
    <t>Refining and upgrading of petroleum 1</t>
  </si>
  <si>
    <t>Refining and upgrading of petroleum 2</t>
  </si>
  <si>
    <t>Refining and upgrading of petroleum 3</t>
  </si>
  <si>
    <t>Refining and upgrading of petroleum 4</t>
  </si>
  <si>
    <t>Refining and upgrading of petroleum 5</t>
  </si>
  <si>
    <t>Refining and upgrading of petroleum 6</t>
  </si>
  <si>
    <t>Refining and upgrading of petroleum 7</t>
  </si>
  <si>
    <t>Refining and upgrading of petroleum 8</t>
  </si>
  <si>
    <t>Refining and upgrading of petroleum 9</t>
  </si>
  <si>
    <t>Refining and upgrading of petroleum 10</t>
  </si>
  <si>
    <t>Refining and upgrading of petroleum 11</t>
  </si>
  <si>
    <t>Refining and upgrading of petroleum 12</t>
  </si>
  <si>
    <t>Upstream oil and gas 1</t>
  </si>
  <si>
    <t>Upstream oil and gas 2</t>
  </si>
  <si>
    <t>Upstream oil and gas 3</t>
  </si>
  <si>
    <t>Upstream oil and gas 4</t>
  </si>
  <si>
    <t>Upstream oil and gas 5</t>
  </si>
  <si>
    <t>Upstream oil and gas 6</t>
  </si>
  <si>
    <t>Upstream oil and gas 7</t>
  </si>
  <si>
    <t>Upstream oil and gas 8</t>
  </si>
  <si>
    <t>Upstream oil and gas 9</t>
  </si>
  <si>
    <t>Upstream oil and gas 10</t>
  </si>
  <si>
    <t>Upstream oil and gas 11</t>
  </si>
  <si>
    <t>Upstream oil and gas 12</t>
  </si>
  <si>
    <t>Wood product manufacturing 1</t>
  </si>
  <si>
    <t>Wood product manufacturing 2</t>
  </si>
  <si>
    <t>Wood product manufacturing 3</t>
  </si>
  <si>
    <t>Wood product manufacturing 4</t>
  </si>
  <si>
    <t>Wood product manufacturing 5</t>
  </si>
  <si>
    <t>Wood product manufacturing 6</t>
  </si>
  <si>
    <t>Wood product manufacturing 7</t>
  </si>
  <si>
    <t>Wood product manufacturing 8</t>
  </si>
  <si>
    <t>Wood product manufacturing 9</t>
  </si>
  <si>
    <t>Wood product manufacturing 10</t>
  </si>
  <si>
    <t>Wood product manufacturing 11</t>
  </si>
  <si>
    <t>Wood product manufacturing 12</t>
  </si>
  <si>
    <t>Other sectors 1</t>
  </si>
  <si>
    <t>Other sectors 2</t>
  </si>
  <si>
    <t>Other sectors 3</t>
  </si>
  <si>
    <t>Other sectors 4</t>
  </si>
  <si>
    <t>Other sectors 5</t>
  </si>
  <si>
    <t>Other sectors 6</t>
  </si>
  <si>
    <t>Other sectors 7</t>
  </si>
  <si>
    <t>Other sectors 8</t>
  </si>
  <si>
    <t>Other sectors 9</t>
  </si>
  <si>
    <t>Other sectors 10</t>
  </si>
  <si>
    <t>Other sectors 11</t>
  </si>
  <si>
    <t>Other sectors 12</t>
  </si>
  <si>
    <t>Gas-to-power operation 1</t>
  </si>
  <si>
    <t>Gas-to-power operation 2</t>
  </si>
  <si>
    <t>Gas-to-power operation 3</t>
  </si>
  <si>
    <t>Gas-to-power operation 4</t>
  </si>
  <si>
    <t>Gas-to-power operation 5</t>
  </si>
  <si>
    <t>Gas-to-power operation 6</t>
  </si>
  <si>
    <t>Gas-to-power operation 7</t>
  </si>
  <si>
    <t>Gas-to-power operation 8</t>
  </si>
  <si>
    <t>I.Compliance.P1ReductionPeriod</t>
  </si>
  <si>
    <t>I.Compliance.P2ReductionPeriod</t>
  </si>
  <si>
    <t>I.Compliance.P3ReductionPeriod</t>
  </si>
  <si>
    <t>I.Compliance.P4ReductionPeriod</t>
  </si>
  <si>
    <t>I.Compliance.P5ReductionPeriod</t>
  </si>
  <si>
    <t>I.Compliance.GTPReductionPeriod</t>
  </si>
  <si>
    <t>Enter the reduction period for product 1.</t>
  </si>
  <si>
    <t>Enter the baseline production for product 1.</t>
  </si>
  <si>
    <t>Enter the baseline industrial process emissions for product 1.</t>
  </si>
  <si>
    <t>Enter the baseline emissions intensity for product 1.</t>
  </si>
  <si>
    <t>Enter the reduction period for product 2.</t>
  </si>
  <si>
    <t>Enter the baseline production for product 2.</t>
  </si>
  <si>
    <t>Enter the baseline industrial process emissions for product 2.</t>
  </si>
  <si>
    <t>Enter the baseline emissions intensity for product 2.</t>
  </si>
  <si>
    <t>Enter the reduction period for product 3.</t>
  </si>
  <si>
    <t>Enter the baseline production for product 3.</t>
  </si>
  <si>
    <t>Enter the baseline industrial process emissions for product 3.</t>
  </si>
  <si>
    <t>Enter the baseline emissions intensity for product 3.</t>
  </si>
  <si>
    <t>Enter the reduction period for product 4.</t>
  </si>
  <si>
    <t>Enter the baseline production for product 4.</t>
  </si>
  <si>
    <t>Enter the baseline industrial process emissions for product 4.</t>
  </si>
  <si>
    <t>Enter the baseline emissions intensity for product 4.</t>
  </si>
  <si>
    <t>Enter the reduction period for product 5.</t>
  </si>
  <si>
    <t>Enter the baseline production for product 5.</t>
  </si>
  <si>
    <t>Enter the baseline industrial process emissions for product 5.</t>
  </si>
  <si>
    <t>Enter the baseline emissions intensity for product 5.</t>
  </si>
  <si>
    <t>Enter the reduction period for the gas-to-power product.</t>
  </si>
  <si>
    <t>Enter the baseline emissions intensity for the gas-to-power product.</t>
  </si>
  <si>
    <t>S.Compliance.P1</t>
  </si>
  <si>
    <t>S.Compliance.P2</t>
  </si>
  <si>
    <t>S.Compliance.P3</t>
  </si>
  <si>
    <t>S.Compliance.P4</t>
  </si>
  <si>
    <t>S.Compliance.P5</t>
  </si>
  <si>
    <t>S.Compliance.Drilling</t>
  </si>
  <si>
    <t>S.Developer.Lookups</t>
  </si>
  <si>
    <t>R.Compliance.Timestamp</t>
  </si>
  <si>
    <t>R.Compliance.Notification</t>
  </si>
  <si>
    <t>R.Facility.Notification</t>
  </si>
  <si>
    <t>R.Product.Notification</t>
  </si>
  <si>
    <t>R.Production.Notification</t>
  </si>
  <si>
    <t>R.Electricity.Notification</t>
  </si>
  <si>
    <t>R.Gas.Notification</t>
  </si>
  <si>
    <t>R.Drilling.Notification</t>
  </si>
  <si>
    <t>R.Declaration.Notification</t>
  </si>
  <si>
    <t>R.Compliance.PrintArea</t>
  </si>
  <si>
    <t>I.Compliance.P1IPEmissions</t>
  </si>
  <si>
    <t>I.Compliance.P2IPEmissions</t>
  </si>
  <si>
    <t>I.Compliance.P3IPEmissions</t>
  </si>
  <si>
    <t>I.Compliance.P4IPEmissions</t>
  </si>
  <si>
    <t>I.Compliance.P5IPEmissions</t>
  </si>
  <si>
    <t>Does this product have industrial process emissions on its baseline?</t>
  </si>
  <si>
    <t>Indicate if product 1 has industrial process emissions on its baseline.</t>
  </si>
  <si>
    <t>Indicate if product 2 has industrial process emissions on its baseline.</t>
  </si>
  <si>
    <t>Indicate if product 3 has industrial process emissions on its baseline.</t>
  </si>
  <si>
    <t>Indicate if product 4 has industrial process emissions on its baseline.</t>
  </si>
  <si>
    <t>Indicate if product 5 has industrial process emissions on its baseline.</t>
  </si>
  <si>
    <t>S.Compliance.GasToPower</t>
  </si>
  <si>
    <t>S.Compliance.P1IPEmissions</t>
  </si>
  <si>
    <t>S.Compliance.P2IPEmissions</t>
  </si>
  <si>
    <t>S.Compliance.P3IPEmissions</t>
  </si>
  <si>
    <t>S.Compliance.P4IPEmissions</t>
  </si>
  <si>
    <t>S.Compliance.P5IPEmissions</t>
  </si>
  <si>
    <t>Compliance</t>
  </si>
  <si>
    <t>Compliance Summary</t>
  </si>
  <si>
    <t>I.Compliance.GTPBaselineEmissionsIntensity</t>
  </si>
  <si>
    <t>S.Compliance.P1C2</t>
  </si>
  <si>
    <t>S.Compliance.P2C2</t>
  </si>
  <si>
    <t>The baseline industrial process emissions for a product are the industrial process emissions produced by the production of that product during the baseline period. It is determined by summing the amount of industrial process emissions produced across all baseline years.</t>
  </si>
  <si>
    <t>The baseline production for a product is the amount of that product produced during the baseline period. It is determined by summing the amount of product produced across all baseline years.</t>
  </si>
  <si>
    <t>The reduction period for a product is equal to the compliance year minus the year prior to that product's first compliance year. If the product was in standby, also minus the compliance years in which the Ministry has determined that product to be in standby.</t>
  </si>
  <si>
    <t>Emissions return form for industrial facilities</t>
  </si>
  <si>
    <t>R.Declaration.FormName</t>
  </si>
  <si>
    <t>(authorized signing officer) confirm that all the information</t>
  </si>
  <si>
    <t>Both an Excel and PDF version of this form must be submitted along with any other required documents. After reviewing each tab, the authorized signing officer must enter their name and the date and click the button below to convert this form to a PDF. The PDF must be signed by the authorized signing officer on the line below.</t>
  </si>
  <si>
    <t>S.Compliance.P3C2</t>
  </si>
  <si>
    <t>S.Compliance.P4C2</t>
  </si>
  <si>
    <t>S.Compliance.P5C2</t>
  </si>
  <si>
    <t>I.Compliance.P1Baseline</t>
  </si>
  <si>
    <t>I.Compliance.P2Baseline</t>
  </si>
  <si>
    <t>I.Compliance.P3Baseline</t>
  </si>
  <si>
    <t>I.Compliance.P4Baseline</t>
  </si>
  <si>
    <t>I.Compliance.P5Baseline</t>
  </si>
  <si>
    <t>Before using this form, ensure it is saved in a trusted location.</t>
  </si>
  <si>
    <t>The authorized signing officer must provide a signature on the Declaration tab of the PDF.</t>
  </si>
  <si>
    <t>Both the Excel and PDF versions of this form must be submitted in their entirety along with any other required documents.</t>
  </si>
  <si>
    <t>The timestamp on each tab of this Excel form must match the timestamp on each tab of the PDF version.</t>
  </si>
  <si>
    <t>This completed form must be submitted by email to OBPSENV@gov.sk.ca.</t>
  </si>
  <si>
    <t>Contact Information</t>
  </si>
  <si>
    <r>
      <t xml:space="preserve">All information included in support of this submission is considered public in accordance with section 61(1) of </t>
    </r>
    <r>
      <rPr>
        <i/>
        <sz val="11"/>
        <color rgb="FF000000"/>
        <rFont val="Aptos Narrow"/>
        <family val="2"/>
      </rPr>
      <t>The Management and Reduction of Greenhouse Gases Act.</t>
    </r>
    <r>
      <rPr>
        <sz val="11"/>
        <color rgb="FF000000"/>
        <rFont val="Aptos Narrow"/>
        <family val="2"/>
      </rPr>
      <t xml:space="preserve"> A request to keep confidential any part of this submission for a period of five years must be made in writing by submitting the </t>
    </r>
    <r>
      <rPr>
        <i/>
        <sz val="11"/>
        <color rgb="FF000000"/>
        <rFont val="Aptos Narrow"/>
        <family val="2"/>
      </rPr>
      <t>Confidentiality Request Form for Regulated Emitters Subject to The Management and Reduction of Greenhouse Gases (Standards and Compliance) Regulations, 2023</t>
    </r>
    <r>
      <rPr>
        <sz val="11"/>
        <color rgb="FF000000"/>
        <rFont val="Aptos Narrow"/>
        <family val="2"/>
      </rPr>
      <t xml:space="preserve"> with this submission per section 61(3) of </t>
    </r>
    <r>
      <rPr>
        <i/>
        <sz val="11"/>
        <color rgb="FF000000"/>
        <rFont val="Aptos Narrow"/>
        <family val="2"/>
      </rPr>
      <t>The Management and Reduction of Greenhouse Gases Act</t>
    </r>
    <r>
      <rPr>
        <sz val="11"/>
        <color rgb="FF000000"/>
        <rFont val="Aptos Narrow"/>
        <family val="2"/>
      </rPr>
      <t xml:space="preserve"> and section 32 of </t>
    </r>
    <r>
      <rPr>
        <i/>
        <sz val="11"/>
        <color rgb="FF000000"/>
        <rFont val="Aptos Narrow"/>
        <family val="2"/>
      </rPr>
      <t>The Management and Reduction of Greenhouse Gases (Standards and Compliance) Regulations, 2023.</t>
    </r>
    <r>
      <rPr>
        <sz val="11"/>
        <color rgb="FF000000"/>
        <rFont val="Aptos Narrow"/>
        <family val="2"/>
      </rPr>
      <t xml:space="preserve"> Subsequent requests may be made prior to the expiry period to extend confidentiality of all or any part of this submission on five-year intervals per section 61(4) of </t>
    </r>
    <r>
      <rPr>
        <i/>
        <sz val="11"/>
        <color rgb="FF000000"/>
        <rFont val="Aptos Narrow"/>
        <family val="2"/>
      </rPr>
      <t>The Management and Reduction of Greenhouse Gases Act.</t>
    </r>
  </si>
  <si>
    <r>
      <t xml:space="preserve">A </t>
    </r>
    <r>
      <rPr>
        <i/>
        <sz val="11"/>
        <color rgb="FF000000"/>
        <rFont val="Aptos Narrow"/>
        <family val="2"/>
      </rPr>
      <t>Contact Information Form for Regulated Emitters within the Saskatchewan Output-Based Performance Standards Program</t>
    </r>
    <r>
      <rPr>
        <sz val="11"/>
        <color rgb="FF000000"/>
        <rFont val="Aptos Narrow"/>
        <family val="2"/>
      </rPr>
      <t xml:space="preserve"> must be submitted if the public contact or an authorized signing officer or technical contact at this facility changes.</t>
    </r>
  </si>
  <si>
    <t>An authorized signing officer is a person who has the authority to accept legal responsibility on behalf of the facility in this form.</t>
  </si>
  <si>
    <t>Proof of authority for an authorized signing officer must be submitted with the contact information form if the authorized signing officer does not hold the position of chief executive officer, chief financial officer, chief operating officer, president or vice president.</t>
  </si>
  <si>
    <t>Refer to the Appendix tab for instructions on reporting electricity data.</t>
  </si>
  <si>
    <t>Enter the reduction period and the unrounded baseline emissions intensity for each product. If industrial process emissions were reported on the baseline for a product, enter the unrounded baseline production and unrounded baseline industrial process emissions for that product. Refer to the Appendix tab for instructions.</t>
  </si>
  <si>
    <t>Refer to the Appendix for additional instructions.</t>
  </si>
  <si>
    <t>I.Facility.EmitterName</t>
  </si>
  <si>
    <t>Enter the regulated emitter name.</t>
  </si>
  <si>
    <t>='Facility Information'!$C$7</t>
  </si>
  <si>
    <t>='Facility Information'!$C$10</t>
  </si>
  <si>
    <t>='Facility Information'!$F$10</t>
  </si>
  <si>
    <t>='Facility Information'!$C$13</t>
  </si>
  <si>
    <t>='Facility Information'!$C$16</t>
  </si>
  <si>
    <t>='Facility Information'!$C$19</t>
  </si>
  <si>
    <t>='Facility Information'!$C$22</t>
  </si>
  <si>
    <t>='Facility Information'!$C$25</t>
  </si>
  <si>
    <t>='Facility Information'!$C$28</t>
  </si>
  <si>
    <t>='Facility Information'!$D$32:$D$531</t>
  </si>
  <si>
    <t>='Product Information'!$C$8</t>
  </si>
  <si>
    <t>='Product Information'!$C$11</t>
  </si>
  <si>
    <t>='Product Information'!$E$11</t>
  </si>
  <si>
    <t>='Product Information'!$C$25</t>
  </si>
  <si>
    <t>='Product Information'!$C$30</t>
  </si>
  <si>
    <t>='Product Information'!$C$33</t>
  </si>
  <si>
    <t>='Product Information'!$E$33</t>
  </si>
  <si>
    <t>='Product Information'!$C$47</t>
  </si>
  <si>
    <t>='Product Information'!$C$52</t>
  </si>
  <si>
    <t>='Product Information'!$C$55</t>
  </si>
  <si>
    <t>='Product Information'!$E$55</t>
  </si>
  <si>
    <t>='Product Information'!$C$69</t>
  </si>
  <si>
    <t>='Product Information'!$C$74</t>
  </si>
  <si>
    <t>='Product Information'!$C$77</t>
  </si>
  <si>
    <t>='Product Information'!$E$77</t>
  </si>
  <si>
    <t>='Product Information'!$C$91</t>
  </si>
  <si>
    <t>='Product Information'!$C$96</t>
  </si>
  <si>
    <t>='Product Information'!$C$99</t>
  </si>
  <si>
    <t>='Product Information'!$E$99</t>
  </si>
  <si>
    <t>='Product Information'!$C$113</t>
  </si>
  <si>
    <t>='Production Data'!$D$12</t>
  </si>
  <si>
    <t>='Production Data'!$E$12</t>
  </si>
  <si>
    <t>='Production Data'!$D$16:$D$18</t>
  </si>
  <si>
    <t>='Production Data'!$D$22:$D$45</t>
  </si>
  <si>
    <t>='Production Data'!$D$49:$D$69</t>
  </si>
  <si>
    <t>='Production Data'!$D$73:$D$75</t>
  </si>
  <si>
    <t>='Production Data'!$D$79:$D$81</t>
  </si>
  <si>
    <t>='Production Data'!$D$85:$D$87</t>
  </si>
  <si>
    <t>='Production Data'!$D$91:$D$93</t>
  </si>
  <si>
    <t>='Production Data'!$D$97:$D$99</t>
  </si>
  <si>
    <t>='Production Data'!$D$103:$D$105</t>
  </si>
  <si>
    <t>='Production Data'!$D$114</t>
  </si>
  <si>
    <t>='Production Data'!$E$114</t>
  </si>
  <si>
    <t>='Production Data'!$D$118:$D$120</t>
  </si>
  <si>
    <t>='Production Data'!$D$124:$D$147</t>
  </si>
  <si>
    <t>='Production Data'!$D$151:$D$171</t>
  </si>
  <si>
    <t>='Production Data'!$D$175:$D$177</t>
  </si>
  <si>
    <t>='Production Data'!$D$181:$D$183</t>
  </si>
  <si>
    <t>='Production Data'!$D$187:$D$189</t>
  </si>
  <si>
    <t>='Production Data'!$D$193:$D$195</t>
  </si>
  <si>
    <t>='Production Data'!$D$199:$D$201</t>
  </si>
  <si>
    <t>='Production Data'!$D$205:$D$207</t>
  </si>
  <si>
    <t>='Production Data'!$D$216</t>
  </si>
  <si>
    <t>='Production Data'!$E$216</t>
  </si>
  <si>
    <t>='Production Data'!$D$220:$D$222</t>
  </si>
  <si>
    <t>='Production Data'!$D$226:$D$249</t>
  </si>
  <si>
    <t>='Production Data'!$D$253:$D$273</t>
  </si>
  <si>
    <t>='Production Data'!$D$277:$D$279</t>
  </si>
  <si>
    <t>='Production Data'!$D$283:$D$285</t>
  </si>
  <si>
    <t>='Production Data'!$D$289:$D$291</t>
  </si>
  <si>
    <t>='Production Data'!$D$295:$D$297</t>
  </si>
  <si>
    <t>='Production Data'!$D$301:$D$303</t>
  </si>
  <si>
    <t>='Production Data'!$D$307:$D$309</t>
  </si>
  <si>
    <t>='Production Data'!$D$318</t>
  </si>
  <si>
    <t>='Production Data'!$E$318</t>
  </si>
  <si>
    <t>='Production Data'!$D$322:$D$324</t>
  </si>
  <si>
    <t>='Production Data'!$D$328:$D$351</t>
  </si>
  <si>
    <t>='Production Data'!$D$355:$D$375</t>
  </si>
  <si>
    <t>='Production Data'!$D$379:$D$381</t>
  </si>
  <si>
    <t>='Production Data'!$D$385:$D$387</t>
  </si>
  <si>
    <t>='Production Data'!$D$391:$D$393</t>
  </si>
  <si>
    <t>='Production Data'!$D$397:$D$399</t>
  </si>
  <si>
    <t>='Production Data'!$D$403:$D$405</t>
  </si>
  <si>
    <t>='Production Data'!$D$409:$D$411</t>
  </si>
  <si>
    <t>='Production Data'!$D$420</t>
  </si>
  <si>
    <t>='Production Data'!$E$420</t>
  </si>
  <si>
    <t>='Production Data'!$D$424:$D$426</t>
  </si>
  <si>
    <t>='Production Data'!$D$430:$D$453</t>
  </si>
  <si>
    <t>='Production Data'!$D$457:$D$477</t>
  </si>
  <si>
    <t>='Production Data'!$D$481:$D$483</t>
  </si>
  <si>
    <t>='Production Data'!$D$487:$D$489</t>
  </si>
  <si>
    <t>='Production Data'!$D$493:$D$495</t>
  </si>
  <si>
    <t>='Production Data'!$D$499:$D$501</t>
  </si>
  <si>
    <t>='Production Data'!$D$505:$D$507</t>
  </si>
  <si>
    <t>='Production Data'!$D$511:$D$513</t>
  </si>
  <si>
    <t>='Electricity Data'!$D$15:$D$17</t>
  </si>
  <si>
    <t>='Electricity Data'!$D$21:$D$44</t>
  </si>
  <si>
    <t>='Electricity Data'!$D$48:$D$68</t>
  </si>
  <si>
    <t>='Electricity Data'!$D$72:$D$74</t>
  </si>
  <si>
    <t>='Electricity Data'!$D$78:$D$80</t>
  </si>
  <si>
    <t>='Electricity Data'!$D$84:$D$86</t>
  </si>
  <si>
    <t>='Electricity Data'!$D$90:$D$92</t>
  </si>
  <si>
    <t>='Electricity Data'!$D$96:$D$98</t>
  </si>
  <si>
    <t>='Electricity Data'!$D$102:$D$104</t>
  </si>
  <si>
    <t>='Electricity Data'!$D$113:$D$115</t>
  </si>
  <si>
    <t>='Electricity Data'!$D$119:$D$142</t>
  </si>
  <si>
    <t>='Electricity Data'!$D$146:$D$166</t>
  </si>
  <si>
    <t>='Electricity Data'!$D$170:$D$172</t>
  </si>
  <si>
    <t>='Electricity Data'!$D$176:$D$178</t>
  </si>
  <si>
    <t>='Electricity Data'!$D$182:$D$184</t>
  </si>
  <si>
    <t>='Electricity Data'!$D$188:$D$190</t>
  </si>
  <si>
    <t>='Electricity Data'!$D$194:$D$196</t>
  </si>
  <si>
    <t>='Electricity Data'!$D$200:$D$202</t>
  </si>
  <si>
    <t>='Electricity Data'!$D$211:$D$213</t>
  </si>
  <si>
    <t>='Electricity Data'!$D$217:$D$240</t>
  </si>
  <si>
    <t>='Electricity Data'!$D$244:$D$264</t>
  </si>
  <si>
    <t>='Electricity Data'!$D$268:$D$270</t>
  </si>
  <si>
    <t>='Electricity Data'!$D$274:$D$276</t>
  </si>
  <si>
    <t>='Electricity Data'!$D$280:$D$282</t>
  </si>
  <si>
    <t>='Electricity Data'!$D$286:$D$288</t>
  </si>
  <si>
    <t>='Electricity Data'!$D$292:$D$294</t>
  </si>
  <si>
    <t>='Electricity Data'!$D$298:$D$300</t>
  </si>
  <si>
    <t>='Electricity Data'!$D$309:$D$311</t>
  </si>
  <si>
    <t>='Electricity Data'!$D$315:$D$338</t>
  </si>
  <si>
    <t>='Electricity Data'!$D$342:$D$362</t>
  </si>
  <si>
    <t>='Electricity Data'!$D$366:$D$368</t>
  </si>
  <si>
    <t>='Electricity Data'!$D$372:$D$374</t>
  </si>
  <si>
    <t>='Electricity Data'!$D$378:$D$380</t>
  </si>
  <si>
    <t>='Electricity Data'!$D$384:$D$386</t>
  </si>
  <si>
    <t>='Electricity Data'!$D$390:$D$392</t>
  </si>
  <si>
    <t>='Electricity Data'!$D$396:$D$398</t>
  </si>
  <si>
    <t>='Electricity Data'!$D$407:$D$409</t>
  </si>
  <si>
    <t>='Electricity Data'!$D$413:$D$436</t>
  </si>
  <si>
    <t>='Electricity Data'!$D$440:$D$460</t>
  </si>
  <si>
    <t>='Electricity Data'!$D$464:$D$466</t>
  </si>
  <si>
    <t>='Electricity Data'!$D$470:$D$472</t>
  </si>
  <si>
    <t>='Electricity Data'!$D$476:$D$478</t>
  </si>
  <si>
    <t>='Electricity Data'!$D$482:$D$484</t>
  </si>
  <si>
    <t>='Electricity Data'!$D$488:$D$490</t>
  </si>
  <si>
    <t>='Electricity Data'!$D$494:$D$496</t>
  </si>
  <si>
    <t>='Gas-to-Power Data'!$C$12</t>
  </si>
  <si>
    <t>='Gas-to-Power Data'!$D$18:$D$67</t>
  </si>
  <si>
    <t>='Gas-to-Power Data'!$E$18:$E$67</t>
  </si>
  <si>
    <t>='Gas-to-Power Data'!$F$18:$F$67</t>
  </si>
  <si>
    <t>='Gas-to-Power Data'!$G$18:$G$67</t>
  </si>
  <si>
    <t>='Gas-to-Power Data'!$H$18:$H$67</t>
  </si>
  <si>
    <t>='Gas-to-Power Data'!$I$18:$I$67</t>
  </si>
  <si>
    <t>='Drilling Data'!$D$8</t>
  </si>
  <si>
    <t>='Drilling Data'!$D$12:$D$14</t>
  </si>
  <si>
    <t>=Compliance!$C$16</t>
  </si>
  <si>
    <t>=Compliance!$D$23</t>
  </si>
  <si>
    <t>=Compliance!$D$25:$D$27</t>
  </si>
  <si>
    <t>=Compliance!$C$36</t>
  </si>
  <si>
    <t>=Compliance!$D$43</t>
  </si>
  <si>
    <t>=Compliance!$D$45:$D$47</t>
  </si>
  <si>
    <t>=Compliance!$C$56</t>
  </si>
  <si>
    <t>=Compliance!$D$63</t>
  </si>
  <si>
    <t>=Compliance!$D$65:$D$67</t>
  </si>
  <si>
    <t>=Compliance!$C$76</t>
  </si>
  <si>
    <t>=Compliance!$D$83</t>
  </si>
  <si>
    <t>=Compliance!$D$85:$D$87</t>
  </si>
  <si>
    <t>=Compliance!$C$96</t>
  </si>
  <si>
    <t>=Compliance!$D$103</t>
  </si>
  <si>
    <t>=Compliance!$D$105:$D$107</t>
  </si>
  <si>
    <t>=Compliance!$D$116</t>
  </si>
  <si>
    <t>=Compliance!$D$118</t>
  </si>
  <si>
    <t>=Declaration!$D$9</t>
  </si>
  <si>
    <t>=Declaration!$F$28</t>
  </si>
  <si>
    <t>=Developer!$F$1548</t>
  </si>
  <si>
    <t>=Developer!$F$1549</t>
  </si>
  <si>
    <t>=Developer!$F$1550</t>
  </si>
  <si>
    <t>=Developer!$F$1551</t>
  </si>
  <si>
    <t>=Developer!$F$1552</t>
  </si>
  <si>
    <t>=Developer!$F$1553</t>
  </si>
  <si>
    <t>=Developer!$F$1554</t>
  </si>
  <si>
    <t>=Developer!$F$1555</t>
  </si>
  <si>
    <t>=Developer!$F$1556</t>
  </si>
  <si>
    <t>=Developer!$F$1557</t>
  </si>
  <si>
    <t>=Developer!$F$1558</t>
  </si>
  <si>
    <t>=Developer!$F$1559</t>
  </si>
  <si>
    <t>=Developer!$F$1560</t>
  </si>
  <si>
    <t>=Developer!$F$1561</t>
  </si>
  <si>
    <t>=Developer!$F$1562</t>
  </si>
  <si>
    <t>=Developer!$F$1563</t>
  </si>
  <si>
    <t>=Developer!$F$1564</t>
  </si>
  <si>
    <t>=Developer!$F$1565</t>
  </si>
  <si>
    <t>=Developer!$F$1566</t>
  </si>
  <si>
    <t>=Developer!$F$1567</t>
  </si>
  <si>
    <t>=Developer!$F$1568</t>
  </si>
  <si>
    <t>=Developer!$F$1569</t>
  </si>
  <si>
    <t>=Developer!$F$1570</t>
  </si>
  <si>
    <t>=Developer!$F$1571</t>
  </si>
  <si>
    <t>=Developer!$F$1572</t>
  </si>
  <si>
    <t>=Developer!$F$1573</t>
  </si>
  <si>
    <t>=Developer!$F$1574</t>
  </si>
  <si>
    <t>=Developer!$F$1575</t>
  </si>
  <si>
    <t>=Developer!$F$1576</t>
  </si>
  <si>
    <t>=Developer!$F$1577</t>
  </si>
  <si>
    <t>=Developer!$F$1578</t>
  </si>
  <si>
    <t>=Developer!$F$1579</t>
  </si>
  <si>
    <t>=Developer!$F$1580</t>
  </si>
  <si>
    <t>=Developer!$F$1581</t>
  </si>
  <si>
    <t>=Developer!$F$1582</t>
  </si>
  <si>
    <t>=Developer!$F$1583</t>
  </si>
  <si>
    <t>=Developer!$F$1584</t>
  </si>
  <si>
    <t>=Developer!$F$1585</t>
  </si>
  <si>
    <t>=Developer!$F$1586</t>
  </si>
  <si>
    <t>=Developer!$F$1587</t>
  </si>
  <si>
    <t>=Developer!$F$1588</t>
  </si>
  <si>
    <t>=Developer!$F$1589</t>
  </si>
  <si>
    <t>=Developer!$F$1590</t>
  </si>
  <si>
    <t>=Developer!$F$1591</t>
  </si>
  <si>
    <t>=Developer!$F$1592</t>
  </si>
  <si>
    <t>='Facility Information'!$B$23:$G$531</t>
  </si>
  <si>
    <t>='Product Information'!$B$5:$F$26</t>
  </si>
  <si>
    <t>='Product Information'!$B$27:$F$48</t>
  </si>
  <si>
    <t>='Product Information'!$B$49:$F$70</t>
  </si>
  <si>
    <t>='Product Information'!$B$71:$F$92</t>
  </si>
  <si>
    <t>='Product Information'!$B$93:$F$114</t>
  </si>
  <si>
    <t>='Production Data'!$B$5:$F$106</t>
  </si>
  <si>
    <t>='Production Data'!$B$14:$F$19</t>
  </si>
  <si>
    <t>='Production Data'!$B$20:$F$46</t>
  </si>
  <si>
    <t>='Production Data'!$B$47:$F$70</t>
  </si>
  <si>
    <t>='Production Data'!$B$71:$F$76</t>
  </si>
  <si>
    <t>='Production Data'!$B$77:$F$82</t>
  </si>
  <si>
    <t>='Production Data'!$B$83:$F$88</t>
  </si>
  <si>
    <t>='Production Data'!$B$89:$F$94</t>
  </si>
  <si>
    <t>='Production Data'!$B$95:$F$100</t>
  </si>
  <si>
    <t>='Production Data'!$B$101:$F$106</t>
  </si>
  <si>
    <t>='Production Data'!$B$107:$F$208</t>
  </si>
  <si>
    <t>='Production Data'!$B$116:$F$121</t>
  </si>
  <si>
    <t>='Production Data'!$B$122:$F$148</t>
  </si>
  <si>
    <t>='Production Data'!$B$149:$F$172</t>
  </si>
  <si>
    <t>='Production Data'!$B$173:$F$178</t>
  </si>
  <si>
    <t>='Production Data'!$B$179:$F$184</t>
  </si>
  <si>
    <t>='Production Data'!$B$185:$F$190</t>
  </si>
  <si>
    <t>='Production Data'!$B$191:$F$196</t>
  </si>
  <si>
    <t>='Production Data'!$B$197:$F$202</t>
  </si>
  <si>
    <t>='Production Data'!$B$203:$F$208</t>
  </si>
  <si>
    <t>='Production Data'!$B$209:$F$310</t>
  </si>
  <si>
    <t>='Production Data'!$B$218:$F$223</t>
  </si>
  <si>
    <t>='Production Data'!$B$224:$F$250</t>
  </si>
  <si>
    <t>='Production Data'!$B$251:$F$274</t>
  </si>
  <si>
    <t>='Production Data'!$B$275:$F$280</t>
  </si>
  <si>
    <t>='Production Data'!$B$281:$F$286</t>
  </si>
  <si>
    <t>='Production Data'!$B$287:$F$292</t>
  </si>
  <si>
    <t>='Production Data'!$B$293:$F$298</t>
  </si>
  <si>
    <t>='Production Data'!$B$299:$F$304</t>
  </si>
  <si>
    <t>='Production Data'!$B$305:$F$310</t>
  </si>
  <si>
    <t>='Production Data'!$B$311:$F$412</t>
  </si>
  <si>
    <t>='Production Data'!$B$320:$F$325</t>
  </si>
  <si>
    <t>='Production Data'!$B$326:$F$352</t>
  </si>
  <si>
    <t>='Production Data'!$B$353:$F$376</t>
  </si>
  <si>
    <t>='Production Data'!$B$377:$F$382</t>
  </si>
  <si>
    <t>='Production Data'!$B$383:$F$388</t>
  </si>
  <si>
    <t>='Production Data'!$B$389:$F$394</t>
  </si>
  <si>
    <t>='Production Data'!$B$395:$F$400</t>
  </si>
  <si>
    <t>='Production Data'!$B$401:$F$406</t>
  </si>
  <si>
    <t>='Production Data'!$B$407:$F$412</t>
  </si>
  <si>
    <t>='Production Data'!$B$413:$F$514</t>
  </si>
  <si>
    <t>='Production Data'!$B$422:$F$427</t>
  </si>
  <si>
    <t>='Production Data'!$B$428:$F$454</t>
  </si>
  <si>
    <t>='Production Data'!$B$455:$F$478</t>
  </si>
  <si>
    <t>='Production Data'!$B$479:$F$484</t>
  </si>
  <si>
    <t>='Production Data'!$B$485:$F$490</t>
  </si>
  <si>
    <t>='Production Data'!$B$491:$F$496</t>
  </si>
  <si>
    <t>='Production Data'!$B$497:$F$502</t>
  </si>
  <si>
    <t>='Production Data'!$B$503:$F$508</t>
  </si>
  <si>
    <t>='Production Data'!$B$509:$F$514</t>
  </si>
  <si>
    <t>='Electricity Data'!$B$8:$F$105</t>
  </si>
  <si>
    <t>='Electricity Data'!$B$13:$F$18</t>
  </si>
  <si>
    <t>='Electricity Data'!$B$19:$F$45</t>
  </si>
  <si>
    <t>='Electricity Data'!$B$46:$F$69</t>
  </si>
  <si>
    <t>='Electricity Data'!$B$70:$F$75</t>
  </si>
  <si>
    <t>='Electricity Data'!$B$76:$F$81</t>
  </si>
  <si>
    <t>='Electricity Data'!$B$82:$F$87</t>
  </si>
  <si>
    <t>='Electricity Data'!$B$88:$F$93</t>
  </si>
  <si>
    <t>='Electricity Data'!$B$94:$F$99</t>
  </si>
  <si>
    <t>='Electricity Data'!$B$100:$F$105</t>
  </si>
  <si>
    <t>='Electricity Data'!$B$106:$F$203</t>
  </si>
  <si>
    <t>='Electricity Data'!$B$111:$F$116</t>
  </si>
  <si>
    <t>='Electricity Data'!$B$117:$F$143</t>
  </si>
  <si>
    <t>='Electricity Data'!$B$144:$F$167</t>
  </si>
  <si>
    <t>='Electricity Data'!$B$168:$F$173</t>
  </si>
  <si>
    <t>='Electricity Data'!$B$174:$F$179</t>
  </si>
  <si>
    <t>='Electricity Data'!$B$180:$F$185</t>
  </si>
  <si>
    <t>='Electricity Data'!$B$186:$F$191</t>
  </si>
  <si>
    <t>='Electricity Data'!$B$192:$F$197</t>
  </si>
  <si>
    <t>='Electricity Data'!$B$198:$F$203</t>
  </si>
  <si>
    <t>='Electricity Data'!$B$204:$F$301</t>
  </si>
  <si>
    <t>='Electricity Data'!$B$209:$F$214</t>
  </si>
  <si>
    <t>='Electricity Data'!$B$215:$F$241</t>
  </si>
  <si>
    <t>='Electricity Data'!$B$242:$F$265</t>
  </si>
  <si>
    <t>='Electricity Data'!$B$266:$F$271</t>
  </si>
  <si>
    <t>='Electricity Data'!$B$272:$F$277</t>
  </si>
  <si>
    <t>='Electricity Data'!$B$278:$F$283</t>
  </si>
  <si>
    <t>='Electricity Data'!$B$284:$F$289</t>
  </si>
  <si>
    <t>='Electricity Data'!$B$290:$F$295</t>
  </si>
  <si>
    <t>='Electricity Data'!$B$296:$F$301</t>
  </si>
  <si>
    <t>='Electricity Data'!$B$302:$F$399</t>
  </si>
  <si>
    <t>='Electricity Data'!$B$307:$F$312</t>
  </si>
  <si>
    <t>='Electricity Data'!$B$313:$F$339</t>
  </si>
  <si>
    <t>='Electricity Data'!$B$340:$F$363</t>
  </si>
  <si>
    <t>='Electricity Data'!$B$364:$F$369</t>
  </si>
  <si>
    <t>='Electricity Data'!$B$370:$F$375</t>
  </si>
  <si>
    <t>='Electricity Data'!$B$376:$F$381</t>
  </si>
  <si>
    <t>='Electricity Data'!$B$382:$F$387</t>
  </si>
  <si>
    <t>='Electricity Data'!$B$388:$F$393</t>
  </si>
  <si>
    <t>='Electricity Data'!$B$394:$F$399</t>
  </si>
  <si>
    <t>='Electricity Data'!$B$400:$F$497</t>
  </si>
  <si>
    <t>='Electricity Data'!$B$405:$F$410</t>
  </si>
  <si>
    <t>='Electricity Data'!$B$411:$F$437</t>
  </si>
  <si>
    <t>='Electricity Data'!$B$438:$F$461</t>
  </si>
  <si>
    <t>='Electricity Data'!$B$462:$F$467</t>
  </si>
  <si>
    <t>='Electricity Data'!$B$468:$F$473</t>
  </si>
  <si>
    <t>='Electricity Data'!$B$474:$F$479</t>
  </si>
  <si>
    <t>='Electricity Data'!$B$480:$F$485</t>
  </si>
  <si>
    <t>='Electricity Data'!$B$486:$F$491</t>
  </si>
  <si>
    <t>='Electricity Data'!$B$492:$F$497</t>
  </si>
  <si>
    <t>='Gas-to-Power Data'!$B$7:$J$67</t>
  </si>
  <si>
    <t>='Gas-to-Power Data'!$D$18:$I$67</t>
  </si>
  <si>
    <t>='Drilling Data'!$B$5:$F$14</t>
  </si>
  <si>
    <t>='Drilling Data'!$B$10:$F$15</t>
  </si>
  <si>
    <t>=Compliance!$B$10:$F$29</t>
  </si>
  <si>
    <t>=Compliance!$B$15:$F$17</t>
  </si>
  <si>
    <t>=Compliance!$B$25:$F$26</t>
  </si>
  <si>
    <t>=Compliance!$B$30:$F$49</t>
  </si>
  <si>
    <t>=Compliance!$B$35:$F$37</t>
  </si>
  <si>
    <t>=Compliance!$B$45:$F$46</t>
  </si>
  <si>
    <t>=Compliance!$B$50:$F$69</t>
  </si>
  <si>
    <t>=Compliance!$B$55:$F$57</t>
  </si>
  <si>
    <t>=Compliance!$B$65:$F$66</t>
  </si>
  <si>
    <t>=Compliance!$B$70:$F$89</t>
  </si>
  <si>
    <t>=Compliance!$B$75:$F$77</t>
  </si>
  <si>
    <t>=Compliance!$B$85:$F$86</t>
  </si>
  <si>
    <t>=Compliance!$B$90:$F$109</t>
  </si>
  <si>
    <t>=Compliance!$B$95:$F$97</t>
  </si>
  <si>
    <t>=Compliance!$B$105:$F$106</t>
  </si>
  <si>
    <t>=Compliance!$B$110:$F$120</t>
  </si>
  <si>
    <t>=Compliance!$B$121:$F$127</t>
  </si>
  <si>
    <t>=Developer!$B$4:$I$1592</t>
  </si>
  <si>
    <t>=Developer!$E$4:$E$1592</t>
  </si>
  <si>
    <t>=Developer!$K$4:$L$135</t>
  </si>
  <si>
    <t>=Developer!$S$4:$T$215</t>
  </si>
  <si>
    <t>=Instructions!$B$1:$F$80</t>
  </si>
  <si>
    <t>=Instructions!$C$80</t>
  </si>
  <si>
    <t>=Instructions!$E$80</t>
  </si>
  <si>
    <t>='Facility Information'!$B$1:$G$539</t>
  </si>
  <si>
    <t>='Facility Information'!$C$533</t>
  </si>
  <si>
    <t>='Facility Information'!$C$537</t>
  </si>
  <si>
    <t>='Product Information'!$B$1:$F$121</t>
  </si>
  <si>
    <t>='Product Information'!$C$115</t>
  </si>
  <si>
    <t>='Product Information'!$C$119</t>
  </si>
  <si>
    <t>='Production Data'!$B$1:$F$521</t>
  </si>
  <si>
    <t>='Production Data'!$C$515</t>
  </si>
  <si>
    <t>='Production Data'!$C$519</t>
  </si>
  <si>
    <t>='Electricity Data'!$B$1:$F$504</t>
  </si>
  <si>
    <t>='Electricity Data'!$C$498</t>
  </si>
  <si>
    <t>='Electricity Data'!$C$502</t>
  </si>
  <si>
    <t>='Gas-to-Power Data'!$B$1:$J$75</t>
  </si>
  <si>
    <t>='Gas-to-Power Data'!$C$69</t>
  </si>
  <si>
    <t>='Gas-to-Power Data'!$C$73</t>
  </si>
  <si>
    <t>='Drilling Data'!$B$1:$F$22</t>
  </si>
  <si>
    <t>='Drilling Data'!$C$16</t>
  </si>
  <si>
    <t>='Drilling Data'!$C$20</t>
  </si>
  <si>
    <t>=Compliance!$B$1:$F$142</t>
  </si>
  <si>
    <t>=Compliance!$C$136</t>
  </si>
  <si>
    <t>=Compliance!$C$140</t>
  </si>
  <si>
    <t>=Declaration!$B$1:$G$38</t>
  </si>
  <si>
    <t>=Declaration!$C$31</t>
  </si>
  <si>
    <t>=Declaration!$C$33</t>
  </si>
  <si>
    <t>=Declaration!$C$36</t>
  </si>
  <si>
    <t>=Developer!$N$4:$Q$50</t>
  </si>
  <si>
    <t>R.Facility.IDNumberRowNumber</t>
  </si>
  <si>
    <t>='Facility Information'!$C$32:$C$531</t>
  </si>
  <si>
    <t>R.Gas.RowNumber</t>
  </si>
  <si>
    <t>='Gas-to-Power Data'!$C$18:$C$67</t>
  </si>
  <si>
    <t>=Developer!$P$36:$P$50</t>
  </si>
  <si>
    <t>Regulated emitter name</t>
  </si>
  <si>
    <t>=Appendix!$B$1:$F$38</t>
  </si>
  <si>
    <t>Emissions returns are due July 31 of the year following each compliance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</si>
</sst>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quot;Version: &quot;0#.00"/>
    <numFmt numFmtId="165" formatCode="&quot;Date: &quot;yyyy\-mm\-dd"/>
    <numFmt numFmtId="166" formatCode="yyyy\-mm\-dd;@"/>
    <numFmt numFmtId="167" formatCode="yyyy\-mm\-dd\ hh:mm:ss\ AM/PM"/>
    <numFmt numFmtId="168" formatCode="#,##0.0000"/>
    <numFmt numFmtId="169" formatCode="&quot;Date: &quot;yyyy/mm/dd"/>
    <numFmt numFmtId="170" formatCode="#,##0.000000000000000"/>
    <numFmt numFmtId="171" formatCode="0.0000"/>
  </numFmts>
  <fonts count="16" x14ac:knownFonts="1">
    <font>
      <sz val="11"/>
      <color theme="1"/>
      <name val="Calibri"/>
      <family val="2"/>
      <scheme val="minor"/>
    </font>
    <font>
      <sz val="11"/>
      <color rgb="FF000000"/>
      <name val="Aptos Narrow"/>
      <family val="2"/>
    </font>
    <font>
      <b/>
      <sz val="11"/>
      <color rgb="FF000000"/>
      <name val="Aptos Narrow"/>
      <family val="2"/>
    </font>
    <font>
      <b/>
      <sz val="18"/>
      <color rgb="FFFFFFFF"/>
      <name val="Aptos Narrow"/>
      <family val="2"/>
    </font>
    <font>
      <b/>
      <u/>
      <sz val="11"/>
      <color rgb="FF000000"/>
      <name val="Aptos Narrow"/>
      <family val="2"/>
    </font>
    <font>
      <i/>
      <sz val="11"/>
      <color rgb="FF000000"/>
      <name val="Aptos Narrow"/>
      <family val="2"/>
    </font>
    <font>
      <sz val="9"/>
      <color rgb="FF000000"/>
      <name val="Aptos Narrow"/>
      <family val="2"/>
    </font>
    <font>
      <b/>
      <sz val="11"/>
      <color rgb="FFFF0000"/>
      <name val="Aptos Narrow"/>
      <family val="2"/>
    </font>
    <font>
      <vertAlign val="subscript"/>
      <sz val="11"/>
      <color rgb="FF000000"/>
      <name val="Aptos Narrow"/>
      <family val="2"/>
    </font>
    <font>
      <b/>
      <sz val="14"/>
      <color rgb="FF000000"/>
      <name val="Aptos Narrow"/>
      <family val="2"/>
    </font>
    <font>
      <b/>
      <vertAlign val="subscript"/>
      <sz val="11"/>
      <color rgb="FF000000"/>
      <name val="Aptos Narrow"/>
      <family val="2"/>
    </font>
    <font>
      <b/>
      <i/>
      <sz val="18"/>
      <color rgb="FFFFFFFF"/>
      <name val="Aptos Narrow"/>
      <family val="2"/>
    </font>
    <font>
      <sz val="11"/>
      <color theme="1"/>
      <name val="Aptos Narrow"/>
      <family val="2"/>
    </font>
    <font>
      <i/>
      <sz val="11"/>
      <color theme="1"/>
      <name val="Aptos Narrow"/>
      <family val="2"/>
    </font>
    <font>
      <b/>
      <sz val="11"/>
      <color theme="0"/>
      <name val="Aptos Narrow"/>
      <family val="2"/>
    </font>
    <font>
      <sz val="8"/>
      <name val="Calibri"/>
      <family val="2"/>
      <scheme val="minor"/>
    </font>
  </fonts>
  <fills count="8">
    <fill>
      <patternFill patternType="none"/>
    </fill>
    <fill>
      <patternFill patternType="gray125"/>
    </fill>
    <fill>
      <patternFill patternType="solid">
        <fgColor rgb="FFE6F0EB"/>
        <bgColor indexed="64"/>
      </patternFill>
    </fill>
    <fill>
      <patternFill patternType="solid">
        <fgColor rgb="FF046A38"/>
        <bgColor indexed="64"/>
      </patternFill>
    </fill>
    <fill>
      <patternFill patternType="solid">
        <fgColor rgb="FFFFFFFF"/>
        <bgColor indexed="64"/>
      </patternFill>
    </fill>
    <fill>
      <patternFill patternType="solid">
        <fgColor rgb="FFA7CBB9"/>
        <bgColor indexed="64"/>
      </patternFill>
    </fill>
    <fill>
      <patternFill patternType="solid">
        <fgColor rgb="FFFBDD40"/>
        <bgColor indexed="64"/>
      </patternFill>
    </fill>
    <fill>
      <patternFill patternType="solid">
        <fgColor rgb="FF2C3136"/>
        <bgColor indexed="64"/>
      </patternFill>
    </fill>
  </fills>
  <borders count="33">
    <border>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dashed">
        <color indexed="64"/>
      </left>
      <right/>
      <top style="dashed">
        <color indexed="64"/>
      </top>
      <bottom/>
      <diagonal/>
    </border>
    <border>
      <left style="dashed">
        <color indexed="64"/>
      </left>
      <right/>
      <top/>
      <bottom/>
      <diagonal/>
    </border>
    <border>
      <left/>
      <right style="dashed">
        <color indexed="64"/>
      </right>
      <top style="dashed">
        <color indexed="64"/>
      </top>
      <bottom/>
      <diagonal/>
    </border>
    <border>
      <left/>
      <right style="dashed">
        <color indexed="64"/>
      </right>
      <top/>
      <bottom/>
      <diagonal/>
    </border>
    <border>
      <left style="dashed">
        <color indexed="64"/>
      </left>
      <right/>
      <top/>
      <bottom style="thin">
        <color indexed="64"/>
      </bottom>
      <diagonal/>
    </border>
    <border>
      <left/>
      <right style="dashed">
        <color indexed="64"/>
      </right>
      <top/>
      <bottom style="thin">
        <color indexed="64"/>
      </bottom>
      <diagonal/>
    </border>
  </borders>
  <cellStyleXfs count="1">
    <xf numFmtId="0" fontId="0" fillId="0" borderId="0"/>
  </cellStyleXfs>
  <cellXfs count="152">
    <xf numFmtId="0" fontId="0" fillId="0" borderId="0" xfId="0"/>
    <xf numFmtId="0" fontId="1" fillId="2" borderId="1" xfId="0" applyFont="1" applyFill="1" applyBorder="1"/>
    <xf numFmtId="0" fontId="1" fillId="2" borderId="2" xfId="0" applyFont="1" applyFill="1" applyBorder="1"/>
    <xf numFmtId="0" fontId="1" fillId="2" borderId="3" xfId="0" applyFont="1" applyFill="1" applyBorder="1"/>
    <xf numFmtId="0" fontId="1" fillId="2" borderId="4" xfId="0" applyFont="1" applyFill="1" applyBorder="1"/>
    <xf numFmtId="0" fontId="1" fillId="2" borderId="5" xfId="0" applyFont="1" applyFill="1" applyBorder="1"/>
    <xf numFmtId="0" fontId="1" fillId="3" borderId="6" xfId="0" applyFont="1" applyFill="1" applyBorder="1"/>
    <xf numFmtId="0" fontId="1" fillId="3" borderId="8" xfId="0" applyFont="1" applyFill="1" applyBorder="1"/>
    <xf numFmtId="164" fontId="6" fillId="2" borderId="4" xfId="0" applyNumberFormat="1" applyFont="1" applyFill="1" applyBorder="1" applyAlignment="1">
      <alignment horizontal="left" vertical="top"/>
    </xf>
    <xf numFmtId="165" fontId="6" fillId="2" borderId="4" xfId="0" applyNumberFormat="1" applyFont="1" applyFill="1" applyBorder="1" applyAlignment="1">
      <alignment horizontal="right" vertical="top"/>
    </xf>
    <xf numFmtId="49" fontId="1" fillId="4" borderId="9" xfId="0" applyNumberFormat="1" applyFont="1" applyFill="1" applyBorder="1" applyAlignment="1" applyProtection="1">
      <alignment horizontal="left" vertical="top" wrapText="1"/>
      <protection locked="0"/>
    </xf>
    <xf numFmtId="166" fontId="1" fillId="4" borderId="9" xfId="0" applyNumberFormat="1" applyFont="1" applyFill="1" applyBorder="1" applyAlignment="1" applyProtection="1">
      <alignment horizontal="left" vertical="top" wrapText="1"/>
      <protection locked="0"/>
    </xf>
    <xf numFmtId="0" fontId="1" fillId="6" borderId="10" xfId="0" applyFont="1" applyFill="1" applyBorder="1"/>
    <xf numFmtId="0" fontId="1" fillId="6" borderId="12" xfId="0" applyFont="1" applyFill="1" applyBorder="1"/>
    <xf numFmtId="49" fontId="1" fillId="5" borderId="9" xfId="0" applyNumberFormat="1" applyFont="1" applyFill="1" applyBorder="1" applyAlignment="1">
      <alignment horizontal="left" vertical="top" wrapText="1"/>
    </xf>
    <xf numFmtId="0" fontId="1" fillId="3" borderId="10" xfId="0" applyFont="1" applyFill="1" applyBorder="1"/>
    <xf numFmtId="0" fontId="1" fillId="3" borderId="12" xfId="0" applyFont="1" applyFill="1" applyBorder="1"/>
    <xf numFmtId="0" fontId="1" fillId="3" borderId="1" xfId="0" applyFont="1" applyFill="1" applyBorder="1"/>
    <xf numFmtId="0" fontId="1" fillId="3" borderId="2" xfId="0" applyFont="1" applyFill="1" applyBorder="1"/>
    <xf numFmtId="0" fontId="1" fillId="2" borderId="1" xfId="0" applyFont="1" applyFill="1" applyBorder="1" applyAlignment="1">
      <alignment horizontal="center"/>
    </xf>
    <xf numFmtId="168" fontId="1" fillId="4" borderId="9" xfId="0" applyNumberFormat="1" applyFont="1" applyFill="1" applyBorder="1" applyAlignment="1" applyProtection="1">
      <alignment horizontal="left" vertical="top" wrapText="1"/>
      <protection locked="0"/>
    </xf>
    <xf numFmtId="1" fontId="1" fillId="4" borderId="9" xfId="0" applyNumberFormat="1" applyFont="1" applyFill="1" applyBorder="1" applyAlignment="1" applyProtection="1">
      <alignment horizontal="right" vertical="top" wrapText="1"/>
      <protection locked="0"/>
    </xf>
    <xf numFmtId="170" fontId="1" fillId="4" borderId="9" xfId="0" applyNumberFormat="1" applyFont="1" applyFill="1" applyBorder="1" applyAlignment="1" applyProtection="1">
      <alignment horizontal="right" vertical="top" wrapText="1"/>
      <protection locked="0"/>
    </xf>
    <xf numFmtId="166" fontId="12" fillId="0" borderId="13" xfId="0" applyNumberFormat="1" applyFont="1" applyBorder="1" applyAlignment="1" applyProtection="1">
      <alignment horizontal="left" vertical="top"/>
      <protection locked="0"/>
    </xf>
    <xf numFmtId="0" fontId="12" fillId="0" borderId="0" xfId="0" applyFont="1" applyAlignment="1">
      <alignment horizontal="center"/>
    </xf>
    <xf numFmtId="0" fontId="12" fillId="0" borderId="0" xfId="0" applyFont="1" applyAlignment="1">
      <alignment horizontal="left"/>
    </xf>
    <xf numFmtId="0" fontId="12" fillId="0" borderId="0" xfId="0" applyFont="1"/>
    <xf numFmtId="0" fontId="13" fillId="0" borderId="0" xfId="0" applyFont="1" applyAlignment="1">
      <alignment horizontal="left" vertical="top"/>
    </xf>
    <xf numFmtId="0" fontId="12" fillId="0" borderId="0" xfId="0" applyFont="1" applyAlignment="1">
      <alignment horizontal="left" vertical="top"/>
    </xf>
    <xf numFmtId="0" fontId="14" fillId="7" borderId="17" xfId="0" applyFont="1" applyFill="1" applyBorder="1" applyAlignment="1">
      <alignment horizontal="left" vertical="top"/>
    </xf>
    <xf numFmtId="0" fontId="14" fillId="7" borderId="18" xfId="0" applyFont="1" applyFill="1" applyBorder="1" applyAlignment="1">
      <alignment horizontal="left" vertical="top"/>
    </xf>
    <xf numFmtId="0" fontId="14" fillId="7" borderId="20" xfId="0" applyFont="1" applyFill="1" applyBorder="1" applyAlignment="1">
      <alignment horizontal="left" vertical="top"/>
    </xf>
    <xf numFmtId="0" fontId="14" fillId="7" borderId="0" xfId="0" applyFont="1" applyFill="1" applyAlignment="1">
      <alignment horizontal="left" vertical="top"/>
    </xf>
    <xf numFmtId="0" fontId="14" fillId="7" borderId="19" xfId="0" applyFont="1" applyFill="1" applyBorder="1" applyAlignment="1">
      <alignment horizontal="left" vertical="top"/>
    </xf>
    <xf numFmtId="0" fontId="12" fillId="0" borderId="20" xfId="0" applyFont="1" applyBorder="1" applyAlignment="1">
      <alignment horizontal="left" vertical="top"/>
    </xf>
    <xf numFmtId="0" fontId="12" fillId="0" borderId="26" xfId="0" applyFont="1" applyBorder="1" applyAlignment="1">
      <alignment horizontal="left" vertical="top"/>
    </xf>
    <xf numFmtId="49" fontId="12" fillId="0" borderId="26" xfId="0" applyNumberFormat="1" applyFont="1" applyBorder="1" applyAlignment="1">
      <alignment horizontal="left" vertical="top"/>
    </xf>
    <xf numFmtId="0" fontId="12" fillId="0" borderId="21" xfId="0" applyFont="1" applyBorder="1" applyAlignment="1">
      <alignment horizontal="left" vertical="top" wrapText="1"/>
    </xf>
    <xf numFmtId="0" fontId="12" fillId="0" borderId="19" xfId="0" applyFont="1" applyBorder="1" applyAlignment="1">
      <alignment horizontal="left" vertical="top"/>
    </xf>
    <xf numFmtId="49" fontId="12" fillId="0" borderId="18" xfId="0" applyNumberFormat="1" applyFont="1" applyBorder="1" applyAlignment="1">
      <alignment horizontal="left" vertical="top"/>
    </xf>
    <xf numFmtId="0" fontId="12" fillId="0" borderId="26" xfId="0" applyFont="1" applyBorder="1" applyAlignment="1">
      <alignment horizontal="left" vertical="top" wrapText="1"/>
    </xf>
    <xf numFmtId="0" fontId="12" fillId="0" borderId="21" xfId="0" applyFont="1" applyBorder="1" applyAlignment="1">
      <alignment horizontal="left" vertical="top"/>
    </xf>
    <xf numFmtId="0" fontId="12" fillId="0" borderId="20" xfId="0" applyFont="1" applyBorder="1"/>
    <xf numFmtId="0" fontId="12" fillId="0" borderId="21" xfId="0" applyFont="1" applyBorder="1"/>
    <xf numFmtId="0" fontId="12" fillId="0" borderId="22" xfId="0" applyFont="1" applyBorder="1" applyAlignment="1">
      <alignment horizontal="left" vertical="top"/>
    </xf>
    <xf numFmtId="49" fontId="12" fillId="0" borderId="0" xfId="0" applyNumberFormat="1" applyFont="1" applyAlignment="1">
      <alignment horizontal="left" vertical="top"/>
    </xf>
    <xf numFmtId="0" fontId="12" fillId="0" borderId="23" xfId="0" applyFont="1" applyBorder="1" applyAlignment="1">
      <alignment horizontal="left" vertical="top" wrapText="1"/>
    </xf>
    <xf numFmtId="49" fontId="12" fillId="0" borderId="23" xfId="0" applyNumberFormat="1" applyFont="1" applyBorder="1" applyAlignment="1">
      <alignment horizontal="left" vertical="top"/>
    </xf>
    <xf numFmtId="164" fontId="12" fillId="0" borderId="0" xfId="0" applyNumberFormat="1" applyFont="1" applyAlignment="1">
      <alignment horizontal="left" vertical="top" wrapText="1"/>
    </xf>
    <xf numFmtId="164" fontId="12" fillId="0" borderId="23" xfId="0" applyNumberFormat="1" applyFont="1" applyBorder="1" applyAlignment="1">
      <alignment horizontal="left" vertical="top"/>
    </xf>
    <xf numFmtId="0" fontId="12" fillId="0" borderId="22" xfId="0" applyFont="1" applyBorder="1"/>
    <xf numFmtId="0" fontId="12" fillId="0" borderId="23" xfId="0" applyFont="1" applyBorder="1"/>
    <xf numFmtId="1" fontId="12" fillId="0" borderId="0" xfId="0" applyNumberFormat="1" applyFont="1" applyAlignment="1">
      <alignment horizontal="left" vertical="top"/>
    </xf>
    <xf numFmtId="0" fontId="12" fillId="0" borderId="24" xfId="0" applyFont="1" applyBorder="1" applyAlignment="1">
      <alignment horizontal="left" vertical="top"/>
    </xf>
    <xf numFmtId="49" fontId="12" fillId="0" borderId="13" xfId="0" applyNumberFormat="1" applyFont="1" applyBorder="1" applyAlignment="1">
      <alignment horizontal="left" vertical="top"/>
    </xf>
    <xf numFmtId="169" fontId="12" fillId="0" borderId="13" xfId="0" applyNumberFormat="1" applyFont="1" applyBorder="1" applyAlignment="1">
      <alignment horizontal="left" vertical="top" wrapText="1"/>
    </xf>
    <xf numFmtId="169" fontId="12" fillId="0" borderId="25" xfId="0" applyNumberFormat="1" applyFont="1" applyBorder="1" applyAlignment="1">
      <alignment horizontal="left" vertical="top"/>
    </xf>
    <xf numFmtId="0" fontId="12" fillId="0" borderId="0" xfId="0" applyFont="1" applyAlignment="1">
      <alignment horizontal="left" vertical="top" wrapText="1"/>
    </xf>
    <xf numFmtId="0" fontId="12" fillId="0" borderId="23" xfId="0" applyFont="1" applyBorder="1" applyAlignment="1">
      <alignment horizontal="left" vertical="top"/>
    </xf>
    <xf numFmtId="169" fontId="12" fillId="0" borderId="0" xfId="0" applyNumberFormat="1" applyFont="1" applyAlignment="1">
      <alignment horizontal="left" vertical="top" wrapText="1"/>
    </xf>
    <xf numFmtId="169" fontId="12" fillId="0" borderId="23" xfId="0" applyNumberFormat="1" applyFont="1" applyBorder="1" applyAlignment="1">
      <alignment horizontal="left" vertical="top"/>
    </xf>
    <xf numFmtId="49" fontId="12" fillId="0" borderId="25" xfId="0" applyNumberFormat="1" applyFont="1" applyBorder="1" applyAlignment="1">
      <alignment horizontal="left" vertical="top"/>
    </xf>
    <xf numFmtId="0" fontId="12" fillId="0" borderId="13" xfId="0" applyFont="1" applyBorder="1" applyAlignment="1">
      <alignment horizontal="left" vertical="top" wrapText="1"/>
    </xf>
    <xf numFmtId="0" fontId="12" fillId="0" borderId="25" xfId="0" applyFont="1" applyBorder="1" applyAlignment="1">
      <alignment horizontal="left" vertical="top"/>
    </xf>
    <xf numFmtId="169" fontId="12" fillId="0" borderId="26" xfId="0" applyNumberFormat="1" applyFont="1" applyBorder="1" applyAlignment="1">
      <alignment horizontal="left" vertical="top" wrapText="1"/>
    </xf>
    <xf numFmtId="169" fontId="12" fillId="0" borderId="21" xfId="0" applyNumberFormat="1" applyFont="1" applyBorder="1" applyAlignment="1">
      <alignment horizontal="left" vertical="top"/>
    </xf>
    <xf numFmtId="0" fontId="12" fillId="0" borderId="13" xfId="0" applyFont="1" applyBorder="1" applyAlignment="1">
      <alignment horizontal="left" vertical="top"/>
    </xf>
    <xf numFmtId="1" fontId="12" fillId="0" borderId="13" xfId="0" applyNumberFormat="1" applyFont="1" applyBorder="1" applyAlignment="1">
      <alignment horizontal="left" vertical="top"/>
    </xf>
    <xf numFmtId="0" fontId="12" fillId="0" borderId="25" xfId="0" applyFont="1" applyBorder="1" applyAlignment="1">
      <alignment horizontal="left" vertical="top" wrapText="1"/>
    </xf>
    <xf numFmtId="49" fontId="12" fillId="0" borderId="17" xfId="0" applyNumberFormat="1" applyFont="1" applyBorder="1" applyAlignment="1">
      <alignment horizontal="left" vertical="top"/>
    </xf>
    <xf numFmtId="0" fontId="12" fillId="0" borderId="17" xfId="0" applyFont="1" applyBorder="1" applyAlignment="1">
      <alignment horizontal="left" vertical="top" wrapText="1"/>
    </xf>
    <xf numFmtId="0" fontId="12" fillId="0" borderId="18" xfId="0" applyFont="1" applyBorder="1" applyAlignment="1">
      <alignment horizontal="left" vertical="top" wrapText="1"/>
    </xf>
    <xf numFmtId="49" fontId="12" fillId="0" borderId="26" xfId="0" applyNumberFormat="1" applyFont="1" applyBorder="1"/>
    <xf numFmtId="0" fontId="12" fillId="0" borderId="26" xfId="0" applyFont="1" applyBorder="1" applyAlignment="1">
      <alignment wrapText="1"/>
    </xf>
    <xf numFmtId="49" fontId="12" fillId="0" borderId="0" xfId="0" applyNumberFormat="1" applyFont="1"/>
    <xf numFmtId="0" fontId="12" fillId="0" borderId="24" xfId="0" applyFont="1" applyBorder="1"/>
    <xf numFmtId="0" fontId="12" fillId="0" borderId="25" xfId="0" applyFont="1" applyBorder="1"/>
    <xf numFmtId="49" fontId="12" fillId="0" borderId="13" xfId="0" applyNumberFormat="1" applyFont="1" applyBorder="1"/>
    <xf numFmtId="0" fontId="12" fillId="0" borderId="20" xfId="0" applyFont="1" applyBorder="1" applyAlignment="1">
      <alignment horizontal="left" vertical="top" wrapText="1"/>
    </xf>
    <xf numFmtId="171" fontId="12" fillId="0" borderId="21" xfId="0" applyNumberFormat="1" applyFont="1" applyBorder="1"/>
    <xf numFmtId="0" fontId="12" fillId="0" borderId="22" xfId="0" applyFont="1" applyBorder="1" applyAlignment="1">
      <alignment horizontal="left" vertical="top" wrapText="1"/>
    </xf>
    <xf numFmtId="171" fontId="12" fillId="0" borderId="23" xfId="0" applyNumberFormat="1" applyFont="1" applyBorder="1"/>
    <xf numFmtId="0" fontId="12" fillId="0" borderId="0" xfId="0" applyFont="1" applyAlignment="1">
      <alignment wrapText="1"/>
    </xf>
    <xf numFmtId="0" fontId="12" fillId="0" borderId="24" xfId="0" applyFont="1" applyBorder="1" applyAlignment="1">
      <alignment horizontal="left" vertical="top" wrapText="1"/>
    </xf>
    <xf numFmtId="171" fontId="12" fillId="0" borderId="25" xfId="0" applyNumberFormat="1" applyFont="1" applyBorder="1"/>
    <xf numFmtId="49" fontId="12" fillId="0" borderId="21" xfId="0" applyNumberFormat="1" applyFont="1" applyBorder="1" applyAlignment="1">
      <alignment horizontal="left" vertical="top"/>
    </xf>
    <xf numFmtId="0" fontId="12" fillId="0" borderId="17" xfId="0" applyFont="1" applyBorder="1" applyAlignment="1">
      <alignment horizontal="left" vertical="top"/>
    </xf>
    <xf numFmtId="168" fontId="12" fillId="0" borderId="0" xfId="0" applyNumberFormat="1" applyFont="1" applyAlignment="1">
      <alignment horizontal="left" vertical="top"/>
    </xf>
    <xf numFmtId="168" fontId="12" fillId="0" borderId="13" xfId="0" applyNumberFormat="1" applyFont="1" applyBorder="1" applyAlignment="1">
      <alignment horizontal="left" vertical="top"/>
    </xf>
    <xf numFmtId="1" fontId="12" fillId="0" borderId="17" xfId="0" applyNumberFormat="1" applyFont="1" applyBorder="1" applyAlignment="1">
      <alignment horizontal="left" vertical="top"/>
    </xf>
    <xf numFmtId="168" fontId="12" fillId="0" borderId="17" xfId="0" applyNumberFormat="1" applyFont="1" applyBorder="1" applyAlignment="1">
      <alignment horizontal="left" vertical="top"/>
    </xf>
    <xf numFmtId="170" fontId="12" fillId="0" borderId="13" xfId="0" applyNumberFormat="1" applyFont="1" applyBorder="1" applyAlignment="1">
      <alignment horizontal="left" vertical="top"/>
    </xf>
    <xf numFmtId="1" fontId="12" fillId="0" borderId="26" xfId="0" applyNumberFormat="1" applyFont="1" applyBorder="1" applyAlignment="1">
      <alignment horizontal="left" vertical="top"/>
    </xf>
    <xf numFmtId="166" fontId="12" fillId="0" borderId="13" xfId="0" applyNumberFormat="1" applyFont="1" applyBorder="1" applyAlignment="1">
      <alignment horizontal="left" vertical="top"/>
    </xf>
    <xf numFmtId="0" fontId="12" fillId="0" borderId="13" xfId="0" applyFont="1" applyBorder="1"/>
    <xf numFmtId="0" fontId="12" fillId="0" borderId="19" xfId="0" applyFont="1" applyBorder="1"/>
    <xf numFmtId="170" fontId="12" fillId="0" borderId="0" xfId="0" applyNumberFormat="1" applyFont="1" applyAlignment="1">
      <alignment horizontal="left" vertical="top"/>
    </xf>
    <xf numFmtId="0" fontId="12" fillId="0" borderId="0" xfId="0" applyFont="1" applyAlignment="1" applyProtection="1">
      <alignment horizontal="left" vertical="top"/>
      <protection locked="0"/>
    </xf>
    <xf numFmtId="0" fontId="12" fillId="0" borderId="13" xfId="0" applyFont="1" applyBorder="1" applyAlignment="1" applyProtection="1">
      <alignment horizontal="left" vertical="top"/>
      <protection locked="0"/>
    </xf>
    <xf numFmtId="0" fontId="12" fillId="0" borderId="0" xfId="0" applyFont="1" applyProtection="1">
      <protection locked="0"/>
    </xf>
    <xf numFmtId="0" fontId="12" fillId="0" borderId="13" xfId="0" applyFont="1" applyBorder="1" applyProtection="1">
      <protection locked="0"/>
    </xf>
    <xf numFmtId="0" fontId="1" fillId="2" borderId="0" xfId="0" applyFont="1" applyFill="1"/>
    <xf numFmtId="0" fontId="1" fillId="5" borderId="9" xfId="0" applyFont="1" applyFill="1" applyBorder="1" applyAlignment="1">
      <alignment horizontal="left" vertical="top" wrapText="1"/>
    </xf>
    <xf numFmtId="0" fontId="2" fillId="5" borderId="9" xfId="0" applyFont="1" applyFill="1" applyBorder="1" applyAlignment="1">
      <alignment horizontal="left" vertical="top" wrapText="1"/>
    </xf>
    <xf numFmtId="0" fontId="2" fillId="5" borderId="6" xfId="0" applyFont="1" applyFill="1" applyBorder="1" applyAlignment="1">
      <alignment horizontal="left" vertical="top" wrapText="1"/>
    </xf>
    <xf numFmtId="0" fontId="1" fillId="5" borderId="6" xfId="0" applyFont="1" applyFill="1" applyBorder="1" applyAlignment="1">
      <alignment horizontal="left" vertical="top" wrapText="1"/>
    </xf>
    <xf numFmtId="168" fontId="1" fillId="5" borderId="9" xfId="0" applyNumberFormat="1" applyFont="1" applyFill="1" applyBorder="1" applyAlignment="1">
      <alignment horizontal="right" vertical="top" wrapText="1"/>
    </xf>
    <xf numFmtId="0" fontId="2" fillId="5" borderId="6" xfId="0" applyFont="1" applyFill="1" applyBorder="1" applyAlignment="1">
      <alignment horizontal="right" vertical="top" wrapText="1"/>
    </xf>
    <xf numFmtId="168" fontId="1" fillId="5" borderId="6" xfId="0" applyNumberFormat="1" applyFont="1" applyFill="1" applyBorder="1" applyAlignment="1">
      <alignment horizontal="right" vertical="top" wrapText="1"/>
    </xf>
    <xf numFmtId="170" fontId="1" fillId="5" borderId="9" xfId="0" applyNumberFormat="1" applyFont="1" applyFill="1" applyBorder="1" applyAlignment="1">
      <alignment horizontal="right" vertical="top" wrapText="1"/>
    </xf>
    <xf numFmtId="0" fontId="1" fillId="5" borderId="9" xfId="0" applyFont="1" applyFill="1" applyBorder="1" applyAlignment="1">
      <alignment horizontal="left" wrapText="1"/>
    </xf>
    <xf numFmtId="1" fontId="1" fillId="5" borderId="9" xfId="0" applyNumberFormat="1" applyFont="1" applyFill="1" applyBorder="1" applyAlignment="1">
      <alignment horizontal="right" vertical="top" wrapText="1"/>
    </xf>
    <xf numFmtId="3" fontId="1" fillId="5" borderId="6" xfId="0" applyNumberFormat="1" applyFont="1" applyFill="1" applyBorder="1" applyAlignment="1">
      <alignment horizontal="right" vertical="top" wrapText="1"/>
    </xf>
    <xf numFmtId="167" fontId="6" fillId="2" borderId="0" xfId="0" applyNumberFormat="1" applyFont="1" applyFill="1" applyAlignment="1">
      <alignment horizontal="left"/>
    </xf>
    <xf numFmtId="0" fontId="2" fillId="5" borderId="6" xfId="0" applyFont="1" applyFill="1" applyBorder="1" applyAlignment="1">
      <alignment horizontal="center" vertical="top" wrapText="1"/>
    </xf>
    <xf numFmtId="0" fontId="1" fillId="5" borderId="6" xfId="0" applyFont="1" applyFill="1" applyBorder="1" applyAlignment="1">
      <alignment horizontal="center" vertical="top" wrapText="1"/>
    </xf>
    <xf numFmtId="0" fontId="2" fillId="5" borderId="3" xfId="0" applyFont="1" applyFill="1" applyBorder="1" applyAlignment="1">
      <alignment horizontal="right" vertical="top" wrapText="1"/>
    </xf>
    <xf numFmtId="0" fontId="2" fillId="5" borderId="3" xfId="0" applyFont="1" applyFill="1" applyBorder="1" applyAlignment="1">
      <alignment horizontal="right" wrapText="1"/>
    </xf>
    <xf numFmtId="0" fontId="2" fillId="5" borderId="16" xfId="0" applyFont="1" applyFill="1" applyBorder="1" applyAlignment="1">
      <alignment horizontal="right" wrapText="1"/>
    </xf>
    <xf numFmtId="0" fontId="3" fillId="3" borderId="11" xfId="0" applyFont="1" applyFill="1" applyBorder="1" applyAlignment="1">
      <alignment horizontal="center" vertical="top" wrapText="1"/>
    </xf>
    <xf numFmtId="0" fontId="3" fillId="3" borderId="0" xfId="0" applyFont="1" applyFill="1" applyAlignment="1">
      <alignment horizontal="center" vertical="top" wrapText="1"/>
    </xf>
    <xf numFmtId="0" fontId="9" fillId="6" borderId="11" xfId="0" applyFont="1" applyFill="1" applyBorder="1" applyAlignment="1">
      <alignment horizontal="center" vertical="top"/>
    </xf>
    <xf numFmtId="0" fontId="1" fillId="2" borderId="0" xfId="0" applyFont="1" applyFill="1" applyAlignment="1">
      <alignment horizontal="left" vertical="top" wrapText="1"/>
    </xf>
    <xf numFmtId="0" fontId="2" fillId="2" borderId="0" xfId="0" applyFont="1" applyFill="1" applyAlignment="1">
      <alignment horizontal="left" vertical="top" wrapText="1"/>
    </xf>
    <xf numFmtId="0" fontId="1" fillId="2" borderId="4" xfId="0" applyFont="1" applyFill="1" applyBorder="1" applyAlignment="1">
      <alignment horizontal="left" vertical="top" wrapText="1"/>
    </xf>
    <xf numFmtId="167" fontId="6" fillId="2" borderId="0" xfId="0" applyNumberFormat="1" applyFont="1" applyFill="1" applyAlignment="1">
      <alignment horizontal="left"/>
    </xf>
    <xf numFmtId="164" fontId="6" fillId="2" borderId="4" xfId="0" applyNumberFormat="1" applyFont="1" applyFill="1" applyBorder="1" applyAlignment="1">
      <alignment horizontal="left" vertical="top"/>
    </xf>
    <xf numFmtId="0" fontId="7" fillId="0" borderId="0" xfId="0" applyFont="1" applyAlignment="1">
      <alignment horizontal="center" vertical="top" wrapText="1"/>
    </xf>
    <xf numFmtId="1" fontId="1" fillId="5" borderId="6" xfId="0" applyNumberFormat="1" applyFont="1" applyFill="1" applyBorder="1" applyAlignment="1">
      <alignment horizontal="left" vertical="top" wrapText="1"/>
    </xf>
    <xf numFmtId="1" fontId="1" fillId="5" borderId="8" xfId="0" applyNumberFormat="1" applyFont="1" applyFill="1" applyBorder="1" applyAlignment="1">
      <alignment horizontal="left" vertical="top" wrapText="1"/>
    </xf>
    <xf numFmtId="49" fontId="1" fillId="5" borderId="6"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0" fontId="3" fillId="3" borderId="7" xfId="0" applyFont="1" applyFill="1" applyBorder="1" applyAlignment="1">
      <alignment horizontal="center" vertical="top" wrapText="1"/>
    </xf>
    <xf numFmtId="49" fontId="1" fillId="4" borderId="6" xfId="0" applyNumberFormat="1" applyFont="1" applyFill="1" applyBorder="1" applyAlignment="1" applyProtection="1">
      <alignment horizontal="left" vertical="top" wrapText="1"/>
      <protection locked="0"/>
    </xf>
    <xf numFmtId="49" fontId="1" fillId="4" borderId="8" xfId="0" applyNumberFormat="1" applyFont="1" applyFill="1" applyBorder="1" applyAlignment="1" applyProtection="1">
      <alignment horizontal="left" vertical="top" wrapText="1"/>
      <protection locked="0"/>
    </xf>
    <xf numFmtId="1" fontId="1" fillId="4" borderId="6" xfId="0" applyNumberFormat="1" applyFont="1" applyFill="1" applyBorder="1" applyAlignment="1" applyProtection="1">
      <alignment horizontal="left" vertical="top" wrapText="1"/>
      <protection locked="0"/>
    </xf>
    <xf numFmtId="1" fontId="1" fillId="4" borderId="8" xfId="0" applyNumberFormat="1" applyFont="1" applyFill="1" applyBorder="1" applyAlignment="1" applyProtection="1">
      <alignment horizontal="left" vertical="top" wrapText="1"/>
      <protection locked="0"/>
    </xf>
    <xf numFmtId="0" fontId="1" fillId="5" borderId="6" xfId="0" applyFont="1" applyFill="1" applyBorder="1" applyAlignment="1">
      <alignment horizontal="left" vertical="top" wrapText="1"/>
    </xf>
    <xf numFmtId="0" fontId="1" fillId="5" borderId="8" xfId="0" applyFont="1" applyFill="1" applyBorder="1" applyAlignment="1">
      <alignment horizontal="left" vertical="top" wrapText="1"/>
    </xf>
    <xf numFmtId="0" fontId="2" fillId="5" borderId="14" xfId="0" applyFont="1" applyFill="1" applyBorder="1" applyAlignment="1">
      <alignment horizontal="center" vertical="top" wrapText="1"/>
    </xf>
    <xf numFmtId="0" fontId="2" fillId="5" borderId="15" xfId="0" applyFont="1" applyFill="1" applyBorder="1" applyAlignment="1">
      <alignment horizontal="center" vertical="top" wrapText="1"/>
    </xf>
    <xf numFmtId="0" fontId="2" fillId="5" borderId="16" xfId="0" applyFont="1" applyFill="1" applyBorder="1" applyAlignment="1">
      <alignment horizontal="center" vertical="top" wrapText="1"/>
    </xf>
    <xf numFmtId="0" fontId="2" fillId="5" borderId="14" xfId="0" applyFont="1" applyFill="1" applyBorder="1" applyAlignment="1">
      <alignment horizontal="right" vertical="top" wrapText="1"/>
    </xf>
    <xf numFmtId="0" fontId="2" fillId="5" borderId="15" xfId="0" applyFont="1" applyFill="1" applyBorder="1" applyAlignment="1">
      <alignment horizontal="right" vertical="top" wrapText="1"/>
    </xf>
    <xf numFmtId="0" fontId="6" fillId="2" borderId="0" xfId="0" applyFont="1" applyFill="1" applyAlignment="1">
      <alignment horizontal="left" vertical="top"/>
    </xf>
    <xf numFmtId="0" fontId="1" fillId="4" borderId="27" xfId="0" applyFont="1" applyFill="1" applyBorder="1"/>
    <xf numFmtId="0" fontId="1" fillId="4" borderId="29" xfId="0" applyFont="1" applyFill="1" applyBorder="1"/>
    <xf numFmtId="0" fontId="1" fillId="4" borderId="28" xfId="0" applyFont="1" applyFill="1" applyBorder="1"/>
    <xf numFmtId="0" fontId="1" fillId="4" borderId="30" xfId="0" applyFont="1" applyFill="1" applyBorder="1"/>
    <xf numFmtId="0" fontId="1" fillId="4" borderId="31" xfId="0" applyFont="1" applyFill="1" applyBorder="1"/>
    <xf numFmtId="0" fontId="1" fillId="4" borderId="32" xfId="0" applyFont="1" applyFill="1" applyBorder="1"/>
    <xf numFmtId="0" fontId="4" fillId="2" borderId="0" xfId="0" applyFont="1" applyFill="1" applyAlignment="1">
      <alignment horizontal="left" vertical="top" wrapText="1"/>
    </xf>
  </cellXfs>
  <cellStyles count="1">
    <cellStyle name="Normal" xfId="0" builtinId="0"/>
  </cellStyles>
  <dxfs count="8">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
      <font>
        <b/>
        <i val="0"/>
        <color rgb="FF00B050"/>
      </font>
    </dxf>
  </dxfs>
  <tableStyles count="0" defaultTableStyle="TableStyleMedium2" defaultPivotStyle="PivotStyleLight16"/>
  <colors>
    <mruColors>
      <color rgb="FFE6F0EB"/>
      <color rgb="FF046A38"/>
      <color rgb="FFA7CBB9"/>
      <color rgb="FF2C31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fmlaLink="I.Developer.P1C1" lockText="1" noThreeD="1"/>
</file>

<file path=xl/ctrlProps/ctrlProp2.xml><?xml version="1.0" encoding="utf-8"?>
<formControlPr xmlns="http://schemas.microsoft.com/office/spreadsheetml/2009/9/main" objectType="CheckBox" fmlaLink="I.Developer.P1C2" lockText="1" noThreeD="1"/>
</file>

<file path=xl/ctrlProps/ctrlProp3.xml><?xml version="1.0" encoding="utf-8"?>
<formControlPr xmlns="http://schemas.microsoft.com/office/spreadsheetml/2009/9/main" objectType="CheckBox" fmlaLink="I.Developer.P1C3" lockText="1" noThreeD="1"/>
</file>

<file path=xl/ctrlProps/ctrlProp4.xml><?xml version="1.0" encoding="utf-8"?>
<formControlPr xmlns="http://schemas.microsoft.com/office/spreadsheetml/2009/9/main" objectType="CheckBox" fmlaLink="I.Developer.P1C4" lockText="1" noThreeD="1"/>
</file>

<file path=xl/ctrlProps/ctrlProp5.xml><?xml version="1.0" encoding="utf-8"?>
<formControlPr xmlns="http://schemas.microsoft.com/office/spreadsheetml/2009/9/main" objectType="CheckBox" fmlaLink="I.Developer.P1C5" lockText="1" noThreeD="1"/>
</file>

<file path=xl/ctrlProps/ctrlProp6.xml><?xml version="1.0" encoding="utf-8"?>
<formControlPr xmlns="http://schemas.microsoft.com/office/spreadsheetml/2009/9/main" objectType="CheckBox" fmlaLink="I.Developer.P1C6" lockText="1" noThreeD="1"/>
</file>

<file path=xl/ctrlProps/ctrlProp7.xml><?xml version="1.0" encoding="utf-8"?>
<formControlPr xmlns="http://schemas.microsoft.com/office/spreadsheetml/2009/9/main" objectType="CheckBox" fmlaLink="I.Developer.P1C7" lockText="1" noThreeD="1"/>
</file>

<file path=xl/ctrlProps/ctrlProp8.xml><?xml version="1.0" encoding="utf-8"?>
<formControlPr xmlns="http://schemas.microsoft.com/office/spreadsheetml/2009/9/main" objectType="CheckBox" fmlaLink="I.Developer.P1C8" lockText="1" noThreeD="1"/>
</file>

<file path=xl/ctrlProps/ctrlProp9.xml><?xml version="1.0" encoding="utf-8"?>
<formControlPr xmlns="http://schemas.microsoft.com/office/spreadsheetml/2009/9/main" objectType="CheckBox" fmlaLink="I.Developer.P1C9" lockText="1" noThreeD="1"/>
</file>

<file path=xl/ctrlProps/ctrlProp10.xml><?xml version="1.0" encoding="utf-8"?>
<formControlPr xmlns="http://schemas.microsoft.com/office/spreadsheetml/2009/9/main" objectType="CheckBox" fmlaLink="I.Developer.P2C1" lockText="1" noThreeD="1"/>
</file>

<file path=xl/ctrlProps/ctrlProp11.xml><?xml version="1.0" encoding="utf-8"?>
<formControlPr xmlns="http://schemas.microsoft.com/office/spreadsheetml/2009/9/main" objectType="CheckBox" fmlaLink="I.Developer.P2C2" lockText="1" noThreeD="1"/>
</file>

<file path=xl/ctrlProps/ctrlProp12.xml><?xml version="1.0" encoding="utf-8"?>
<formControlPr xmlns="http://schemas.microsoft.com/office/spreadsheetml/2009/9/main" objectType="CheckBox" fmlaLink="I.Developer.P2C3" lockText="1" noThreeD="1"/>
</file>

<file path=xl/ctrlProps/ctrlProp13.xml><?xml version="1.0" encoding="utf-8"?>
<formControlPr xmlns="http://schemas.microsoft.com/office/spreadsheetml/2009/9/main" objectType="CheckBox" fmlaLink="I.Developer.P2C4" lockText="1" noThreeD="1"/>
</file>

<file path=xl/ctrlProps/ctrlProp14.xml><?xml version="1.0" encoding="utf-8"?>
<formControlPr xmlns="http://schemas.microsoft.com/office/spreadsheetml/2009/9/main" objectType="CheckBox" fmlaLink="I.Developer.P2C5" lockText="1" noThreeD="1"/>
</file>

<file path=xl/ctrlProps/ctrlProp15.xml><?xml version="1.0" encoding="utf-8"?>
<formControlPr xmlns="http://schemas.microsoft.com/office/spreadsheetml/2009/9/main" objectType="CheckBox" fmlaLink="I.Developer.P2C6" lockText="1" noThreeD="1"/>
</file>

<file path=xl/ctrlProps/ctrlProp16.xml><?xml version="1.0" encoding="utf-8"?>
<formControlPr xmlns="http://schemas.microsoft.com/office/spreadsheetml/2009/9/main" objectType="CheckBox" fmlaLink="I.Developer.P2C7" lockText="1" noThreeD="1"/>
</file>

<file path=xl/ctrlProps/ctrlProp17.xml><?xml version="1.0" encoding="utf-8"?>
<formControlPr xmlns="http://schemas.microsoft.com/office/spreadsheetml/2009/9/main" objectType="CheckBox" fmlaLink="I.Developer.P2C8" lockText="1" noThreeD="1"/>
</file>

<file path=xl/ctrlProps/ctrlProp18.xml><?xml version="1.0" encoding="utf-8"?>
<formControlPr xmlns="http://schemas.microsoft.com/office/spreadsheetml/2009/9/main" objectType="CheckBox" fmlaLink="I.Developer.P2C9" lockText="1" noThreeD="1"/>
</file>

<file path=xl/ctrlProps/ctrlProp19.xml><?xml version="1.0" encoding="utf-8"?>
<formControlPr xmlns="http://schemas.microsoft.com/office/spreadsheetml/2009/9/main" objectType="CheckBox" fmlaLink="I.Developer.P3C1" lockText="1" noThreeD="1"/>
</file>

<file path=xl/ctrlProps/ctrlProp20.xml><?xml version="1.0" encoding="utf-8"?>
<formControlPr xmlns="http://schemas.microsoft.com/office/spreadsheetml/2009/9/main" objectType="CheckBox" fmlaLink="I.Developer.P3C2" lockText="1" noThreeD="1"/>
</file>

<file path=xl/ctrlProps/ctrlProp21.xml><?xml version="1.0" encoding="utf-8"?>
<formControlPr xmlns="http://schemas.microsoft.com/office/spreadsheetml/2009/9/main" objectType="CheckBox" fmlaLink="I.Developer.P3C3" lockText="1" noThreeD="1"/>
</file>

<file path=xl/ctrlProps/ctrlProp22.xml><?xml version="1.0" encoding="utf-8"?>
<formControlPr xmlns="http://schemas.microsoft.com/office/spreadsheetml/2009/9/main" objectType="CheckBox" fmlaLink="I.Developer.P3C4" lockText="1" noThreeD="1"/>
</file>

<file path=xl/ctrlProps/ctrlProp23.xml><?xml version="1.0" encoding="utf-8"?>
<formControlPr xmlns="http://schemas.microsoft.com/office/spreadsheetml/2009/9/main" objectType="CheckBox" fmlaLink="I.Developer.P3C5" lockText="1" noThreeD="1"/>
</file>

<file path=xl/ctrlProps/ctrlProp24.xml><?xml version="1.0" encoding="utf-8"?>
<formControlPr xmlns="http://schemas.microsoft.com/office/spreadsheetml/2009/9/main" objectType="CheckBox" fmlaLink="I.Developer.P3C6" lockText="1" noThreeD="1"/>
</file>

<file path=xl/ctrlProps/ctrlProp25.xml><?xml version="1.0" encoding="utf-8"?>
<formControlPr xmlns="http://schemas.microsoft.com/office/spreadsheetml/2009/9/main" objectType="CheckBox" fmlaLink="I.Developer.P3C7" lockText="1" noThreeD="1"/>
</file>

<file path=xl/ctrlProps/ctrlProp26.xml><?xml version="1.0" encoding="utf-8"?>
<formControlPr xmlns="http://schemas.microsoft.com/office/spreadsheetml/2009/9/main" objectType="CheckBox" fmlaLink="I.Developer.P3C8" lockText="1" noThreeD="1"/>
</file>

<file path=xl/ctrlProps/ctrlProp27.xml><?xml version="1.0" encoding="utf-8"?>
<formControlPr xmlns="http://schemas.microsoft.com/office/spreadsheetml/2009/9/main" objectType="CheckBox" fmlaLink="I.Developer.P3C9" lockText="1" noThreeD="1"/>
</file>

<file path=xl/ctrlProps/ctrlProp28.xml><?xml version="1.0" encoding="utf-8"?>
<formControlPr xmlns="http://schemas.microsoft.com/office/spreadsheetml/2009/9/main" objectType="CheckBox" fmlaLink="I.Developer.P4C1" lockText="1" noThreeD="1"/>
</file>

<file path=xl/ctrlProps/ctrlProp29.xml><?xml version="1.0" encoding="utf-8"?>
<formControlPr xmlns="http://schemas.microsoft.com/office/spreadsheetml/2009/9/main" objectType="CheckBox" fmlaLink="I.Developer.P4C2" lockText="1" noThreeD="1"/>
</file>

<file path=xl/ctrlProps/ctrlProp30.xml><?xml version="1.0" encoding="utf-8"?>
<formControlPr xmlns="http://schemas.microsoft.com/office/spreadsheetml/2009/9/main" objectType="CheckBox" fmlaLink="I.Developer.P4C3" lockText="1" noThreeD="1"/>
</file>

<file path=xl/ctrlProps/ctrlProp31.xml><?xml version="1.0" encoding="utf-8"?>
<formControlPr xmlns="http://schemas.microsoft.com/office/spreadsheetml/2009/9/main" objectType="CheckBox" fmlaLink="I.Developer.P4C4" lockText="1" noThreeD="1"/>
</file>

<file path=xl/ctrlProps/ctrlProp32.xml><?xml version="1.0" encoding="utf-8"?>
<formControlPr xmlns="http://schemas.microsoft.com/office/spreadsheetml/2009/9/main" objectType="CheckBox" fmlaLink="I.Developer.P4C5" lockText="1" noThreeD="1"/>
</file>

<file path=xl/ctrlProps/ctrlProp33.xml><?xml version="1.0" encoding="utf-8"?>
<formControlPr xmlns="http://schemas.microsoft.com/office/spreadsheetml/2009/9/main" objectType="CheckBox" fmlaLink="I.Developer.P4C6" lockText="1" noThreeD="1"/>
</file>

<file path=xl/ctrlProps/ctrlProp34.xml><?xml version="1.0" encoding="utf-8"?>
<formControlPr xmlns="http://schemas.microsoft.com/office/spreadsheetml/2009/9/main" objectType="CheckBox" fmlaLink="I.Developer.P4C7" lockText="1" noThreeD="1"/>
</file>

<file path=xl/ctrlProps/ctrlProp35.xml><?xml version="1.0" encoding="utf-8"?>
<formControlPr xmlns="http://schemas.microsoft.com/office/spreadsheetml/2009/9/main" objectType="CheckBox" fmlaLink="I.Developer.P4C8" lockText="1" noThreeD="1"/>
</file>

<file path=xl/ctrlProps/ctrlProp36.xml><?xml version="1.0" encoding="utf-8"?>
<formControlPr xmlns="http://schemas.microsoft.com/office/spreadsheetml/2009/9/main" objectType="CheckBox" fmlaLink="I.Developer.P4C9" lockText="1" noThreeD="1"/>
</file>

<file path=xl/ctrlProps/ctrlProp37.xml><?xml version="1.0" encoding="utf-8"?>
<formControlPr xmlns="http://schemas.microsoft.com/office/spreadsheetml/2009/9/main" objectType="CheckBox" fmlaLink="I.Developer.P5C1" lockText="1" noThreeD="1"/>
</file>

<file path=xl/ctrlProps/ctrlProp38.xml><?xml version="1.0" encoding="utf-8"?>
<formControlPr xmlns="http://schemas.microsoft.com/office/spreadsheetml/2009/9/main" objectType="CheckBox" fmlaLink="I.Developer.P5C2" lockText="1" noThreeD="1"/>
</file>

<file path=xl/ctrlProps/ctrlProp39.xml><?xml version="1.0" encoding="utf-8"?>
<formControlPr xmlns="http://schemas.microsoft.com/office/spreadsheetml/2009/9/main" objectType="CheckBox" fmlaLink="I.Developer.P5C3" lockText="1" noThreeD="1"/>
</file>

<file path=xl/ctrlProps/ctrlProp40.xml><?xml version="1.0" encoding="utf-8"?>
<formControlPr xmlns="http://schemas.microsoft.com/office/spreadsheetml/2009/9/main" objectType="CheckBox" fmlaLink="I.Developer.P5C4" lockText="1" noThreeD="1"/>
</file>

<file path=xl/ctrlProps/ctrlProp41.xml><?xml version="1.0" encoding="utf-8"?>
<formControlPr xmlns="http://schemas.microsoft.com/office/spreadsheetml/2009/9/main" objectType="CheckBox" fmlaLink="I.Developer.P5C5" lockText="1" noThreeD="1"/>
</file>

<file path=xl/ctrlProps/ctrlProp42.xml><?xml version="1.0" encoding="utf-8"?>
<formControlPr xmlns="http://schemas.microsoft.com/office/spreadsheetml/2009/9/main" objectType="CheckBox" fmlaLink="I.Developer.P5C6" lockText="1" noThreeD="1"/>
</file>

<file path=xl/ctrlProps/ctrlProp43.xml><?xml version="1.0" encoding="utf-8"?>
<formControlPr xmlns="http://schemas.microsoft.com/office/spreadsheetml/2009/9/main" objectType="CheckBox" fmlaLink="I.Developer.P5C7" lockText="1" noThreeD="1"/>
</file>

<file path=xl/ctrlProps/ctrlProp44.xml><?xml version="1.0" encoding="utf-8"?>
<formControlPr xmlns="http://schemas.microsoft.com/office/spreadsheetml/2009/9/main" objectType="CheckBox" fmlaLink="I.Developer.P5C8" lockText="1" noThreeD="1"/>
</file>

<file path=xl/ctrlProps/ctrlProp45.xml><?xml version="1.0" encoding="utf-8"?>
<formControlPr xmlns="http://schemas.microsoft.com/office/spreadsheetml/2009/9/main" objectType="CheckBox" fmlaLink="I.Developer.P5C9" lockText="1" noThreeD="1"/>
</file>

<file path=xl/ctrlProps/ctrlProp4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00000000-0008-0000-00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4</xdr:col>
      <xdr:colOff>306164</xdr:colOff>
      <xdr:row>2</xdr:row>
      <xdr:rowOff>295275</xdr:rowOff>
    </xdr:to>
    <xdr:pic>
      <xdr:nvPicPr>
        <xdr:cNvPr id="2" name="Picture 1">
          <a:extLst>
            <a:ext uri="{FF2B5EF4-FFF2-40B4-BE49-F238E27FC236}">
              <a16:creationId xmlns:a16="http://schemas.microsoft.com/office/drawing/2014/main" id="{00000000-0008-0000-01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187325</xdr:colOff>
      <xdr:row>109</xdr:row>
      <xdr:rowOff>0</xdr:rowOff>
    </xdr:from>
    <xdr:to>
      <xdr:col>2</xdr:col>
      <xdr:colOff>1965325</xdr:colOff>
      <xdr:row>110</xdr:row>
      <xdr:rowOff>0</xdr:rowOff>
    </xdr:to>
    <xdr:sp macro="" textlink="">
      <xdr:nvSpPr>
        <xdr:cNvPr id="3149" name="Text Box P5C9">
          <a:extLst>
            <a:ext uri="{FF2B5EF4-FFF2-40B4-BE49-F238E27FC236}">
              <a16:creationId xmlns:a16="http://schemas.microsoft.com/office/drawing/2014/main" id="{00000000-0008-0000-0200-00004D0C0000}"/>
            </a:ext>
          </a:extLst>
        </xdr:cNvPr>
        <xdr:cNvSpPr txBox="1"/>
      </xdr:nvSpPr>
      <xdr:spPr>
        <a:xfrm>
          <a:off x="949325" y="21135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Wastewater</a:t>
          </a:r>
        </a:p>
      </xdr:txBody>
    </xdr:sp>
    <xdr:clientData/>
  </xdr:twoCellAnchor>
  <xdr:twoCellAnchor>
    <xdr:from>
      <xdr:col>2</xdr:col>
      <xdr:colOff>187325</xdr:colOff>
      <xdr:row>108</xdr:row>
      <xdr:rowOff>0</xdr:rowOff>
    </xdr:from>
    <xdr:to>
      <xdr:col>2</xdr:col>
      <xdr:colOff>1965325</xdr:colOff>
      <xdr:row>109</xdr:row>
      <xdr:rowOff>0</xdr:rowOff>
    </xdr:to>
    <xdr:sp macro="" textlink="">
      <xdr:nvSpPr>
        <xdr:cNvPr id="3148" name="Text Box P5C8">
          <a:extLst>
            <a:ext uri="{FF2B5EF4-FFF2-40B4-BE49-F238E27FC236}">
              <a16:creationId xmlns:a16="http://schemas.microsoft.com/office/drawing/2014/main" id="{00000000-0008-0000-0200-00004C0C0000}"/>
            </a:ext>
          </a:extLst>
        </xdr:cNvPr>
        <xdr:cNvSpPr txBox="1"/>
      </xdr:nvSpPr>
      <xdr:spPr>
        <a:xfrm>
          <a:off x="949325" y="20945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a:t>
          </a:r>
        </a:p>
      </xdr:txBody>
    </xdr:sp>
    <xdr:clientData/>
  </xdr:twoCellAnchor>
  <xdr:twoCellAnchor>
    <xdr:from>
      <xdr:col>2</xdr:col>
      <xdr:colOff>187325</xdr:colOff>
      <xdr:row>107</xdr:row>
      <xdr:rowOff>0</xdr:rowOff>
    </xdr:from>
    <xdr:to>
      <xdr:col>2</xdr:col>
      <xdr:colOff>1965325</xdr:colOff>
      <xdr:row>108</xdr:row>
      <xdr:rowOff>0</xdr:rowOff>
    </xdr:to>
    <xdr:sp macro="" textlink="">
      <xdr:nvSpPr>
        <xdr:cNvPr id="3147" name="Text Box P5C7">
          <a:extLst>
            <a:ext uri="{FF2B5EF4-FFF2-40B4-BE49-F238E27FC236}">
              <a16:creationId xmlns:a16="http://schemas.microsoft.com/office/drawing/2014/main" id="{00000000-0008-0000-0200-00004B0C0000}"/>
            </a:ext>
          </a:extLst>
        </xdr:cNvPr>
        <xdr:cNvSpPr txBox="1"/>
      </xdr:nvSpPr>
      <xdr:spPr>
        <a:xfrm>
          <a:off x="949325" y="20754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106</xdr:row>
      <xdr:rowOff>0</xdr:rowOff>
    </xdr:from>
    <xdr:to>
      <xdr:col>2</xdr:col>
      <xdr:colOff>1965325</xdr:colOff>
      <xdr:row>107</xdr:row>
      <xdr:rowOff>0</xdr:rowOff>
    </xdr:to>
    <xdr:sp macro="" textlink="">
      <xdr:nvSpPr>
        <xdr:cNvPr id="3146" name="Text Box P5C6">
          <a:extLst>
            <a:ext uri="{FF2B5EF4-FFF2-40B4-BE49-F238E27FC236}">
              <a16:creationId xmlns:a16="http://schemas.microsoft.com/office/drawing/2014/main" id="{00000000-0008-0000-0200-00004A0C0000}"/>
            </a:ext>
          </a:extLst>
        </xdr:cNvPr>
        <xdr:cNvSpPr txBox="1"/>
      </xdr:nvSpPr>
      <xdr:spPr>
        <a:xfrm>
          <a:off x="949325" y="20564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Leakage</a:t>
          </a:r>
        </a:p>
      </xdr:txBody>
    </xdr:sp>
    <xdr:clientData/>
  </xdr:twoCellAnchor>
  <xdr:twoCellAnchor>
    <xdr:from>
      <xdr:col>2</xdr:col>
      <xdr:colOff>187325</xdr:colOff>
      <xdr:row>105</xdr:row>
      <xdr:rowOff>0</xdr:rowOff>
    </xdr:from>
    <xdr:to>
      <xdr:col>2</xdr:col>
      <xdr:colOff>1965325</xdr:colOff>
      <xdr:row>106</xdr:row>
      <xdr:rowOff>0</xdr:rowOff>
    </xdr:to>
    <xdr:sp macro="" textlink="">
      <xdr:nvSpPr>
        <xdr:cNvPr id="3145" name="Text Box P5C5">
          <a:extLst>
            <a:ext uri="{FF2B5EF4-FFF2-40B4-BE49-F238E27FC236}">
              <a16:creationId xmlns:a16="http://schemas.microsoft.com/office/drawing/2014/main" id="{00000000-0008-0000-0200-0000490C0000}"/>
            </a:ext>
          </a:extLst>
        </xdr:cNvPr>
        <xdr:cNvSpPr txBox="1"/>
      </xdr:nvSpPr>
      <xdr:spPr>
        <a:xfrm>
          <a:off x="949325" y="20373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104</xdr:row>
      <xdr:rowOff>0</xdr:rowOff>
    </xdr:from>
    <xdr:to>
      <xdr:col>2</xdr:col>
      <xdr:colOff>1965325</xdr:colOff>
      <xdr:row>105</xdr:row>
      <xdr:rowOff>0</xdr:rowOff>
    </xdr:to>
    <xdr:sp macro="" textlink="">
      <xdr:nvSpPr>
        <xdr:cNvPr id="3144" name="Text Box P5C4">
          <a:extLst>
            <a:ext uri="{FF2B5EF4-FFF2-40B4-BE49-F238E27FC236}">
              <a16:creationId xmlns:a16="http://schemas.microsoft.com/office/drawing/2014/main" id="{00000000-0008-0000-0200-0000480C0000}"/>
            </a:ext>
          </a:extLst>
        </xdr:cNvPr>
        <xdr:cNvSpPr txBox="1"/>
      </xdr:nvSpPr>
      <xdr:spPr>
        <a:xfrm>
          <a:off x="949325" y="20183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Venting</a:t>
          </a:r>
        </a:p>
      </xdr:txBody>
    </xdr:sp>
    <xdr:clientData/>
  </xdr:twoCellAnchor>
  <xdr:twoCellAnchor>
    <xdr:from>
      <xdr:col>2</xdr:col>
      <xdr:colOff>187325</xdr:colOff>
      <xdr:row>103</xdr:row>
      <xdr:rowOff>0</xdr:rowOff>
    </xdr:from>
    <xdr:to>
      <xdr:col>2</xdr:col>
      <xdr:colOff>1965325</xdr:colOff>
      <xdr:row>104</xdr:row>
      <xdr:rowOff>0</xdr:rowOff>
    </xdr:to>
    <xdr:sp macro="" textlink="">
      <xdr:nvSpPr>
        <xdr:cNvPr id="3143" name="Text Box P5C3">
          <a:extLst>
            <a:ext uri="{FF2B5EF4-FFF2-40B4-BE49-F238E27FC236}">
              <a16:creationId xmlns:a16="http://schemas.microsoft.com/office/drawing/2014/main" id="{00000000-0008-0000-0200-0000470C0000}"/>
            </a:ext>
          </a:extLst>
        </xdr:cNvPr>
        <xdr:cNvSpPr txBox="1"/>
      </xdr:nvSpPr>
      <xdr:spPr>
        <a:xfrm>
          <a:off x="949325" y="19992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102</xdr:row>
      <xdr:rowOff>0</xdr:rowOff>
    </xdr:from>
    <xdr:to>
      <xdr:col>2</xdr:col>
      <xdr:colOff>1965325</xdr:colOff>
      <xdr:row>103</xdr:row>
      <xdr:rowOff>0</xdr:rowOff>
    </xdr:to>
    <xdr:sp macro="" textlink="">
      <xdr:nvSpPr>
        <xdr:cNvPr id="3142" name="Text Box P5C2">
          <a:extLst>
            <a:ext uri="{FF2B5EF4-FFF2-40B4-BE49-F238E27FC236}">
              <a16:creationId xmlns:a16="http://schemas.microsoft.com/office/drawing/2014/main" id="{00000000-0008-0000-0200-0000460C0000}"/>
            </a:ext>
          </a:extLst>
        </xdr:cNvPr>
        <xdr:cNvSpPr txBox="1"/>
      </xdr:nvSpPr>
      <xdr:spPr>
        <a:xfrm>
          <a:off x="949325" y="19802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a:t>
          </a:r>
          <a:r>
            <a:rPr lang="en-US" sz="1100" baseline="0">
              <a:latin typeface="Aptos Narrow" panose="020B0004020202020204" pitchFamily="34" charset="0"/>
            </a:rPr>
            <a:t> process</a:t>
          </a:r>
          <a:endParaRPr lang="en-US" sz="1100">
            <a:latin typeface="Aptos Narrow" panose="020B0004020202020204" pitchFamily="34" charset="0"/>
          </a:endParaRPr>
        </a:p>
      </xdr:txBody>
    </xdr:sp>
    <xdr:clientData/>
  </xdr:twoCellAnchor>
  <xdr:twoCellAnchor>
    <xdr:from>
      <xdr:col>2</xdr:col>
      <xdr:colOff>187325</xdr:colOff>
      <xdr:row>101</xdr:row>
      <xdr:rowOff>0</xdr:rowOff>
    </xdr:from>
    <xdr:to>
      <xdr:col>2</xdr:col>
      <xdr:colOff>1965325</xdr:colOff>
      <xdr:row>102</xdr:row>
      <xdr:rowOff>0</xdr:rowOff>
    </xdr:to>
    <xdr:sp macro="" textlink="">
      <xdr:nvSpPr>
        <xdr:cNvPr id="3141" name="Text Box P5C1">
          <a:extLst>
            <a:ext uri="{FF2B5EF4-FFF2-40B4-BE49-F238E27FC236}">
              <a16:creationId xmlns:a16="http://schemas.microsoft.com/office/drawing/2014/main" id="{00000000-0008-0000-0200-0000450C0000}"/>
            </a:ext>
          </a:extLst>
        </xdr:cNvPr>
        <xdr:cNvSpPr txBox="1"/>
      </xdr:nvSpPr>
      <xdr:spPr>
        <a:xfrm>
          <a:off x="949325" y="19611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 fuel combustion</a:t>
          </a:r>
        </a:p>
      </xdr:txBody>
    </xdr:sp>
    <xdr:clientData/>
  </xdr:twoCellAnchor>
  <mc:AlternateContent xmlns:mc="http://schemas.openxmlformats.org/markup-compatibility/2006">
    <mc:Choice xmlns:a14="http://schemas.microsoft.com/office/drawing/2010/main" Requires="a14">
      <xdr:twoCellAnchor>
        <xdr:from>
          <xdr:col>2</xdr:col>
          <xdr:colOff>0</xdr:colOff>
          <xdr:row>109</xdr:row>
          <xdr:rowOff>0</xdr:rowOff>
        </xdr:from>
        <xdr:to>
          <xdr:col>2</xdr:col>
          <xdr:colOff>219075</xdr:colOff>
          <xdr:row>110</xdr:row>
          <xdr:rowOff>0</xdr:rowOff>
        </xdr:to>
        <xdr:sp macro="" textlink="">
          <xdr:nvSpPr>
            <xdr:cNvPr id="3122" name="Check Box P5C9" hidden="1">
              <a:extLst>
                <a:ext uri="{63B3BB69-23CF-44E3-9099-C40C66FF867C}">
                  <a14:compatExt spid="_x0000_s3122"/>
                </a:ext>
                <a:ext uri="{FF2B5EF4-FFF2-40B4-BE49-F238E27FC236}">
                  <a16:creationId xmlns:a16="http://schemas.microsoft.com/office/drawing/2014/main" id="{00000000-0008-0000-02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108</xdr:row>
          <xdr:rowOff>0</xdr:rowOff>
        </xdr:from>
        <xdr:to>
          <xdr:col>2</xdr:col>
          <xdr:colOff>219075</xdr:colOff>
          <xdr:row>109</xdr:row>
          <xdr:rowOff>0</xdr:rowOff>
        </xdr:to>
        <xdr:sp macro="" textlink="">
          <xdr:nvSpPr>
            <xdr:cNvPr id="3121" name="Check Box P5C8" hidden="1">
              <a:extLst>
                <a:ext uri="{63B3BB69-23CF-44E3-9099-C40C66FF867C}">
                  <a14:compatExt spid="_x0000_s3121"/>
                </a:ext>
                <a:ext uri="{FF2B5EF4-FFF2-40B4-BE49-F238E27FC236}">
                  <a16:creationId xmlns:a16="http://schemas.microsoft.com/office/drawing/2014/main" id="{00000000-0008-0000-02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107</xdr:row>
          <xdr:rowOff>0</xdr:rowOff>
        </xdr:from>
        <xdr:to>
          <xdr:col>2</xdr:col>
          <xdr:colOff>219075</xdr:colOff>
          <xdr:row>108</xdr:row>
          <xdr:rowOff>0</xdr:rowOff>
        </xdr:to>
        <xdr:sp macro="" textlink="">
          <xdr:nvSpPr>
            <xdr:cNvPr id="3119" name="Check Box P5C7" hidden="1">
              <a:extLst>
                <a:ext uri="{63B3BB69-23CF-44E3-9099-C40C66FF867C}">
                  <a14:compatExt spid="_x0000_s3119"/>
                </a:ext>
                <a:ext uri="{FF2B5EF4-FFF2-40B4-BE49-F238E27FC236}">
                  <a16:creationId xmlns:a16="http://schemas.microsoft.com/office/drawing/2014/main" id="{00000000-0008-0000-02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106</xdr:row>
          <xdr:rowOff>0</xdr:rowOff>
        </xdr:from>
        <xdr:to>
          <xdr:col>2</xdr:col>
          <xdr:colOff>219075</xdr:colOff>
          <xdr:row>107</xdr:row>
          <xdr:rowOff>0</xdr:rowOff>
        </xdr:to>
        <xdr:sp macro="" textlink="">
          <xdr:nvSpPr>
            <xdr:cNvPr id="3118" name="Check Box P5C6" hidden="1">
              <a:extLst>
                <a:ext uri="{63B3BB69-23CF-44E3-9099-C40C66FF867C}">
                  <a14:compatExt spid="_x0000_s3118"/>
                </a:ext>
                <a:ext uri="{FF2B5EF4-FFF2-40B4-BE49-F238E27FC236}">
                  <a16:creationId xmlns:a16="http://schemas.microsoft.com/office/drawing/2014/main" id="{00000000-0008-0000-02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105</xdr:row>
          <xdr:rowOff>0</xdr:rowOff>
        </xdr:from>
        <xdr:to>
          <xdr:col>2</xdr:col>
          <xdr:colOff>219075</xdr:colOff>
          <xdr:row>106</xdr:row>
          <xdr:rowOff>0</xdr:rowOff>
        </xdr:to>
        <xdr:sp macro="" textlink="">
          <xdr:nvSpPr>
            <xdr:cNvPr id="3117" name="Check Box P5C5" hidden="1">
              <a:extLst>
                <a:ext uri="{63B3BB69-23CF-44E3-9099-C40C66FF867C}">
                  <a14:compatExt spid="_x0000_s3117"/>
                </a:ext>
                <a:ext uri="{FF2B5EF4-FFF2-40B4-BE49-F238E27FC236}">
                  <a16:creationId xmlns:a16="http://schemas.microsoft.com/office/drawing/2014/main" id="{00000000-0008-0000-02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104</xdr:row>
          <xdr:rowOff>0</xdr:rowOff>
        </xdr:from>
        <xdr:to>
          <xdr:col>2</xdr:col>
          <xdr:colOff>219075</xdr:colOff>
          <xdr:row>105</xdr:row>
          <xdr:rowOff>0</xdr:rowOff>
        </xdr:to>
        <xdr:sp macro="" textlink="">
          <xdr:nvSpPr>
            <xdr:cNvPr id="3116" name="Check Box P5C4" hidden="1">
              <a:extLst>
                <a:ext uri="{63B3BB69-23CF-44E3-9099-C40C66FF867C}">
                  <a14:compatExt spid="_x0000_s3116"/>
                </a:ext>
                <a:ext uri="{FF2B5EF4-FFF2-40B4-BE49-F238E27FC236}">
                  <a16:creationId xmlns:a16="http://schemas.microsoft.com/office/drawing/2014/main" id="{00000000-0008-0000-02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103</xdr:row>
          <xdr:rowOff>0</xdr:rowOff>
        </xdr:from>
        <xdr:to>
          <xdr:col>2</xdr:col>
          <xdr:colOff>219075</xdr:colOff>
          <xdr:row>104</xdr:row>
          <xdr:rowOff>0</xdr:rowOff>
        </xdr:to>
        <xdr:sp macro="" textlink="">
          <xdr:nvSpPr>
            <xdr:cNvPr id="3115" name="Check Box P5C3" hidden="1">
              <a:extLst>
                <a:ext uri="{63B3BB69-23CF-44E3-9099-C40C66FF867C}">
                  <a14:compatExt spid="_x0000_s3115"/>
                </a:ext>
                <a:ext uri="{FF2B5EF4-FFF2-40B4-BE49-F238E27FC236}">
                  <a16:creationId xmlns:a16="http://schemas.microsoft.com/office/drawing/2014/main" id="{00000000-0008-0000-02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102</xdr:row>
          <xdr:rowOff>0</xdr:rowOff>
        </xdr:from>
        <xdr:to>
          <xdr:col>2</xdr:col>
          <xdr:colOff>219075</xdr:colOff>
          <xdr:row>103</xdr:row>
          <xdr:rowOff>0</xdr:rowOff>
        </xdr:to>
        <xdr:sp macro="" textlink="">
          <xdr:nvSpPr>
            <xdr:cNvPr id="3114" name="Check Box P5C2" hidden="1">
              <a:extLst>
                <a:ext uri="{63B3BB69-23CF-44E3-9099-C40C66FF867C}">
                  <a14:compatExt spid="_x0000_s3114"/>
                </a:ext>
                <a:ext uri="{FF2B5EF4-FFF2-40B4-BE49-F238E27FC236}">
                  <a16:creationId xmlns:a16="http://schemas.microsoft.com/office/drawing/2014/main" id="{00000000-0008-0000-02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101</xdr:row>
          <xdr:rowOff>0</xdr:rowOff>
        </xdr:from>
        <xdr:to>
          <xdr:col>2</xdr:col>
          <xdr:colOff>219075</xdr:colOff>
          <xdr:row>102</xdr:row>
          <xdr:rowOff>0</xdr:rowOff>
        </xdr:to>
        <xdr:sp macro="" textlink="">
          <xdr:nvSpPr>
            <xdr:cNvPr id="3113" name="Check Box P5C1" hidden="1">
              <a:extLst>
                <a:ext uri="{63B3BB69-23CF-44E3-9099-C40C66FF867C}">
                  <a14:compatExt spid="_x0000_s3113"/>
                </a:ext>
                <a:ext uri="{FF2B5EF4-FFF2-40B4-BE49-F238E27FC236}">
                  <a16:creationId xmlns:a16="http://schemas.microsoft.com/office/drawing/2014/main" id="{00000000-0008-0000-02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87</xdr:row>
      <xdr:rowOff>0</xdr:rowOff>
    </xdr:from>
    <xdr:to>
      <xdr:col>2</xdr:col>
      <xdr:colOff>1965325</xdr:colOff>
      <xdr:row>88</xdr:row>
      <xdr:rowOff>0</xdr:rowOff>
    </xdr:to>
    <xdr:sp macro="" textlink="">
      <xdr:nvSpPr>
        <xdr:cNvPr id="3140" name="Text Box P4C9">
          <a:extLst>
            <a:ext uri="{FF2B5EF4-FFF2-40B4-BE49-F238E27FC236}">
              <a16:creationId xmlns:a16="http://schemas.microsoft.com/office/drawing/2014/main" id="{00000000-0008-0000-0200-0000440C0000}"/>
            </a:ext>
          </a:extLst>
        </xdr:cNvPr>
        <xdr:cNvSpPr txBox="1"/>
      </xdr:nvSpPr>
      <xdr:spPr>
        <a:xfrm>
          <a:off x="949325" y="16944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Wastewater</a:t>
          </a:r>
        </a:p>
      </xdr:txBody>
    </xdr:sp>
    <xdr:clientData/>
  </xdr:twoCellAnchor>
  <xdr:twoCellAnchor>
    <xdr:from>
      <xdr:col>2</xdr:col>
      <xdr:colOff>187325</xdr:colOff>
      <xdr:row>86</xdr:row>
      <xdr:rowOff>0</xdr:rowOff>
    </xdr:from>
    <xdr:to>
      <xdr:col>2</xdr:col>
      <xdr:colOff>1965325</xdr:colOff>
      <xdr:row>87</xdr:row>
      <xdr:rowOff>0</xdr:rowOff>
    </xdr:to>
    <xdr:sp macro="" textlink="">
      <xdr:nvSpPr>
        <xdr:cNvPr id="3139" name="Text Box P4C8">
          <a:extLst>
            <a:ext uri="{FF2B5EF4-FFF2-40B4-BE49-F238E27FC236}">
              <a16:creationId xmlns:a16="http://schemas.microsoft.com/office/drawing/2014/main" id="{00000000-0008-0000-0200-0000430C0000}"/>
            </a:ext>
          </a:extLst>
        </xdr:cNvPr>
        <xdr:cNvSpPr txBox="1"/>
      </xdr:nvSpPr>
      <xdr:spPr>
        <a:xfrm>
          <a:off x="949325" y="16754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a:t>
          </a:r>
        </a:p>
      </xdr:txBody>
    </xdr:sp>
    <xdr:clientData/>
  </xdr:twoCellAnchor>
  <xdr:twoCellAnchor>
    <xdr:from>
      <xdr:col>2</xdr:col>
      <xdr:colOff>187325</xdr:colOff>
      <xdr:row>85</xdr:row>
      <xdr:rowOff>0</xdr:rowOff>
    </xdr:from>
    <xdr:to>
      <xdr:col>2</xdr:col>
      <xdr:colOff>1965325</xdr:colOff>
      <xdr:row>86</xdr:row>
      <xdr:rowOff>0</xdr:rowOff>
    </xdr:to>
    <xdr:sp macro="" textlink="">
      <xdr:nvSpPr>
        <xdr:cNvPr id="3138" name="Text Box P4C7">
          <a:extLst>
            <a:ext uri="{FF2B5EF4-FFF2-40B4-BE49-F238E27FC236}">
              <a16:creationId xmlns:a16="http://schemas.microsoft.com/office/drawing/2014/main" id="{00000000-0008-0000-0200-0000420C0000}"/>
            </a:ext>
          </a:extLst>
        </xdr:cNvPr>
        <xdr:cNvSpPr txBox="1"/>
      </xdr:nvSpPr>
      <xdr:spPr>
        <a:xfrm>
          <a:off x="949325" y="16563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84</xdr:row>
      <xdr:rowOff>0</xdr:rowOff>
    </xdr:from>
    <xdr:to>
      <xdr:col>2</xdr:col>
      <xdr:colOff>1965325</xdr:colOff>
      <xdr:row>85</xdr:row>
      <xdr:rowOff>0</xdr:rowOff>
    </xdr:to>
    <xdr:sp macro="" textlink="">
      <xdr:nvSpPr>
        <xdr:cNvPr id="3137" name="Text Box P4C6">
          <a:extLst>
            <a:ext uri="{FF2B5EF4-FFF2-40B4-BE49-F238E27FC236}">
              <a16:creationId xmlns:a16="http://schemas.microsoft.com/office/drawing/2014/main" id="{00000000-0008-0000-0200-0000410C0000}"/>
            </a:ext>
          </a:extLst>
        </xdr:cNvPr>
        <xdr:cNvSpPr txBox="1"/>
      </xdr:nvSpPr>
      <xdr:spPr>
        <a:xfrm>
          <a:off x="949325" y="16373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Leakage</a:t>
          </a:r>
        </a:p>
      </xdr:txBody>
    </xdr:sp>
    <xdr:clientData/>
  </xdr:twoCellAnchor>
  <xdr:twoCellAnchor>
    <xdr:from>
      <xdr:col>2</xdr:col>
      <xdr:colOff>187325</xdr:colOff>
      <xdr:row>83</xdr:row>
      <xdr:rowOff>0</xdr:rowOff>
    </xdr:from>
    <xdr:to>
      <xdr:col>2</xdr:col>
      <xdr:colOff>1965325</xdr:colOff>
      <xdr:row>84</xdr:row>
      <xdr:rowOff>0</xdr:rowOff>
    </xdr:to>
    <xdr:sp macro="" textlink="">
      <xdr:nvSpPr>
        <xdr:cNvPr id="3136" name="Text Box P4C5">
          <a:extLst>
            <a:ext uri="{FF2B5EF4-FFF2-40B4-BE49-F238E27FC236}">
              <a16:creationId xmlns:a16="http://schemas.microsoft.com/office/drawing/2014/main" id="{00000000-0008-0000-0200-0000400C0000}"/>
            </a:ext>
          </a:extLst>
        </xdr:cNvPr>
        <xdr:cNvSpPr txBox="1"/>
      </xdr:nvSpPr>
      <xdr:spPr>
        <a:xfrm>
          <a:off x="949325" y="16182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82</xdr:row>
      <xdr:rowOff>0</xdr:rowOff>
    </xdr:from>
    <xdr:to>
      <xdr:col>2</xdr:col>
      <xdr:colOff>1965325</xdr:colOff>
      <xdr:row>83</xdr:row>
      <xdr:rowOff>0</xdr:rowOff>
    </xdr:to>
    <xdr:sp macro="" textlink="">
      <xdr:nvSpPr>
        <xdr:cNvPr id="3135" name="Text Box P4C4">
          <a:extLst>
            <a:ext uri="{FF2B5EF4-FFF2-40B4-BE49-F238E27FC236}">
              <a16:creationId xmlns:a16="http://schemas.microsoft.com/office/drawing/2014/main" id="{00000000-0008-0000-0200-00003F0C0000}"/>
            </a:ext>
          </a:extLst>
        </xdr:cNvPr>
        <xdr:cNvSpPr txBox="1"/>
      </xdr:nvSpPr>
      <xdr:spPr>
        <a:xfrm>
          <a:off x="949325" y="15992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Venting</a:t>
          </a:r>
        </a:p>
      </xdr:txBody>
    </xdr:sp>
    <xdr:clientData/>
  </xdr:twoCellAnchor>
  <xdr:twoCellAnchor>
    <xdr:from>
      <xdr:col>2</xdr:col>
      <xdr:colOff>187325</xdr:colOff>
      <xdr:row>81</xdr:row>
      <xdr:rowOff>0</xdr:rowOff>
    </xdr:from>
    <xdr:to>
      <xdr:col>2</xdr:col>
      <xdr:colOff>1965325</xdr:colOff>
      <xdr:row>82</xdr:row>
      <xdr:rowOff>0</xdr:rowOff>
    </xdr:to>
    <xdr:sp macro="" textlink="">
      <xdr:nvSpPr>
        <xdr:cNvPr id="3134" name="Text Box P4C3">
          <a:extLst>
            <a:ext uri="{FF2B5EF4-FFF2-40B4-BE49-F238E27FC236}">
              <a16:creationId xmlns:a16="http://schemas.microsoft.com/office/drawing/2014/main" id="{00000000-0008-0000-0200-00003E0C0000}"/>
            </a:ext>
          </a:extLst>
        </xdr:cNvPr>
        <xdr:cNvSpPr txBox="1"/>
      </xdr:nvSpPr>
      <xdr:spPr>
        <a:xfrm>
          <a:off x="949325" y="15801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80</xdr:row>
      <xdr:rowOff>0</xdr:rowOff>
    </xdr:from>
    <xdr:to>
      <xdr:col>2</xdr:col>
      <xdr:colOff>1965325</xdr:colOff>
      <xdr:row>81</xdr:row>
      <xdr:rowOff>0</xdr:rowOff>
    </xdr:to>
    <xdr:sp macro="" textlink="">
      <xdr:nvSpPr>
        <xdr:cNvPr id="3133" name="Text Box P4C2">
          <a:extLst>
            <a:ext uri="{FF2B5EF4-FFF2-40B4-BE49-F238E27FC236}">
              <a16:creationId xmlns:a16="http://schemas.microsoft.com/office/drawing/2014/main" id="{00000000-0008-0000-0200-00003D0C0000}"/>
            </a:ext>
          </a:extLst>
        </xdr:cNvPr>
        <xdr:cNvSpPr txBox="1"/>
      </xdr:nvSpPr>
      <xdr:spPr>
        <a:xfrm>
          <a:off x="949325" y="15611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a:t>
          </a:r>
          <a:r>
            <a:rPr lang="en-US" sz="1100" baseline="0">
              <a:latin typeface="Aptos Narrow" panose="020B0004020202020204" pitchFamily="34" charset="0"/>
            </a:rPr>
            <a:t> process</a:t>
          </a:r>
          <a:endParaRPr lang="en-US" sz="1100">
            <a:latin typeface="Aptos Narrow" panose="020B0004020202020204" pitchFamily="34" charset="0"/>
          </a:endParaRPr>
        </a:p>
      </xdr:txBody>
    </xdr:sp>
    <xdr:clientData/>
  </xdr:twoCellAnchor>
  <xdr:twoCellAnchor>
    <xdr:from>
      <xdr:col>2</xdr:col>
      <xdr:colOff>187325</xdr:colOff>
      <xdr:row>79</xdr:row>
      <xdr:rowOff>0</xdr:rowOff>
    </xdr:from>
    <xdr:to>
      <xdr:col>2</xdr:col>
      <xdr:colOff>1965325</xdr:colOff>
      <xdr:row>80</xdr:row>
      <xdr:rowOff>0</xdr:rowOff>
    </xdr:to>
    <xdr:sp macro="" textlink="">
      <xdr:nvSpPr>
        <xdr:cNvPr id="3132" name="Text Box P4C1">
          <a:extLst>
            <a:ext uri="{FF2B5EF4-FFF2-40B4-BE49-F238E27FC236}">
              <a16:creationId xmlns:a16="http://schemas.microsoft.com/office/drawing/2014/main" id="{00000000-0008-0000-0200-00003C0C0000}"/>
            </a:ext>
          </a:extLst>
        </xdr:cNvPr>
        <xdr:cNvSpPr txBox="1"/>
      </xdr:nvSpPr>
      <xdr:spPr>
        <a:xfrm>
          <a:off x="949325" y="15420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 fuel combustion</a:t>
          </a:r>
        </a:p>
      </xdr:txBody>
    </xdr:sp>
    <xdr:clientData/>
  </xdr:twoCellAnchor>
  <mc:AlternateContent xmlns:mc="http://schemas.openxmlformats.org/markup-compatibility/2006">
    <mc:Choice xmlns:a14="http://schemas.microsoft.com/office/drawing/2010/main" Requires="a14">
      <xdr:twoCellAnchor>
        <xdr:from>
          <xdr:col>2</xdr:col>
          <xdr:colOff>0</xdr:colOff>
          <xdr:row>87</xdr:row>
          <xdr:rowOff>0</xdr:rowOff>
        </xdr:from>
        <xdr:to>
          <xdr:col>2</xdr:col>
          <xdr:colOff>219075</xdr:colOff>
          <xdr:row>88</xdr:row>
          <xdr:rowOff>0</xdr:rowOff>
        </xdr:to>
        <xdr:sp macro="" textlink="">
          <xdr:nvSpPr>
            <xdr:cNvPr id="3112" name="Check Box P4C9" hidden="1">
              <a:extLst>
                <a:ext uri="{63B3BB69-23CF-44E3-9099-C40C66FF867C}">
                  <a14:compatExt spid="_x0000_s3112"/>
                </a:ext>
                <a:ext uri="{FF2B5EF4-FFF2-40B4-BE49-F238E27FC236}">
                  <a16:creationId xmlns:a16="http://schemas.microsoft.com/office/drawing/2014/main" id="{00000000-0008-0000-02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86</xdr:row>
          <xdr:rowOff>0</xdr:rowOff>
        </xdr:from>
        <xdr:to>
          <xdr:col>2</xdr:col>
          <xdr:colOff>219075</xdr:colOff>
          <xdr:row>87</xdr:row>
          <xdr:rowOff>0</xdr:rowOff>
        </xdr:to>
        <xdr:sp macro="" textlink="">
          <xdr:nvSpPr>
            <xdr:cNvPr id="3111" name="Check Box P4C8" hidden="1">
              <a:extLst>
                <a:ext uri="{63B3BB69-23CF-44E3-9099-C40C66FF867C}">
                  <a14:compatExt spid="_x0000_s3111"/>
                </a:ext>
                <a:ext uri="{FF2B5EF4-FFF2-40B4-BE49-F238E27FC236}">
                  <a16:creationId xmlns:a16="http://schemas.microsoft.com/office/drawing/2014/main" id="{00000000-0008-0000-02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85</xdr:row>
          <xdr:rowOff>0</xdr:rowOff>
        </xdr:from>
        <xdr:to>
          <xdr:col>2</xdr:col>
          <xdr:colOff>219075</xdr:colOff>
          <xdr:row>86</xdr:row>
          <xdr:rowOff>0</xdr:rowOff>
        </xdr:to>
        <xdr:sp macro="" textlink="">
          <xdr:nvSpPr>
            <xdr:cNvPr id="3110" name="Check Box P4C7" hidden="1">
              <a:extLst>
                <a:ext uri="{63B3BB69-23CF-44E3-9099-C40C66FF867C}">
                  <a14:compatExt spid="_x0000_s3110"/>
                </a:ext>
                <a:ext uri="{FF2B5EF4-FFF2-40B4-BE49-F238E27FC236}">
                  <a16:creationId xmlns:a16="http://schemas.microsoft.com/office/drawing/2014/main" id="{00000000-0008-0000-02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84</xdr:row>
          <xdr:rowOff>0</xdr:rowOff>
        </xdr:from>
        <xdr:to>
          <xdr:col>2</xdr:col>
          <xdr:colOff>219075</xdr:colOff>
          <xdr:row>85</xdr:row>
          <xdr:rowOff>0</xdr:rowOff>
        </xdr:to>
        <xdr:sp macro="" textlink="">
          <xdr:nvSpPr>
            <xdr:cNvPr id="3109" name="Check Box P4C6" hidden="1">
              <a:extLst>
                <a:ext uri="{63B3BB69-23CF-44E3-9099-C40C66FF867C}">
                  <a14:compatExt spid="_x0000_s3109"/>
                </a:ext>
                <a:ext uri="{FF2B5EF4-FFF2-40B4-BE49-F238E27FC236}">
                  <a16:creationId xmlns:a16="http://schemas.microsoft.com/office/drawing/2014/main" id="{00000000-0008-0000-02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83</xdr:row>
          <xdr:rowOff>0</xdr:rowOff>
        </xdr:from>
        <xdr:to>
          <xdr:col>2</xdr:col>
          <xdr:colOff>219075</xdr:colOff>
          <xdr:row>84</xdr:row>
          <xdr:rowOff>0</xdr:rowOff>
        </xdr:to>
        <xdr:sp macro="" textlink="">
          <xdr:nvSpPr>
            <xdr:cNvPr id="3108" name="Check Box P4C5" hidden="1">
              <a:extLst>
                <a:ext uri="{63B3BB69-23CF-44E3-9099-C40C66FF867C}">
                  <a14:compatExt spid="_x0000_s3108"/>
                </a:ext>
                <a:ext uri="{FF2B5EF4-FFF2-40B4-BE49-F238E27FC236}">
                  <a16:creationId xmlns:a16="http://schemas.microsoft.com/office/drawing/2014/main" id="{00000000-0008-0000-02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82</xdr:row>
          <xdr:rowOff>0</xdr:rowOff>
        </xdr:from>
        <xdr:to>
          <xdr:col>2</xdr:col>
          <xdr:colOff>219075</xdr:colOff>
          <xdr:row>83</xdr:row>
          <xdr:rowOff>0</xdr:rowOff>
        </xdr:to>
        <xdr:sp macro="" textlink="">
          <xdr:nvSpPr>
            <xdr:cNvPr id="3107" name="Check Box P4C4" hidden="1">
              <a:extLst>
                <a:ext uri="{63B3BB69-23CF-44E3-9099-C40C66FF867C}">
                  <a14:compatExt spid="_x0000_s3107"/>
                </a:ext>
                <a:ext uri="{FF2B5EF4-FFF2-40B4-BE49-F238E27FC236}">
                  <a16:creationId xmlns:a16="http://schemas.microsoft.com/office/drawing/2014/main" id="{00000000-0008-0000-02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81</xdr:row>
          <xdr:rowOff>0</xdr:rowOff>
        </xdr:from>
        <xdr:to>
          <xdr:col>2</xdr:col>
          <xdr:colOff>219075</xdr:colOff>
          <xdr:row>82</xdr:row>
          <xdr:rowOff>0</xdr:rowOff>
        </xdr:to>
        <xdr:sp macro="" textlink="">
          <xdr:nvSpPr>
            <xdr:cNvPr id="3106" name="Check Box P4C3" hidden="1">
              <a:extLst>
                <a:ext uri="{63B3BB69-23CF-44E3-9099-C40C66FF867C}">
                  <a14:compatExt spid="_x0000_s3106"/>
                </a:ext>
                <a:ext uri="{FF2B5EF4-FFF2-40B4-BE49-F238E27FC236}">
                  <a16:creationId xmlns:a16="http://schemas.microsoft.com/office/drawing/2014/main" id="{00000000-0008-0000-02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80</xdr:row>
          <xdr:rowOff>0</xdr:rowOff>
        </xdr:from>
        <xdr:to>
          <xdr:col>2</xdr:col>
          <xdr:colOff>219075</xdr:colOff>
          <xdr:row>81</xdr:row>
          <xdr:rowOff>0</xdr:rowOff>
        </xdr:to>
        <xdr:sp macro="" textlink="">
          <xdr:nvSpPr>
            <xdr:cNvPr id="3105" name="Check Box P4C2" hidden="1">
              <a:extLst>
                <a:ext uri="{63B3BB69-23CF-44E3-9099-C40C66FF867C}">
                  <a14:compatExt spid="_x0000_s3105"/>
                </a:ext>
                <a:ext uri="{FF2B5EF4-FFF2-40B4-BE49-F238E27FC236}">
                  <a16:creationId xmlns:a16="http://schemas.microsoft.com/office/drawing/2014/main" id="{00000000-0008-0000-02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79</xdr:row>
          <xdr:rowOff>0</xdr:rowOff>
        </xdr:from>
        <xdr:to>
          <xdr:col>2</xdr:col>
          <xdr:colOff>219075</xdr:colOff>
          <xdr:row>80</xdr:row>
          <xdr:rowOff>0</xdr:rowOff>
        </xdr:to>
        <xdr:sp macro="" textlink="">
          <xdr:nvSpPr>
            <xdr:cNvPr id="3104" name="Check Box P4C1" hidden="1">
              <a:extLst>
                <a:ext uri="{63B3BB69-23CF-44E3-9099-C40C66FF867C}">
                  <a14:compatExt spid="_x0000_s3104"/>
                </a:ext>
                <a:ext uri="{FF2B5EF4-FFF2-40B4-BE49-F238E27FC236}">
                  <a16:creationId xmlns:a16="http://schemas.microsoft.com/office/drawing/2014/main" id="{00000000-0008-0000-02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65</xdr:row>
      <xdr:rowOff>0</xdr:rowOff>
    </xdr:from>
    <xdr:to>
      <xdr:col>2</xdr:col>
      <xdr:colOff>1965325</xdr:colOff>
      <xdr:row>66</xdr:row>
      <xdr:rowOff>0</xdr:rowOff>
    </xdr:to>
    <xdr:sp macro="" textlink="">
      <xdr:nvSpPr>
        <xdr:cNvPr id="3131" name="Text Box P3C9">
          <a:extLst>
            <a:ext uri="{FF2B5EF4-FFF2-40B4-BE49-F238E27FC236}">
              <a16:creationId xmlns:a16="http://schemas.microsoft.com/office/drawing/2014/main" id="{00000000-0008-0000-0200-00003B0C0000}"/>
            </a:ext>
          </a:extLst>
        </xdr:cNvPr>
        <xdr:cNvSpPr txBox="1"/>
      </xdr:nvSpPr>
      <xdr:spPr>
        <a:xfrm>
          <a:off x="949325" y="12753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Wastewater</a:t>
          </a:r>
        </a:p>
      </xdr:txBody>
    </xdr:sp>
    <xdr:clientData/>
  </xdr:twoCellAnchor>
  <xdr:twoCellAnchor>
    <xdr:from>
      <xdr:col>2</xdr:col>
      <xdr:colOff>187325</xdr:colOff>
      <xdr:row>64</xdr:row>
      <xdr:rowOff>0</xdr:rowOff>
    </xdr:from>
    <xdr:to>
      <xdr:col>2</xdr:col>
      <xdr:colOff>1965325</xdr:colOff>
      <xdr:row>65</xdr:row>
      <xdr:rowOff>0</xdr:rowOff>
    </xdr:to>
    <xdr:sp macro="" textlink="">
      <xdr:nvSpPr>
        <xdr:cNvPr id="3130" name="Text Box P3C8">
          <a:extLst>
            <a:ext uri="{FF2B5EF4-FFF2-40B4-BE49-F238E27FC236}">
              <a16:creationId xmlns:a16="http://schemas.microsoft.com/office/drawing/2014/main" id="{00000000-0008-0000-0200-00003A0C0000}"/>
            </a:ext>
          </a:extLst>
        </xdr:cNvPr>
        <xdr:cNvSpPr txBox="1"/>
      </xdr:nvSpPr>
      <xdr:spPr>
        <a:xfrm>
          <a:off x="949325" y="12563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a:t>
          </a:r>
        </a:p>
      </xdr:txBody>
    </xdr:sp>
    <xdr:clientData/>
  </xdr:twoCellAnchor>
  <xdr:twoCellAnchor>
    <xdr:from>
      <xdr:col>2</xdr:col>
      <xdr:colOff>187325</xdr:colOff>
      <xdr:row>63</xdr:row>
      <xdr:rowOff>0</xdr:rowOff>
    </xdr:from>
    <xdr:to>
      <xdr:col>2</xdr:col>
      <xdr:colOff>1965325</xdr:colOff>
      <xdr:row>64</xdr:row>
      <xdr:rowOff>0</xdr:rowOff>
    </xdr:to>
    <xdr:sp macro="" textlink="">
      <xdr:nvSpPr>
        <xdr:cNvPr id="3129" name="Text Box P3C7">
          <a:extLst>
            <a:ext uri="{FF2B5EF4-FFF2-40B4-BE49-F238E27FC236}">
              <a16:creationId xmlns:a16="http://schemas.microsoft.com/office/drawing/2014/main" id="{00000000-0008-0000-0200-0000390C0000}"/>
            </a:ext>
          </a:extLst>
        </xdr:cNvPr>
        <xdr:cNvSpPr txBox="1"/>
      </xdr:nvSpPr>
      <xdr:spPr>
        <a:xfrm>
          <a:off x="949325" y="12372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62</xdr:row>
      <xdr:rowOff>0</xdr:rowOff>
    </xdr:from>
    <xdr:to>
      <xdr:col>2</xdr:col>
      <xdr:colOff>1965325</xdr:colOff>
      <xdr:row>63</xdr:row>
      <xdr:rowOff>0</xdr:rowOff>
    </xdr:to>
    <xdr:sp macro="" textlink="">
      <xdr:nvSpPr>
        <xdr:cNvPr id="3128" name="Text Box P3C6">
          <a:extLst>
            <a:ext uri="{FF2B5EF4-FFF2-40B4-BE49-F238E27FC236}">
              <a16:creationId xmlns:a16="http://schemas.microsoft.com/office/drawing/2014/main" id="{00000000-0008-0000-0200-0000380C0000}"/>
            </a:ext>
          </a:extLst>
        </xdr:cNvPr>
        <xdr:cNvSpPr txBox="1"/>
      </xdr:nvSpPr>
      <xdr:spPr>
        <a:xfrm>
          <a:off x="949325" y="12182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Leakage</a:t>
          </a:r>
        </a:p>
      </xdr:txBody>
    </xdr:sp>
    <xdr:clientData/>
  </xdr:twoCellAnchor>
  <xdr:twoCellAnchor>
    <xdr:from>
      <xdr:col>2</xdr:col>
      <xdr:colOff>187325</xdr:colOff>
      <xdr:row>61</xdr:row>
      <xdr:rowOff>0</xdr:rowOff>
    </xdr:from>
    <xdr:to>
      <xdr:col>2</xdr:col>
      <xdr:colOff>1965325</xdr:colOff>
      <xdr:row>62</xdr:row>
      <xdr:rowOff>0</xdr:rowOff>
    </xdr:to>
    <xdr:sp macro="" textlink="">
      <xdr:nvSpPr>
        <xdr:cNvPr id="3127" name="Text Box P3C5">
          <a:extLst>
            <a:ext uri="{FF2B5EF4-FFF2-40B4-BE49-F238E27FC236}">
              <a16:creationId xmlns:a16="http://schemas.microsoft.com/office/drawing/2014/main" id="{00000000-0008-0000-0200-0000370C0000}"/>
            </a:ext>
          </a:extLst>
        </xdr:cNvPr>
        <xdr:cNvSpPr txBox="1"/>
      </xdr:nvSpPr>
      <xdr:spPr>
        <a:xfrm>
          <a:off x="949325" y="11991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60</xdr:row>
      <xdr:rowOff>0</xdr:rowOff>
    </xdr:from>
    <xdr:to>
      <xdr:col>2</xdr:col>
      <xdr:colOff>1965325</xdr:colOff>
      <xdr:row>61</xdr:row>
      <xdr:rowOff>0</xdr:rowOff>
    </xdr:to>
    <xdr:sp macro="" textlink="">
      <xdr:nvSpPr>
        <xdr:cNvPr id="3126" name="Text Box P3C4">
          <a:extLst>
            <a:ext uri="{FF2B5EF4-FFF2-40B4-BE49-F238E27FC236}">
              <a16:creationId xmlns:a16="http://schemas.microsoft.com/office/drawing/2014/main" id="{00000000-0008-0000-0200-0000360C0000}"/>
            </a:ext>
          </a:extLst>
        </xdr:cNvPr>
        <xdr:cNvSpPr txBox="1"/>
      </xdr:nvSpPr>
      <xdr:spPr>
        <a:xfrm>
          <a:off x="949325" y="11801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Venting</a:t>
          </a:r>
        </a:p>
      </xdr:txBody>
    </xdr:sp>
    <xdr:clientData/>
  </xdr:twoCellAnchor>
  <xdr:twoCellAnchor>
    <xdr:from>
      <xdr:col>2</xdr:col>
      <xdr:colOff>187325</xdr:colOff>
      <xdr:row>59</xdr:row>
      <xdr:rowOff>0</xdr:rowOff>
    </xdr:from>
    <xdr:to>
      <xdr:col>2</xdr:col>
      <xdr:colOff>1965325</xdr:colOff>
      <xdr:row>60</xdr:row>
      <xdr:rowOff>0</xdr:rowOff>
    </xdr:to>
    <xdr:sp macro="" textlink="">
      <xdr:nvSpPr>
        <xdr:cNvPr id="3125" name="Text Box P3C3">
          <a:extLst>
            <a:ext uri="{FF2B5EF4-FFF2-40B4-BE49-F238E27FC236}">
              <a16:creationId xmlns:a16="http://schemas.microsoft.com/office/drawing/2014/main" id="{00000000-0008-0000-0200-0000350C0000}"/>
            </a:ext>
          </a:extLst>
        </xdr:cNvPr>
        <xdr:cNvSpPr txBox="1"/>
      </xdr:nvSpPr>
      <xdr:spPr>
        <a:xfrm>
          <a:off x="949325" y="11610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58</xdr:row>
      <xdr:rowOff>0</xdr:rowOff>
    </xdr:from>
    <xdr:to>
      <xdr:col>2</xdr:col>
      <xdr:colOff>1965325</xdr:colOff>
      <xdr:row>59</xdr:row>
      <xdr:rowOff>0</xdr:rowOff>
    </xdr:to>
    <xdr:sp macro="" textlink="">
      <xdr:nvSpPr>
        <xdr:cNvPr id="3124" name="Text Box P3C2">
          <a:extLst>
            <a:ext uri="{FF2B5EF4-FFF2-40B4-BE49-F238E27FC236}">
              <a16:creationId xmlns:a16="http://schemas.microsoft.com/office/drawing/2014/main" id="{00000000-0008-0000-0200-0000340C0000}"/>
            </a:ext>
          </a:extLst>
        </xdr:cNvPr>
        <xdr:cNvSpPr txBox="1"/>
      </xdr:nvSpPr>
      <xdr:spPr>
        <a:xfrm>
          <a:off x="949325" y="11420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a:t>
          </a:r>
          <a:r>
            <a:rPr lang="en-US" sz="1100" baseline="0">
              <a:latin typeface="Aptos Narrow" panose="020B0004020202020204" pitchFamily="34" charset="0"/>
            </a:rPr>
            <a:t> process</a:t>
          </a:r>
          <a:endParaRPr lang="en-US" sz="1100">
            <a:latin typeface="Aptos Narrow" panose="020B0004020202020204" pitchFamily="34" charset="0"/>
          </a:endParaRPr>
        </a:p>
      </xdr:txBody>
    </xdr:sp>
    <xdr:clientData/>
  </xdr:twoCellAnchor>
  <xdr:twoCellAnchor>
    <xdr:from>
      <xdr:col>2</xdr:col>
      <xdr:colOff>187325</xdr:colOff>
      <xdr:row>57</xdr:row>
      <xdr:rowOff>0</xdr:rowOff>
    </xdr:from>
    <xdr:to>
      <xdr:col>2</xdr:col>
      <xdr:colOff>1965325</xdr:colOff>
      <xdr:row>58</xdr:row>
      <xdr:rowOff>0</xdr:rowOff>
    </xdr:to>
    <xdr:sp macro="" textlink="">
      <xdr:nvSpPr>
        <xdr:cNvPr id="3123" name="Text Box P3C1">
          <a:extLst>
            <a:ext uri="{FF2B5EF4-FFF2-40B4-BE49-F238E27FC236}">
              <a16:creationId xmlns:a16="http://schemas.microsoft.com/office/drawing/2014/main" id="{00000000-0008-0000-0200-0000330C0000}"/>
            </a:ext>
          </a:extLst>
        </xdr:cNvPr>
        <xdr:cNvSpPr txBox="1"/>
      </xdr:nvSpPr>
      <xdr:spPr>
        <a:xfrm>
          <a:off x="949325" y="11229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 fuel combustion</a:t>
          </a:r>
        </a:p>
      </xdr:txBody>
    </xdr:sp>
    <xdr:clientData/>
  </xdr:twoCellAnchor>
  <mc:AlternateContent xmlns:mc="http://schemas.openxmlformats.org/markup-compatibility/2006">
    <mc:Choice xmlns:a14="http://schemas.microsoft.com/office/drawing/2010/main" Requires="a14">
      <xdr:twoCellAnchor>
        <xdr:from>
          <xdr:col>2</xdr:col>
          <xdr:colOff>0</xdr:colOff>
          <xdr:row>65</xdr:row>
          <xdr:rowOff>0</xdr:rowOff>
        </xdr:from>
        <xdr:to>
          <xdr:col>2</xdr:col>
          <xdr:colOff>219075</xdr:colOff>
          <xdr:row>66</xdr:row>
          <xdr:rowOff>0</xdr:rowOff>
        </xdr:to>
        <xdr:sp macro="" textlink="">
          <xdr:nvSpPr>
            <xdr:cNvPr id="3103" name="Check Box P3C9" hidden="1">
              <a:extLst>
                <a:ext uri="{63B3BB69-23CF-44E3-9099-C40C66FF867C}">
                  <a14:compatExt spid="_x0000_s3103"/>
                </a:ext>
                <a:ext uri="{FF2B5EF4-FFF2-40B4-BE49-F238E27FC236}">
                  <a16:creationId xmlns:a16="http://schemas.microsoft.com/office/drawing/2014/main" id="{00000000-0008-0000-02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64</xdr:row>
          <xdr:rowOff>0</xdr:rowOff>
        </xdr:from>
        <xdr:to>
          <xdr:col>2</xdr:col>
          <xdr:colOff>219075</xdr:colOff>
          <xdr:row>65</xdr:row>
          <xdr:rowOff>0</xdr:rowOff>
        </xdr:to>
        <xdr:sp macro="" textlink="">
          <xdr:nvSpPr>
            <xdr:cNvPr id="3102" name="Check Box P3C8" hidden="1">
              <a:extLst>
                <a:ext uri="{63B3BB69-23CF-44E3-9099-C40C66FF867C}">
                  <a14:compatExt spid="_x0000_s3102"/>
                </a:ext>
                <a:ext uri="{FF2B5EF4-FFF2-40B4-BE49-F238E27FC236}">
                  <a16:creationId xmlns:a16="http://schemas.microsoft.com/office/drawing/2014/main" id="{00000000-0008-0000-02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63</xdr:row>
          <xdr:rowOff>0</xdr:rowOff>
        </xdr:from>
        <xdr:to>
          <xdr:col>2</xdr:col>
          <xdr:colOff>219075</xdr:colOff>
          <xdr:row>64</xdr:row>
          <xdr:rowOff>0</xdr:rowOff>
        </xdr:to>
        <xdr:sp macro="" textlink="">
          <xdr:nvSpPr>
            <xdr:cNvPr id="3101" name="Check Box P3C7" hidden="1">
              <a:extLst>
                <a:ext uri="{63B3BB69-23CF-44E3-9099-C40C66FF867C}">
                  <a14:compatExt spid="_x0000_s3101"/>
                </a:ext>
                <a:ext uri="{FF2B5EF4-FFF2-40B4-BE49-F238E27FC236}">
                  <a16:creationId xmlns:a16="http://schemas.microsoft.com/office/drawing/2014/main" id="{00000000-0008-0000-02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62</xdr:row>
          <xdr:rowOff>0</xdr:rowOff>
        </xdr:from>
        <xdr:to>
          <xdr:col>2</xdr:col>
          <xdr:colOff>219075</xdr:colOff>
          <xdr:row>63</xdr:row>
          <xdr:rowOff>0</xdr:rowOff>
        </xdr:to>
        <xdr:sp macro="" textlink="">
          <xdr:nvSpPr>
            <xdr:cNvPr id="3100" name="Check Box P3C6" hidden="1">
              <a:extLst>
                <a:ext uri="{63B3BB69-23CF-44E3-9099-C40C66FF867C}">
                  <a14:compatExt spid="_x0000_s3100"/>
                </a:ext>
                <a:ext uri="{FF2B5EF4-FFF2-40B4-BE49-F238E27FC236}">
                  <a16:creationId xmlns:a16="http://schemas.microsoft.com/office/drawing/2014/main" id="{00000000-0008-0000-02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61</xdr:row>
          <xdr:rowOff>0</xdr:rowOff>
        </xdr:from>
        <xdr:to>
          <xdr:col>2</xdr:col>
          <xdr:colOff>219075</xdr:colOff>
          <xdr:row>62</xdr:row>
          <xdr:rowOff>0</xdr:rowOff>
        </xdr:to>
        <xdr:sp macro="" textlink="">
          <xdr:nvSpPr>
            <xdr:cNvPr id="3099" name="Check Box P3C5" hidden="1">
              <a:extLst>
                <a:ext uri="{63B3BB69-23CF-44E3-9099-C40C66FF867C}">
                  <a14:compatExt spid="_x0000_s3099"/>
                </a:ext>
                <a:ext uri="{FF2B5EF4-FFF2-40B4-BE49-F238E27FC236}">
                  <a16:creationId xmlns:a16="http://schemas.microsoft.com/office/drawing/2014/main" id="{00000000-0008-0000-02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60</xdr:row>
          <xdr:rowOff>0</xdr:rowOff>
        </xdr:from>
        <xdr:to>
          <xdr:col>2</xdr:col>
          <xdr:colOff>219075</xdr:colOff>
          <xdr:row>61</xdr:row>
          <xdr:rowOff>0</xdr:rowOff>
        </xdr:to>
        <xdr:sp macro="" textlink="">
          <xdr:nvSpPr>
            <xdr:cNvPr id="3098" name="Check Box P3C4" hidden="1">
              <a:extLst>
                <a:ext uri="{63B3BB69-23CF-44E3-9099-C40C66FF867C}">
                  <a14:compatExt spid="_x0000_s3098"/>
                </a:ext>
                <a:ext uri="{FF2B5EF4-FFF2-40B4-BE49-F238E27FC236}">
                  <a16:creationId xmlns:a16="http://schemas.microsoft.com/office/drawing/2014/main" id="{00000000-0008-0000-02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59</xdr:row>
          <xdr:rowOff>0</xdr:rowOff>
        </xdr:from>
        <xdr:to>
          <xdr:col>2</xdr:col>
          <xdr:colOff>219075</xdr:colOff>
          <xdr:row>60</xdr:row>
          <xdr:rowOff>0</xdr:rowOff>
        </xdr:to>
        <xdr:sp macro="" textlink="">
          <xdr:nvSpPr>
            <xdr:cNvPr id="3097" name="Check Box P3C3" hidden="1">
              <a:extLst>
                <a:ext uri="{63B3BB69-23CF-44E3-9099-C40C66FF867C}">
                  <a14:compatExt spid="_x0000_s3097"/>
                </a:ext>
                <a:ext uri="{FF2B5EF4-FFF2-40B4-BE49-F238E27FC236}">
                  <a16:creationId xmlns:a16="http://schemas.microsoft.com/office/drawing/2014/main" id="{00000000-0008-0000-02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58</xdr:row>
          <xdr:rowOff>0</xdr:rowOff>
        </xdr:from>
        <xdr:to>
          <xdr:col>2</xdr:col>
          <xdr:colOff>219075</xdr:colOff>
          <xdr:row>59</xdr:row>
          <xdr:rowOff>0</xdr:rowOff>
        </xdr:to>
        <xdr:sp macro="" textlink="">
          <xdr:nvSpPr>
            <xdr:cNvPr id="3095" name="Check Box P3C2" hidden="1">
              <a:extLst>
                <a:ext uri="{63B3BB69-23CF-44E3-9099-C40C66FF867C}">
                  <a14:compatExt spid="_x0000_s3095"/>
                </a:ext>
                <a:ext uri="{FF2B5EF4-FFF2-40B4-BE49-F238E27FC236}">
                  <a16:creationId xmlns:a16="http://schemas.microsoft.com/office/drawing/2014/main" id="{00000000-0008-0000-02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57</xdr:row>
          <xdr:rowOff>0</xdr:rowOff>
        </xdr:from>
        <xdr:to>
          <xdr:col>2</xdr:col>
          <xdr:colOff>219075</xdr:colOff>
          <xdr:row>58</xdr:row>
          <xdr:rowOff>0</xdr:rowOff>
        </xdr:to>
        <xdr:sp macro="" textlink="">
          <xdr:nvSpPr>
            <xdr:cNvPr id="3094" name="Check Box P3C1" hidden="1">
              <a:extLst>
                <a:ext uri="{63B3BB69-23CF-44E3-9099-C40C66FF867C}">
                  <a14:compatExt spid="_x0000_s3094"/>
                </a:ext>
                <a:ext uri="{FF2B5EF4-FFF2-40B4-BE49-F238E27FC236}">
                  <a16:creationId xmlns:a16="http://schemas.microsoft.com/office/drawing/2014/main" id="{00000000-0008-0000-02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43</xdr:row>
      <xdr:rowOff>0</xdr:rowOff>
    </xdr:from>
    <xdr:to>
      <xdr:col>2</xdr:col>
      <xdr:colOff>1965325</xdr:colOff>
      <xdr:row>44</xdr:row>
      <xdr:rowOff>0</xdr:rowOff>
    </xdr:to>
    <xdr:sp macro="" textlink="">
      <xdr:nvSpPr>
        <xdr:cNvPr id="3120" name="Text Box P2C9">
          <a:extLst>
            <a:ext uri="{FF2B5EF4-FFF2-40B4-BE49-F238E27FC236}">
              <a16:creationId xmlns:a16="http://schemas.microsoft.com/office/drawing/2014/main" id="{00000000-0008-0000-0200-0000300C0000}"/>
            </a:ext>
          </a:extLst>
        </xdr:cNvPr>
        <xdr:cNvSpPr txBox="1"/>
      </xdr:nvSpPr>
      <xdr:spPr>
        <a:xfrm>
          <a:off x="949325" y="8562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Wastewater</a:t>
          </a:r>
        </a:p>
      </xdr:txBody>
    </xdr:sp>
    <xdr:clientData/>
  </xdr:twoCellAnchor>
  <xdr:twoCellAnchor>
    <xdr:from>
      <xdr:col>2</xdr:col>
      <xdr:colOff>187325</xdr:colOff>
      <xdr:row>42</xdr:row>
      <xdr:rowOff>0</xdr:rowOff>
    </xdr:from>
    <xdr:to>
      <xdr:col>2</xdr:col>
      <xdr:colOff>1965325</xdr:colOff>
      <xdr:row>43</xdr:row>
      <xdr:rowOff>0</xdr:rowOff>
    </xdr:to>
    <xdr:sp macro="" textlink="">
      <xdr:nvSpPr>
        <xdr:cNvPr id="3096" name="Text Box P2C8">
          <a:extLst>
            <a:ext uri="{FF2B5EF4-FFF2-40B4-BE49-F238E27FC236}">
              <a16:creationId xmlns:a16="http://schemas.microsoft.com/office/drawing/2014/main" id="{00000000-0008-0000-0200-0000180C0000}"/>
            </a:ext>
          </a:extLst>
        </xdr:cNvPr>
        <xdr:cNvSpPr txBox="1"/>
      </xdr:nvSpPr>
      <xdr:spPr>
        <a:xfrm>
          <a:off x="949325" y="8372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a:t>
          </a:r>
        </a:p>
      </xdr:txBody>
    </xdr:sp>
    <xdr:clientData/>
  </xdr:twoCellAnchor>
  <xdr:twoCellAnchor>
    <xdr:from>
      <xdr:col>2</xdr:col>
      <xdr:colOff>187325</xdr:colOff>
      <xdr:row>41</xdr:row>
      <xdr:rowOff>0</xdr:rowOff>
    </xdr:from>
    <xdr:to>
      <xdr:col>2</xdr:col>
      <xdr:colOff>1965325</xdr:colOff>
      <xdr:row>42</xdr:row>
      <xdr:rowOff>0</xdr:rowOff>
    </xdr:to>
    <xdr:sp macro="" textlink="">
      <xdr:nvSpPr>
        <xdr:cNvPr id="3093" name="Text Box P2C7">
          <a:extLst>
            <a:ext uri="{FF2B5EF4-FFF2-40B4-BE49-F238E27FC236}">
              <a16:creationId xmlns:a16="http://schemas.microsoft.com/office/drawing/2014/main" id="{00000000-0008-0000-0200-0000150C0000}"/>
            </a:ext>
          </a:extLst>
        </xdr:cNvPr>
        <xdr:cNvSpPr txBox="1"/>
      </xdr:nvSpPr>
      <xdr:spPr>
        <a:xfrm>
          <a:off x="949325" y="8181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40</xdr:row>
      <xdr:rowOff>0</xdr:rowOff>
    </xdr:from>
    <xdr:to>
      <xdr:col>2</xdr:col>
      <xdr:colOff>1965325</xdr:colOff>
      <xdr:row>41</xdr:row>
      <xdr:rowOff>0</xdr:rowOff>
    </xdr:to>
    <xdr:sp macro="" textlink="">
      <xdr:nvSpPr>
        <xdr:cNvPr id="3089" name="Text Box P2C6">
          <a:extLst>
            <a:ext uri="{FF2B5EF4-FFF2-40B4-BE49-F238E27FC236}">
              <a16:creationId xmlns:a16="http://schemas.microsoft.com/office/drawing/2014/main" id="{00000000-0008-0000-0200-0000110C0000}"/>
            </a:ext>
          </a:extLst>
        </xdr:cNvPr>
        <xdr:cNvSpPr txBox="1"/>
      </xdr:nvSpPr>
      <xdr:spPr>
        <a:xfrm>
          <a:off x="949325" y="7991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Leakage</a:t>
          </a:r>
        </a:p>
      </xdr:txBody>
    </xdr:sp>
    <xdr:clientData/>
  </xdr:twoCellAnchor>
  <xdr:twoCellAnchor>
    <xdr:from>
      <xdr:col>2</xdr:col>
      <xdr:colOff>187325</xdr:colOff>
      <xdr:row>39</xdr:row>
      <xdr:rowOff>0</xdr:rowOff>
    </xdr:from>
    <xdr:to>
      <xdr:col>2</xdr:col>
      <xdr:colOff>1965325</xdr:colOff>
      <xdr:row>40</xdr:row>
      <xdr:rowOff>0</xdr:rowOff>
    </xdr:to>
    <xdr:sp macro="" textlink="">
      <xdr:nvSpPr>
        <xdr:cNvPr id="3081" name="Text Box P2C5">
          <a:extLst>
            <a:ext uri="{FF2B5EF4-FFF2-40B4-BE49-F238E27FC236}">
              <a16:creationId xmlns:a16="http://schemas.microsoft.com/office/drawing/2014/main" id="{00000000-0008-0000-0200-0000090C0000}"/>
            </a:ext>
          </a:extLst>
        </xdr:cNvPr>
        <xdr:cNvSpPr txBox="1"/>
      </xdr:nvSpPr>
      <xdr:spPr>
        <a:xfrm>
          <a:off x="949325" y="7800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38</xdr:row>
      <xdr:rowOff>0</xdr:rowOff>
    </xdr:from>
    <xdr:to>
      <xdr:col>2</xdr:col>
      <xdr:colOff>1965325</xdr:colOff>
      <xdr:row>39</xdr:row>
      <xdr:rowOff>0</xdr:rowOff>
    </xdr:to>
    <xdr:sp macro="" textlink="">
      <xdr:nvSpPr>
        <xdr:cNvPr id="3072" name="Text Box P2C4">
          <a:extLst>
            <a:ext uri="{FF2B5EF4-FFF2-40B4-BE49-F238E27FC236}">
              <a16:creationId xmlns:a16="http://schemas.microsoft.com/office/drawing/2014/main" id="{00000000-0008-0000-0200-0000000C0000}"/>
            </a:ext>
          </a:extLst>
        </xdr:cNvPr>
        <xdr:cNvSpPr txBox="1"/>
      </xdr:nvSpPr>
      <xdr:spPr>
        <a:xfrm>
          <a:off x="949325" y="7610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Venting</a:t>
          </a:r>
        </a:p>
      </xdr:txBody>
    </xdr:sp>
    <xdr:clientData/>
  </xdr:twoCellAnchor>
  <xdr:twoCellAnchor>
    <xdr:from>
      <xdr:col>2</xdr:col>
      <xdr:colOff>187325</xdr:colOff>
      <xdr:row>37</xdr:row>
      <xdr:rowOff>0</xdr:rowOff>
    </xdr:from>
    <xdr:to>
      <xdr:col>2</xdr:col>
      <xdr:colOff>1965325</xdr:colOff>
      <xdr:row>38</xdr:row>
      <xdr:rowOff>0</xdr:rowOff>
    </xdr:to>
    <xdr:sp macro="" textlink="">
      <xdr:nvSpPr>
        <xdr:cNvPr id="63" name="Text Box P2C3">
          <a:extLst>
            <a:ext uri="{FF2B5EF4-FFF2-40B4-BE49-F238E27FC236}">
              <a16:creationId xmlns:a16="http://schemas.microsoft.com/office/drawing/2014/main" id="{00000000-0008-0000-0200-00003F000000}"/>
            </a:ext>
          </a:extLst>
        </xdr:cNvPr>
        <xdr:cNvSpPr txBox="1"/>
      </xdr:nvSpPr>
      <xdr:spPr>
        <a:xfrm>
          <a:off x="949325" y="7419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36</xdr:row>
      <xdr:rowOff>0</xdr:rowOff>
    </xdr:from>
    <xdr:to>
      <xdr:col>2</xdr:col>
      <xdr:colOff>1965325</xdr:colOff>
      <xdr:row>37</xdr:row>
      <xdr:rowOff>0</xdr:rowOff>
    </xdr:to>
    <xdr:sp macro="" textlink="">
      <xdr:nvSpPr>
        <xdr:cNvPr id="62" name="Text Box P2C2">
          <a:extLst>
            <a:ext uri="{FF2B5EF4-FFF2-40B4-BE49-F238E27FC236}">
              <a16:creationId xmlns:a16="http://schemas.microsoft.com/office/drawing/2014/main" id="{00000000-0008-0000-0200-00003E000000}"/>
            </a:ext>
          </a:extLst>
        </xdr:cNvPr>
        <xdr:cNvSpPr txBox="1"/>
      </xdr:nvSpPr>
      <xdr:spPr>
        <a:xfrm>
          <a:off x="949325" y="7229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a:t>
          </a:r>
          <a:r>
            <a:rPr lang="en-US" sz="1100" baseline="0">
              <a:latin typeface="Aptos Narrow" panose="020B0004020202020204" pitchFamily="34" charset="0"/>
            </a:rPr>
            <a:t> process</a:t>
          </a:r>
          <a:endParaRPr lang="en-US" sz="1100">
            <a:latin typeface="Aptos Narrow" panose="020B0004020202020204" pitchFamily="34" charset="0"/>
          </a:endParaRPr>
        </a:p>
      </xdr:txBody>
    </xdr:sp>
    <xdr:clientData/>
  </xdr:twoCellAnchor>
  <xdr:twoCellAnchor>
    <xdr:from>
      <xdr:col>2</xdr:col>
      <xdr:colOff>187325</xdr:colOff>
      <xdr:row>35</xdr:row>
      <xdr:rowOff>0</xdr:rowOff>
    </xdr:from>
    <xdr:to>
      <xdr:col>2</xdr:col>
      <xdr:colOff>1965325</xdr:colOff>
      <xdr:row>36</xdr:row>
      <xdr:rowOff>0</xdr:rowOff>
    </xdr:to>
    <xdr:sp macro="" textlink="">
      <xdr:nvSpPr>
        <xdr:cNvPr id="61" name="Text Box P2C1">
          <a:extLst>
            <a:ext uri="{FF2B5EF4-FFF2-40B4-BE49-F238E27FC236}">
              <a16:creationId xmlns:a16="http://schemas.microsoft.com/office/drawing/2014/main" id="{00000000-0008-0000-0200-00003D000000}"/>
            </a:ext>
          </a:extLst>
        </xdr:cNvPr>
        <xdr:cNvSpPr txBox="1"/>
      </xdr:nvSpPr>
      <xdr:spPr>
        <a:xfrm>
          <a:off x="949325" y="7038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 fuel combustion</a:t>
          </a:r>
        </a:p>
      </xdr:txBody>
    </xdr:sp>
    <xdr:clientData/>
  </xdr:twoCellAnchor>
  <mc:AlternateContent xmlns:mc="http://schemas.openxmlformats.org/markup-compatibility/2006">
    <mc:Choice xmlns:a14="http://schemas.microsoft.com/office/drawing/2010/main" Requires="a14">
      <xdr:twoCellAnchor>
        <xdr:from>
          <xdr:col>2</xdr:col>
          <xdr:colOff>0</xdr:colOff>
          <xdr:row>43</xdr:row>
          <xdr:rowOff>0</xdr:rowOff>
        </xdr:from>
        <xdr:to>
          <xdr:col>2</xdr:col>
          <xdr:colOff>219075</xdr:colOff>
          <xdr:row>44</xdr:row>
          <xdr:rowOff>0</xdr:rowOff>
        </xdr:to>
        <xdr:sp macro="" textlink="">
          <xdr:nvSpPr>
            <xdr:cNvPr id="3092" name="Check Box P2C9" hidden="1">
              <a:extLst>
                <a:ext uri="{63B3BB69-23CF-44E3-9099-C40C66FF867C}">
                  <a14:compatExt spid="_x0000_s3092"/>
                </a:ext>
                <a:ext uri="{FF2B5EF4-FFF2-40B4-BE49-F238E27FC236}">
                  <a16:creationId xmlns:a16="http://schemas.microsoft.com/office/drawing/2014/main" id="{00000000-0008-0000-02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42</xdr:row>
          <xdr:rowOff>0</xdr:rowOff>
        </xdr:from>
        <xdr:to>
          <xdr:col>2</xdr:col>
          <xdr:colOff>219075</xdr:colOff>
          <xdr:row>43</xdr:row>
          <xdr:rowOff>0</xdr:rowOff>
        </xdr:to>
        <xdr:sp macro="" textlink="">
          <xdr:nvSpPr>
            <xdr:cNvPr id="3091" name="Check Box P2C8" hidden="1">
              <a:extLst>
                <a:ext uri="{63B3BB69-23CF-44E3-9099-C40C66FF867C}">
                  <a14:compatExt spid="_x0000_s3091"/>
                </a:ext>
                <a:ext uri="{FF2B5EF4-FFF2-40B4-BE49-F238E27FC236}">
                  <a16:creationId xmlns:a16="http://schemas.microsoft.com/office/drawing/2014/main" id="{00000000-0008-0000-02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41</xdr:row>
          <xdr:rowOff>0</xdr:rowOff>
        </xdr:from>
        <xdr:to>
          <xdr:col>2</xdr:col>
          <xdr:colOff>219075</xdr:colOff>
          <xdr:row>42</xdr:row>
          <xdr:rowOff>0</xdr:rowOff>
        </xdr:to>
        <xdr:sp macro="" textlink="">
          <xdr:nvSpPr>
            <xdr:cNvPr id="3090" name="Check Box P2C7" hidden="1">
              <a:extLst>
                <a:ext uri="{63B3BB69-23CF-44E3-9099-C40C66FF867C}">
                  <a14:compatExt spid="_x0000_s3090"/>
                </a:ext>
                <a:ext uri="{FF2B5EF4-FFF2-40B4-BE49-F238E27FC236}">
                  <a16:creationId xmlns:a16="http://schemas.microsoft.com/office/drawing/2014/main" id="{00000000-0008-0000-02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40</xdr:row>
          <xdr:rowOff>0</xdr:rowOff>
        </xdr:from>
        <xdr:to>
          <xdr:col>2</xdr:col>
          <xdr:colOff>219075</xdr:colOff>
          <xdr:row>41</xdr:row>
          <xdr:rowOff>0</xdr:rowOff>
        </xdr:to>
        <xdr:sp macro="" textlink="">
          <xdr:nvSpPr>
            <xdr:cNvPr id="3088" name="Check Box P2C6" hidden="1">
              <a:extLst>
                <a:ext uri="{63B3BB69-23CF-44E3-9099-C40C66FF867C}">
                  <a14:compatExt spid="_x0000_s3088"/>
                </a:ext>
                <a:ext uri="{FF2B5EF4-FFF2-40B4-BE49-F238E27FC236}">
                  <a16:creationId xmlns:a16="http://schemas.microsoft.com/office/drawing/2014/main" id="{00000000-0008-0000-02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39</xdr:row>
          <xdr:rowOff>0</xdr:rowOff>
        </xdr:from>
        <xdr:to>
          <xdr:col>2</xdr:col>
          <xdr:colOff>219075</xdr:colOff>
          <xdr:row>40</xdr:row>
          <xdr:rowOff>0</xdr:rowOff>
        </xdr:to>
        <xdr:sp macro="" textlink="">
          <xdr:nvSpPr>
            <xdr:cNvPr id="3087" name="Check Box P2C5"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38</xdr:row>
          <xdr:rowOff>0</xdr:rowOff>
        </xdr:from>
        <xdr:to>
          <xdr:col>2</xdr:col>
          <xdr:colOff>219075</xdr:colOff>
          <xdr:row>39</xdr:row>
          <xdr:rowOff>0</xdr:rowOff>
        </xdr:to>
        <xdr:sp macro="" textlink="">
          <xdr:nvSpPr>
            <xdr:cNvPr id="3086" name="Check Box P2C4"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37</xdr:row>
          <xdr:rowOff>0</xdr:rowOff>
        </xdr:from>
        <xdr:to>
          <xdr:col>2</xdr:col>
          <xdr:colOff>219075</xdr:colOff>
          <xdr:row>38</xdr:row>
          <xdr:rowOff>0</xdr:rowOff>
        </xdr:to>
        <xdr:sp macro="" textlink="">
          <xdr:nvSpPr>
            <xdr:cNvPr id="3085" name="Check Box P2C3"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36</xdr:row>
          <xdr:rowOff>0</xdr:rowOff>
        </xdr:from>
        <xdr:to>
          <xdr:col>2</xdr:col>
          <xdr:colOff>219075</xdr:colOff>
          <xdr:row>37</xdr:row>
          <xdr:rowOff>0</xdr:rowOff>
        </xdr:to>
        <xdr:sp macro="" textlink="">
          <xdr:nvSpPr>
            <xdr:cNvPr id="3084" name="Check Box P2C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35</xdr:row>
          <xdr:rowOff>0</xdr:rowOff>
        </xdr:from>
        <xdr:to>
          <xdr:col>2</xdr:col>
          <xdr:colOff>219075</xdr:colOff>
          <xdr:row>36</xdr:row>
          <xdr:rowOff>0</xdr:rowOff>
        </xdr:to>
        <xdr:sp macro="" textlink="">
          <xdr:nvSpPr>
            <xdr:cNvPr id="3083" name="Check Box P2C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187325</xdr:colOff>
      <xdr:row>21</xdr:row>
      <xdr:rowOff>0</xdr:rowOff>
    </xdr:from>
    <xdr:to>
      <xdr:col>2</xdr:col>
      <xdr:colOff>1965325</xdr:colOff>
      <xdr:row>22</xdr:row>
      <xdr:rowOff>0</xdr:rowOff>
    </xdr:to>
    <xdr:sp macro="" textlink="">
      <xdr:nvSpPr>
        <xdr:cNvPr id="60" name="Text Box P1C9">
          <a:extLst>
            <a:ext uri="{FF2B5EF4-FFF2-40B4-BE49-F238E27FC236}">
              <a16:creationId xmlns:a16="http://schemas.microsoft.com/office/drawing/2014/main" id="{00000000-0008-0000-0200-00003C000000}"/>
            </a:ext>
          </a:extLst>
        </xdr:cNvPr>
        <xdr:cNvSpPr txBox="1"/>
      </xdr:nvSpPr>
      <xdr:spPr>
        <a:xfrm>
          <a:off x="949325" y="4371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Wastewater</a:t>
          </a:r>
        </a:p>
      </xdr:txBody>
    </xdr:sp>
    <xdr:clientData/>
  </xdr:twoCellAnchor>
  <xdr:twoCellAnchor>
    <xdr:from>
      <xdr:col>2</xdr:col>
      <xdr:colOff>187325</xdr:colOff>
      <xdr:row>20</xdr:row>
      <xdr:rowOff>0</xdr:rowOff>
    </xdr:from>
    <xdr:to>
      <xdr:col>2</xdr:col>
      <xdr:colOff>1965325</xdr:colOff>
      <xdr:row>21</xdr:row>
      <xdr:rowOff>0</xdr:rowOff>
    </xdr:to>
    <xdr:sp macro="" textlink="">
      <xdr:nvSpPr>
        <xdr:cNvPr id="59" name="Text Box P1C8">
          <a:extLst>
            <a:ext uri="{FF2B5EF4-FFF2-40B4-BE49-F238E27FC236}">
              <a16:creationId xmlns:a16="http://schemas.microsoft.com/office/drawing/2014/main" id="{00000000-0008-0000-0200-00003B000000}"/>
            </a:ext>
          </a:extLst>
        </xdr:cNvPr>
        <xdr:cNvSpPr txBox="1"/>
      </xdr:nvSpPr>
      <xdr:spPr>
        <a:xfrm>
          <a:off x="949325" y="4181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Waste</a:t>
          </a:r>
        </a:p>
      </xdr:txBody>
    </xdr:sp>
    <xdr:clientData/>
  </xdr:twoCellAnchor>
  <xdr:twoCellAnchor>
    <xdr:from>
      <xdr:col>2</xdr:col>
      <xdr:colOff>187325</xdr:colOff>
      <xdr:row>19</xdr:row>
      <xdr:rowOff>0</xdr:rowOff>
    </xdr:from>
    <xdr:to>
      <xdr:col>2</xdr:col>
      <xdr:colOff>1965325</xdr:colOff>
      <xdr:row>20</xdr:row>
      <xdr:rowOff>0</xdr:rowOff>
    </xdr:to>
    <xdr:sp macro="" textlink="">
      <xdr:nvSpPr>
        <xdr:cNvPr id="58" name="Text Box P1C7">
          <a:extLst>
            <a:ext uri="{FF2B5EF4-FFF2-40B4-BE49-F238E27FC236}">
              <a16:creationId xmlns:a16="http://schemas.microsoft.com/office/drawing/2014/main" id="{00000000-0008-0000-0200-00003A000000}"/>
            </a:ext>
          </a:extLst>
        </xdr:cNvPr>
        <xdr:cNvSpPr txBox="1"/>
      </xdr:nvSpPr>
      <xdr:spPr>
        <a:xfrm>
          <a:off x="949325" y="3990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On-site transportation</a:t>
          </a:r>
        </a:p>
      </xdr:txBody>
    </xdr:sp>
    <xdr:clientData/>
  </xdr:twoCellAnchor>
  <xdr:twoCellAnchor>
    <xdr:from>
      <xdr:col>2</xdr:col>
      <xdr:colOff>187325</xdr:colOff>
      <xdr:row>18</xdr:row>
      <xdr:rowOff>0</xdr:rowOff>
    </xdr:from>
    <xdr:to>
      <xdr:col>2</xdr:col>
      <xdr:colOff>1965325</xdr:colOff>
      <xdr:row>19</xdr:row>
      <xdr:rowOff>0</xdr:rowOff>
    </xdr:to>
    <xdr:sp macro="" textlink="">
      <xdr:nvSpPr>
        <xdr:cNvPr id="57" name="Text Box P1C6">
          <a:extLst>
            <a:ext uri="{FF2B5EF4-FFF2-40B4-BE49-F238E27FC236}">
              <a16:creationId xmlns:a16="http://schemas.microsoft.com/office/drawing/2014/main" id="{00000000-0008-0000-0200-000039000000}"/>
            </a:ext>
          </a:extLst>
        </xdr:cNvPr>
        <xdr:cNvSpPr txBox="1"/>
      </xdr:nvSpPr>
      <xdr:spPr>
        <a:xfrm>
          <a:off x="949325" y="3800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Leakage</a:t>
          </a:r>
        </a:p>
      </xdr:txBody>
    </xdr:sp>
    <xdr:clientData/>
  </xdr:twoCellAnchor>
  <xdr:twoCellAnchor>
    <xdr:from>
      <xdr:col>2</xdr:col>
      <xdr:colOff>187325</xdr:colOff>
      <xdr:row>17</xdr:row>
      <xdr:rowOff>0</xdr:rowOff>
    </xdr:from>
    <xdr:to>
      <xdr:col>2</xdr:col>
      <xdr:colOff>1965325</xdr:colOff>
      <xdr:row>18</xdr:row>
      <xdr:rowOff>0</xdr:rowOff>
    </xdr:to>
    <xdr:sp macro="" textlink="">
      <xdr:nvSpPr>
        <xdr:cNvPr id="56" name="Text Box P1C5">
          <a:extLst>
            <a:ext uri="{FF2B5EF4-FFF2-40B4-BE49-F238E27FC236}">
              <a16:creationId xmlns:a16="http://schemas.microsoft.com/office/drawing/2014/main" id="{00000000-0008-0000-0200-000038000000}"/>
            </a:ext>
          </a:extLst>
        </xdr:cNvPr>
        <xdr:cNvSpPr txBox="1"/>
      </xdr:nvSpPr>
      <xdr:spPr>
        <a:xfrm>
          <a:off x="949325" y="3609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Flaring</a:t>
          </a:r>
        </a:p>
      </xdr:txBody>
    </xdr:sp>
    <xdr:clientData/>
  </xdr:twoCellAnchor>
  <xdr:twoCellAnchor>
    <xdr:from>
      <xdr:col>2</xdr:col>
      <xdr:colOff>187325</xdr:colOff>
      <xdr:row>16</xdr:row>
      <xdr:rowOff>0</xdr:rowOff>
    </xdr:from>
    <xdr:to>
      <xdr:col>2</xdr:col>
      <xdr:colOff>1965325</xdr:colOff>
      <xdr:row>17</xdr:row>
      <xdr:rowOff>0</xdr:rowOff>
    </xdr:to>
    <xdr:sp macro="" textlink="">
      <xdr:nvSpPr>
        <xdr:cNvPr id="55" name="Text Box P1C4">
          <a:extLst>
            <a:ext uri="{FF2B5EF4-FFF2-40B4-BE49-F238E27FC236}">
              <a16:creationId xmlns:a16="http://schemas.microsoft.com/office/drawing/2014/main" id="{00000000-0008-0000-0200-000037000000}"/>
            </a:ext>
          </a:extLst>
        </xdr:cNvPr>
        <xdr:cNvSpPr txBox="1"/>
      </xdr:nvSpPr>
      <xdr:spPr>
        <a:xfrm>
          <a:off x="949325" y="3419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Venting</a:t>
          </a:r>
        </a:p>
      </xdr:txBody>
    </xdr:sp>
    <xdr:clientData/>
  </xdr:twoCellAnchor>
  <xdr:twoCellAnchor>
    <xdr:from>
      <xdr:col>2</xdr:col>
      <xdr:colOff>187325</xdr:colOff>
      <xdr:row>15</xdr:row>
      <xdr:rowOff>0</xdr:rowOff>
    </xdr:from>
    <xdr:to>
      <xdr:col>2</xdr:col>
      <xdr:colOff>1965325</xdr:colOff>
      <xdr:row>16</xdr:row>
      <xdr:rowOff>0</xdr:rowOff>
    </xdr:to>
    <xdr:sp macro="" textlink="">
      <xdr:nvSpPr>
        <xdr:cNvPr id="54" name="Text Box P1C3">
          <a:extLst>
            <a:ext uri="{FF2B5EF4-FFF2-40B4-BE49-F238E27FC236}">
              <a16:creationId xmlns:a16="http://schemas.microsoft.com/office/drawing/2014/main" id="{00000000-0008-0000-0200-000036000000}"/>
            </a:ext>
          </a:extLst>
        </xdr:cNvPr>
        <xdr:cNvSpPr txBox="1"/>
      </xdr:nvSpPr>
      <xdr:spPr>
        <a:xfrm>
          <a:off x="949325" y="3228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 product use</a:t>
          </a:r>
        </a:p>
      </xdr:txBody>
    </xdr:sp>
    <xdr:clientData/>
  </xdr:twoCellAnchor>
  <xdr:twoCellAnchor>
    <xdr:from>
      <xdr:col>2</xdr:col>
      <xdr:colOff>187325</xdr:colOff>
      <xdr:row>14</xdr:row>
      <xdr:rowOff>0</xdr:rowOff>
    </xdr:from>
    <xdr:to>
      <xdr:col>2</xdr:col>
      <xdr:colOff>1965325</xdr:colOff>
      <xdr:row>15</xdr:row>
      <xdr:rowOff>0</xdr:rowOff>
    </xdr:to>
    <xdr:sp macro="" textlink="">
      <xdr:nvSpPr>
        <xdr:cNvPr id="53" name="Text Box P1C2">
          <a:extLst>
            <a:ext uri="{FF2B5EF4-FFF2-40B4-BE49-F238E27FC236}">
              <a16:creationId xmlns:a16="http://schemas.microsoft.com/office/drawing/2014/main" id="{00000000-0008-0000-0200-000035000000}"/>
            </a:ext>
          </a:extLst>
        </xdr:cNvPr>
        <xdr:cNvSpPr txBox="1"/>
      </xdr:nvSpPr>
      <xdr:spPr>
        <a:xfrm>
          <a:off x="949325" y="30384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Industrial</a:t>
          </a:r>
          <a:r>
            <a:rPr lang="en-US" sz="1100" baseline="0">
              <a:latin typeface="Aptos Narrow" panose="020B0004020202020204" pitchFamily="34" charset="0"/>
            </a:rPr>
            <a:t> process</a:t>
          </a:r>
          <a:endParaRPr lang="en-US" sz="1100">
            <a:latin typeface="Aptos Narrow" panose="020B0004020202020204" pitchFamily="34" charset="0"/>
          </a:endParaRPr>
        </a:p>
      </xdr:txBody>
    </xdr:sp>
    <xdr:clientData/>
  </xdr:twoCellAnchor>
  <xdr:twoCellAnchor>
    <xdr:from>
      <xdr:col>2</xdr:col>
      <xdr:colOff>187325</xdr:colOff>
      <xdr:row>13</xdr:row>
      <xdr:rowOff>0</xdr:rowOff>
    </xdr:from>
    <xdr:to>
      <xdr:col>2</xdr:col>
      <xdr:colOff>1965325</xdr:colOff>
      <xdr:row>14</xdr:row>
      <xdr:rowOff>0</xdr:rowOff>
    </xdr:to>
    <xdr:sp macro="" textlink="">
      <xdr:nvSpPr>
        <xdr:cNvPr id="52" name="Text Box P1C1">
          <a:extLst>
            <a:ext uri="{FF2B5EF4-FFF2-40B4-BE49-F238E27FC236}">
              <a16:creationId xmlns:a16="http://schemas.microsoft.com/office/drawing/2014/main" id="{00000000-0008-0000-0200-000034000000}"/>
            </a:ext>
          </a:extLst>
        </xdr:cNvPr>
        <xdr:cNvSpPr txBox="1"/>
      </xdr:nvSpPr>
      <xdr:spPr>
        <a:xfrm>
          <a:off x="949325" y="2847975"/>
          <a:ext cx="1778000" cy="190500"/>
        </a:xfrm>
        <a:prstGeom prst="rect">
          <a:avLst/>
        </a:prstGeom>
        <a:solidFill>
          <a:srgbClr val="E6F0EB"/>
        </a:solidFill>
        <a:ln w="9525" cmpd="sng">
          <a:solidFill>
            <a:srgbClr val="E6F0EB"/>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a:latin typeface="Aptos Narrow" panose="020B0004020202020204" pitchFamily="34" charset="0"/>
            </a:rPr>
            <a:t>Stationary fuel combustion</a:t>
          </a:r>
        </a:p>
      </xdr:txBody>
    </xdr:sp>
    <xdr:clientData/>
  </xdr:twoCellAnchor>
  <mc:AlternateContent xmlns:mc="http://schemas.openxmlformats.org/markup-compatibility/2006">
    <mc:Choice xmlns:a14="http://schemas.microsoft.com/office/drawing/2010/main" Requires="a14">
      <xdr:twoCellAnchor>
        <xdr:from>
          <xdr:col>2</xdr:col>
          <xdr:colOff>0</xdr:colOff>
          <xdr:row>21</xdr:row>
          <xdr:rowOff>0</xdr:rowOff>
        </xdr:from>
        <xdr:to>
          <xdr:col>2</xdr:col>
          <xdr:colOff>219075</xdr:colOff>
          <xdr:row>22</xdr:row>
          <xdr:rowOff>0</xdr:rowOff>
        </xdr:to>
        <xdr:sp macro="" textlink="">
          <xdr:nvSpPr>
            <xdr:cNvPr id="3082" name="Check Box P1C9"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20</xdr:row>
          <xdr:rowOff>0</xdr:rowOff>
        </xdr:from>
        <xdr:to>
          <xdr:col>2</xdr:col>
          <xdr:colOff>219075</xdr:colOff>
          <xdr:row>21</xdr:row>
          <xdr:rowOff>0</xdr:rowOff>
        </xdr:to>
        <xdr:sp macro="" textlink="">
          <xdr:nvSpPr>
            <xdr:cNvPr id="3080" name="Check Box P1C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19</xdr:row>
          <xdr:rowOff>0</xdr:rowOff>
        </xdr:from>
        <xdr:to>
          <xdr:col>2</xdr:col>
          <xdr:colOff>219075</xdr:colOff>
          <xdr:row>20</xdr:row>
          <xdr:rowOff>0</xdr:rowOff>
        </xdr:to>
        <xdr:sp macro="" textlink="">
          <xdr:nvSpPr>
            <xdr:cNvPr id="3079" name="Check Box P1C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18</xdr:row>
          <xdr:rowOff>0</xdr:rowOff>
        </xdr:from>
        <xdr:to>
          <xdr:col>2</xdr:col>
          <xdr:colOff>219075</xdr:colOff>
          <xdr:row>19</xdr:row>
          <xdr:rowOff>0</xdr:rowOff>
        </xdr:to>
        <xdr:sp macro="" textlink="">
          <xdr:nvSpPr>
            <xdr:cNvPr id="3078" name="Check Box P1C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17</xdr:row>
          <xdr:rowOff>0</xdr:rowOff>
        </xdr:from>
        <xdr:to>
          <xdr:col>2</xdr:col>
          <xdr:colOff>219075</xdr:colOff>
          <xdr:row>18</xdr:row>
          <xdr:rowOff>0</xdr:rowOff>
        </xdr:to>
        <xdr:sp macro="" textlink="">
          <xdr:nvSpPr>
            <xdr:cNvPr id="3077" name="Check Box P1C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16</xdr:row>
          <xdr:rowOff>0</xdr:rowOff>
        </xdr:from>
        <xdr:to>
          <xdr:col>2</xdr:col>
          <xdr:colOff>219075</xdr:colOff>
          <xdr:row>17</xdr:row>
          <xdr:rowOff>0</xdr:rowOff>
        </xdr:to>
        <xdr:sp macro="" textlink="">
          <xdr:nvSpPr>
            <xdr:cNvPr id="3076" name="Check Box P1C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15</xdr:row>
          <xdr:rowOff>0</xdr:rowOff>
        </xdr:from>
        <xdr:to>
          <xdr:col>2</xdr:col>
          <xdr:colOff>219075</xdr:colOff>
          <xdr:row>16</xdr:row>
          <xdr:rowOff>0</xdr:rowOff>
        </xdr:to>
        <xdr:sp macro="" textlink="">
          <xdr:nvSpPr>
            <xdr:cNvPr id="3075" name="Check Box P1C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14</xdr:row>
          <xdr:rowOff>0</xdr:rowOff>
        </xdr:from>
        <xdr:to>
          <xdr:col>2</xdr:col>
          <xdr:colOff>219075</xdr:colOff>
          <xdr:row>15</xdr:row>
          <xdr:rowOff>0</xdr:rowOff>
        </xdr:to>
        <xdr:sp macro="" textlink="">
          <xdr:nvSpPr>
            <xdr:cNvPr id="3074" name="Check Box P1C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13</xdr:row>
          <xdr:rowOff>0</xdr:rowOff>
        </xdr:from>
        <xdr:to>
          <xdr:col>2</xdr:col>
          <xdr:colOff>219075</xdr:colOff>
          <xdr:row>14</xdr:row>
          <xdr:rowOff>0</xdr:rowOff>
        </xdr:to>
        <xdr:sp macro="" textlink="">
          <xdr:nvSpPr>
            <xdr:cNvPr id="3073" name="Check Box P1C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00000000-0008-0000-02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00000000-0008-0000-03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00000000-0008-0000-04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5</xdr:col>
      <xdr:colOff>810989</xdr:colOff>
      <xdr:row>2</xdr:row>
      <xdr:rowOff>295275</xdr:rowOff>
    </xdr:to>
    <xdr:pic>
      <xdr:nvPicPr>
        <xdr:cNvPr id="2" name="Picture 1">
          <a:extLst>
            <a:ext uri="{FF2B5EF4-FFF2-40B4-BE49-F238E27FC236}">
              <a16:creationId xmlns:a16="http://schemas.microsoft.com/office/drawing/2014/main" id="{00000000-0008-0000-05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00000000-0008-0000-06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1306289</xdr:colOff>
      <xdr:row>2</xdr:row>
      <xdr:rowOff>295275</xdr:rowOff>
    </xdr:to>
    <xdr:pic>
      <xdr:nvPicPr>
        <xdr:cNvPr id="2" name="Picture 1">
          <a:extLst>
            <a:ext uri="{FF2B5EF4-FFF2-40B4-BE49-F238E27FC236}">
              <a16:creationId xmlns:a16="http://schemas.microsoft.com/office/drawing/2014/main" id="{0AF996CF-76CC-4871-9844-04C8F8886C2B}"/>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19</xdr:row>
      <xdr:rowOff>0</xdr:rowOff>
    </xdr:from>
    <xdr:to>
      <xdr:col>3</xdr:col>
      <xdr:colOff>1400175</xdr:colOff>
      <xdr:row>23</xdr:row>
      <xdr:rowOff>0</xdr:rowOff>
    </xdr:to>
    <xdr:sp macro="" textlink="">
      <xdr:nvSpPr>
        <xdr:cNvPr id="4" name="Rectangle 1">
          <a:extLst>
            <a:ext uri="{FF2B5EF4-FFF2-40B4-BE49-F238E27FC236}">
              <a16:creationId xmlns:a16="http://schemas.microsoft.com/office/drawing/2014/main" id="{00000000-0008-0000-0800-000004000000}"/>
            </a:ext>
          </a:extLst>
        </xdr:cNvPr>
        <xdr:cNvSpPr/>
      </xdr:nvSpPr>
      <xdr:spPr>
        <a:xfrm>
          <a:off x="762000" y="3990975"/>
          <a:ext cx="1552575" cy="762000"/>
        </a:xfrm>
        <a:prstGeom prst="rect">
          <a:avLst/>
        </a:prstGeom>
        <a:solidFill>
          <a:srgbClr val="E1E3E6"/>
        </a:solidFill>
        <a:ln>
          <a:solidFill>
            <a:sysClr val="windowText" lastClr="000000"/>
          </a:solid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ctr"/>
        <a:lstStyle/>
        <a:p>
          <a:pPr algn="ctr"/>
          <a:r>
            <a:rPr lang="en-CA" sz="1100">
              <a:solidFill>
                <a:sysClr val="windowText" lastClr="000000"/>
              </a:solidFill>
              <a:latin typeface="Aptos Narrow" panose="020B0004020202020204" pitchFamily="34" charset="0"/>
            </a:rPr>
            <a:t>Convert to PDF</a:t>
          </a:r>
        </a:p>
      </xdr:txBody>
    </xdr:sp>
    <xdr:clientData/>
  </xdr:twoCellAnchor>
  <xdr:twoCellAnchor editAs="oneCell">
    <xdr:from>
      <xdr:col>1</xdr:col>
      <xdr:colOff>0</xdr:colOff>
      <xdr:row>0</xdr:row>
      <xdr:rowOff>23925</xdr:rowOff>
    </xdr:from>
    <xdr:to>
      <xdr:col>4</xdr:col>
      <xdr:colOff>306164</xdr:colOff>
      <xdr:row>2</xdr:row>
      <xdr:rowOff>295275</xdr:rowOff>
    </xdr:to>
    <xdr:pic>
      <xdr:nvPicPr>
        <xdr:cNvPr id="2" name="Picture 1">
          <a:extLst>
            <a:ext uri="{FF2B5EF4-FFF2-40B4-BE49-F238E27FC236}">
              <a16:creationId xmlns:a16="http://schemas.microsoft.com/office/drawing/2014/main" id="{00000000-0008-0000-08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0</xdr:colOff>
          <xdr:row>19</xdr:row>
          <xdr:rowOff>0</xdr:rowOff>
        </xdr:from>
        <xdr:to>
          <xdr:col>3</xdr:col>
          <xdr:colOff>1400175</xdr:colOff>
          <xdr:row>23</xdr:row>
          <xdr:rowOff>0</xdr:rowOff>
        </xdr:to>
        <xdr:sp macro="" textlink="">
          <xdr:nvSpPr>
            <xdr:cNvPr id="9218" name="Button 1" hidden="1">
              <a:extLst>
                <a:ext uri="{63B3BB69-23CF-44E3-9099-C40C66FF867C}">
                  <a14:compatExt spid="_x0000_s9218"/>
                </a:ext>
                <a:ext uri="{FF2B5EF4-FFF2-40B4-BE49-F238E27FC236}">
                  <a16:creationId xmlns:a16="http://schemas.microsoft.com/office/drawing/2014/main" id="{00000000-0008-0000-0800-0000022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Aptos Narrow"/>
                </a:rPr>
                <a:t>Convert to PDF</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0</xdr:colOff>
      <xdr:row>0</xdr:row>
      <xdr:rowOff>23925</xdr:rowOff>
    </xdr:from>
    <xdr:to>
      <xdr:col>3</xdr:col>
      <xdr:colOff>306164</xdr:colOff>
      <xdr:row>2</xdr:row>
      <xdr:rowOff>295275</xdr:rowOff>
    </xdr:to>
    <xdr:pic>
      <xdr:nvPicPr>
        <xdr:cNvPr id="2" name="Picture 1">
          <a:extLst>
            <a:ext uri="{FF2B5EF4-FFF2-40B4-BE49-F238E27FC236}">
              <a16:creationId xmlns:a16="http://schemas.microsoft.com/office/drawing/2014/main" id="{00000000-0008-0000-0900-000002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0" y="23925"/>
          <a:ext cx="4068539" cy="90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nyx-galli.gos.ca\SEGroup\Climate%20Change\ORS\0500%20OBPS\0502%20Scripts\2023%20emissions%20return%20script\Supporting%20files\Compliance%20industrial%20template%202.xlsm" TargetMode="External"/><Relationship Id="rId1" Type="http://schemas.openxmlformats.org/officeDocument/2006/relationships/externalLinkPath" Target="file:///\\nyx-galli.gos.ca\SEGroup\Climate%20Change\ORS\0500%20OBPS\0502%20Scripts\2023%20emissions%20return%20script\Supporting%20files\Compliance%20industrial%20template%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lculations"/>
      <sheetName val="Baseline"/>
      <sheetName val="Emissions return"/>
      <sheetName val="Lookup"/>
      <sheetName val="Compliance industrial template "/>
    </sheetNames>
    <sheetDataSet>
      <sheetData sheetId="0" refreshError="1"/>
      <sheetData sheetId="1">
        <row r="6">
          <cell r="G6">
            <v>0</v>
          </cell>
        </row>
        <row r="7">
          <cell r="G7">
            <v>0</v>
          </cell>
        </row>
        <row r="8">
          <cell r="G8">
            <v>0</v>
          </cell>
        </row>
        <row r="9">
          <cell r="G9">
            <v>0</v>
          </cell>
        </row>
        <row r="10">
          <cell r="G10">
            <v>0</v>
          </cell>
        </row>
        <row r="11">
          <cell r="G11">
            <v>0</v>
          </cell>
        </row>
        <row r="12">
          <cell r="G12">
            <v>0</v>
          </cell>
        </row>
        <row r="13">
          <cell r="G13">
            <v>0</v>
          </cell>
        </row>
        <row r="14">
          <cell r="G14">
            <v>0</v>
          </cell>
        </row>
        <row r="15">
          <cell r="G15">
            <v>0</v>
          </cell>
        </row>
        <row r="16">
          <cell r="G16">
            <v>0</v>
          </cell>
        </row>
        <row r="17">
          <cell r="G17">
            <v>0</v>
          </cell>
        </row>
        <row r="18">
          <cell r="G18">
            <v>0</v>
          </cell>
        </row>
        <row r="19">
          <cell r="G19">
            <v>0</v>
          </cell>
        </row>
        <row r="20">
          <cell r="G20">
            <v>0</v>
          </cell>
        </row>
        <row r="21">
          <cell r="G21">
            <v>0</v>
          </cell>
        </row>
        <row r="22">
          <cell r="G22">
            <v>0</v>
          </cell>
        </row>
        <row r="23">
          <cell r="G23">
            <v>0</v>
          </cell>
        </row>
        <row r="24">
          <cell r="G24">
            <v>0</v>
          </cell>
        </row>
        <row r="25">
          <cell r="G25">
            <v>0</v>
          </cell>
        </row>
        <row r="26">
          <cell r="G26">
            <v>0</v>
          </cell>
        </row>
        <row r="27">
          <cell r="G27">
            <v>0</v>
          </cell>
        </row>
        <row r="28">
          <cell r="G28">
            <v>0</v>
          </cell>
        </row>
        <row r="29">
          <cell r="G29">
            <v>0</v>
          </cell>
        </row>
        <row r="30">
          <cell r="G30">
            <v>0</v>
          </cell>
        </row>
        <row r="31">
          <cell r="G31">
            <v>0</v>
          </cell>
        </row>
        <row r="32">
          <cell r="G32">
            <v>0</v>
          </cell>
        </row>
        <row r="33">
          <cell r="G33">
            <v>0</v>
          </cell>
        </row>
        <row r="34">
          <cell r="G34">
            <v>0</v>
          </cell>
        </row>
        <row r="35">
          <cell r="G35">
            <v>0</v>
          </cell>
        </row>
        <row r="36">
          <cell r="G36">
            <v>0</v>
          </cell>
        </row>
        <row r="37">
          <cell r="G37">
            <v>0</v>
          </cell>
        </row>
        <row r="38">
          <cell r="G38">
            <v>0</v>
          </cell>
        </row>
        <row r="39">
          <cell r="G39">
            <v>0</v>
          </cell>
        </row>
        <row r="40">
          <cell r="G40">
            <v>0</v>
          </cell>
        </row>
        <row r="41">
          <cell r="G41">
            <v>0</v>
          </cell>
        </row>
        <row r="42">
          <cell r="G42">
            <v>0</v>
          </cell>
        </row>
        <row r="43">
          <cell r="G43">
            <v>0</v>
          </cell>
        </row>
        <row r="44">
          <cell r="G44">
            <v>0</v>
          </cell>
        </row>
        <row r="45">
          <cell r="G45">
            <v>0</v>
          </cell>
        </row>
        <row r="46">
          <cell r="G46">
            <v>0</v>
          </cell>
        </row>
        <row r="47">
          <cell r="G47">
            <v>0</v>
          </cell>
        </row>
        <row r="48">
          <cell r="G48">
            <v>0</v>
          </cell>
        </row>
        <row r="49">
          <cell r="G49">
            <v>0</v>
          </cell>
        </row>
        <row r="50">
          <cell r="G50">
            <v>0</v>
          </cell>
        </row>
        <row r="51">
          <cell r="G51">
            <v>0</v>
          </cell>
        </row>
        <row r="52">
          <cell r="G52">
            <v>0</v>
          </cell>
        </row>
        <row r="53">
          <cell r="G53">
            <v>0</v>
          </cell>
        </row>
        <row r="54">
          <cell r="G54">
            <v>0</v>
          </cell>
        </row>
        <row r="55">
          <cell r="G55">
            <v>0</v>
          </cell>
        </row>
        <row r="56">
          <cell r="G56">
            <v>0</v>
          </cell>
        </row>
        <row r="57">
          <cell r="G57">
            <v>0</v>
          </cell>
        </row>
        <row r="58">
          <cell r="G58">
            <v>0</v>
          </cell>
        </row>
        <row r="59">
          <cell r="G59">
            <v>0</v>
          </cell>
        </row>
        <row r="60">
          <cell r="G60">
            <v>0</v>
          </cell>
        </row>
        <row r="61">
          <cell r="G61">
            <v>0</v>
          </cell>
        </row>
        <row r="62">
          <cell r="G62">
            <v>0</v>
          </cell>
        </row>
        <row r="63">
          <cell r="G63">
            <v>0</v>
          </cell>
        </row>
        <row r="64">
          <cell r="G64">
            <v>0</v>
          </cell>
        </row>
        <row r="65">
          <cell r="G65">
            <v>0</v>
          </cell>
        </row>
        <row r="66">
          <cell r="G66">
            <v>0</v>
          </cell>
        </row>
        <row r="67">
          <cell r="G67">
            <v>0</v>
          </cell>
        </row>
        <row r="68">
          <cell r="G68">
            <v>0</v>
          </cell>
        </row>
        <row r="69">
          <cell r="G69">
            <v>0</v>
          </cell>
        </row>
        <row r="70">
          <cell r="G70">
            <v>0</v>
          </cell>
        </row>
        <row r="71">
          <cell r="G71">
            <v>0</v>
          </cell>
        </row>
        <row r="72">
          <cell r="G72">
            <v>0</v>
          </cell>
        </row>
        <row r="73">
          <cell r="G73">
            <v>0</v>
          </cell>
        </row>
        <row r="74">
          <cell r="G74">
            <v>0</v>
          </cell>
        </row>
        <row r="75">
          <cell r="G75">
            <v>0</v>
          </cell>
        </row>
        <row r="76">
          <cell r="G76">
            <v>0</v>
          </cell>
        </row>
        <row r="77">
          <cell r="G77">
            <v>0</v>
          </cell>
        </row>
        <row r="78">
          <cell r="G78">
            <v>0</v>
          </cell>
        </row>
        <row r="79">
          <cell r="G79">
            <v>0</v>
          </cell>
        </row>
        <row r="80">
          <cell r="G80">
            <v>0</v>
          </cell>
        </row>
        <row r="81">
          <cell r="G81">
            <v>0</v>
          </cell>
        </row>
        <row r="82">
          <cell r="G82">
            <v>0</v>
          </cell>
        </row>
        <row r="83">
          <cell r="G83">
            <v>0</v>
          </cell>
        </row>
        <row r="84">
          <cell r="G84">
            <v>0</v>
          </cell>
        </row>
        <row r="85">
          <cell r="G85">
            <v>0</v>
          </cell>
        </row>
        <row r="86">
          <cell r="G86">
            <v>0</v>
          </cell>
        </row>
        <row r="87">
          <cell r="G87">
            <v>0</v>
          </cell>
        </row>
        <row r="88">
          <cell r="G88">
            <v>0</v>
          </cell>
        </row>
        <row r="89">
          <cell r="G89">
            <v>0</v>
          </cell>
        </row>
        <row r="90">
          <cell r="G90">
            <v>0</v>
          </cell>
        </row>
        <row r="91">
          <cell r="G91">
            <v>0</v>
          </cell>
        </row>
        <row r="92">
          <cell r="G92">
            <v>0</v>
          </cell>
        </row>
        <row r="93">
          <cell r="G93">
            <v>0</v>
          </cell>
        </row>
        <row r="94">
          <cell r="G94">
            <v>0</v>
          </cell>
        </row>
        <row r="95">
          <cell r="G95">
            <v>0</v>
          </cell>
        </row>
        <row r="96">
          <cell r="G96">
            <v>0</v>
          </cell>
        </row>
        <row r="97">
          <cell r="G97">
            <v>0</v>
          </cell>
        </row>
        <row r="98">
          <cell r="G98">
            <v>0</v>
          </cell>
        </row>
        <row r="99">
          <cell r="G99">
            <v>0</v>
          </cell>
        </row>
        <row r="100">
          <cell r="G100">
            <v>0</v>
          </cell>
        </row>
        <row r="101">
          <cell r="G101">
            <v>0</v>
          </cell>
        </row>
        <row r="102">
          <cell r="G102">
            <v>0</v>
          </cell>
        </row>
        <row r="103">
          <cell r="G103">
            <v>0</v>
          </cell>
        </row>
        <row r="104">
          <cell r="G104">
            <v>0</v>
          </cell>
        </row>
        <row r="105">
          <cell r="G105">
            <v>0</v>
          </cell>
        </row>
        <row r="106">
          <cell r="G106">
            <v>0</v>
          </cell>
        </row>
        <row r="107">
          <cell r="G107">
            <v>0</v>
          </cell>
        </row>
        <row r="108">
          <cell r="G108">
            <v>0</v>
          </cell>
        </row>
        <row r="109">
          <cell r="G109">
            <v>0</v>
          </cell>
        </row>
        <row r="110">
          <cell r="G110">
            <v>0</v>
          </cell>
        </row>
        <row r="111">
          <cell r="G111">
            <v>0</v>
          </cell>
        </row>
        <row r="112">
          <cell r="G112">
            <v>0</v>
          </cell>
        </row>
        <row r="113">
          <cell r="G113">
            <v>0</v>
          </cell>
        </row>
        <row r="114">
          <cell r="G114">
            <v>0</v>
          </cell>
        </row>
        <row r="115">
          <cell r="G115">
            <v>0</v>
          </cell>
        </row>
        <row r="116">
          <cell r="G116">
            <v>0</v>
          </cell>
        </row>
        <row r="117">
          <cell r="G117">
            <v>0</v>
          </cell>
        </row>
        <row r="118">
          <cell r="G118">
            <v>0</v>
          </cell>
        </row>
        <row r="119">
          <cell r="G119">
            <v>0</v>
          </cell>
        </row>
        <row r="120">
          <cell r="G120">
            <v>0</v>
          </cell>
        </row>
        <row r="121">
          <cell r="G121">
            <v>0</v>
          </cell>
        </row>
        <row r="122">
          <cell r="G122">
            <v>0</v>
          </cell>
        </row>
        <row r="123">
          <cell r="G123">
            <v>0</v>
          </cell>
        </row>
        <row r="124">
          <cell r="G124">
            <v>0</v>
          </cell>
        </row>
        <row r="125">
          <cell r="G125">
            <v>0</v>
          </cell>
        </row>
        <row r="126">
          <cell r="G126">
            <v>0</v>
          </cell>
        </row>
        <row r="127">
          <cell r="G127">
            <v>0</v>
          </cell>
        </row>
        <row r="128">
          <cell r="G128">
            <v>0</v>
          </cell>
        </row>
        <row r="129">
          <cell r="G129">
            <v>0</v>
          </cell>
        </row>
        <row r="130">
          <cell r="G130">
            <v>0</v>
          </cell>
        </row>
        <row r="131">
          <cell r="G131">
            <v>0</v>
          </cell>
        </row>
        <row r="132">
          <cell r="G132">
            <v>0</v>
          </cell>
        </row>
        <row r="133">
          <cell r="G133">
            <v>0</v>
          </cell>
        </row>
        <row r="134">
          <cell r="G134">
            <v>0</v>
          </cell>
        </row>
        <row r="135">
          <cell r="G135">
            <v>0</v>
          </cell>
        </row>
        <row r="136">
          <cell r="G136">
            <v>0</v>
          </cell>
        </row>
        <row r="137">
          <cell r="G137">
            <v>0</v>
          </cell>
        </row>
        <row r="138">
          <cell r="G138">
            <v>0</v>
          </cell>
        </row>
        <row r="139">
          <cell r="G139">
            <v>0</v>
          </cell>
        </row>
        <row r="140">
          <cell r="G140">
            <v>0</v>
          </cell>
        </row>
        <row r="141">
          <cell r="G141">
            <v>0</v>
          </cell>
        </row>
        <row r="142">
          <cell r="G142">
            <v>0</v>
          </cell>
        </row>
        <row r="143">
          <cell r="G143">
            <v>0</v>
          </cell>
        </row>
        <row r="144">
          <cell r="G144">
            <v>0</v>
          </cell>
        </row>
        <row r="145">
          <cell r="G145">
            <v>0</v>
          </cell>
        </row>
        <row r="146">
          <cell r="G146">
            <v>0</v>
          </cell>
        </row>
        <row r="147">
          <cell r="G147">
            <v>0</v>
          </cell>
        </row>
        <row r="148">
          <cell r="G148">
            <v>0</v>
          </cell>
        </row>
        <row r="149">
          <cell r="G149">
            <v>0</v>
          </cell>
        </row>
        <row r="150">
          <cell r="G150">
            <v>0</v>
          </cell>
        </row>
        <row r="151">
          <cell r="G151">
            <v>0</v>
          </cell>
        </row>
        <row r="152">
          <cell r="G152">
            <v>0</v>
          </cell>
        </row>
        <row r="153">
          <cell r="G153">
            <v>0</v>
          </cell>
        </row>
        <row r="154">
          <cell r="G154">
            <v>0</v>
          </cell>
        </row>
        <row r="155">
          <cell r="G155">
            <v>0</v>
          </cell>
        </row>
        <row r="156">
          <cell r="G156">
            <v>0</v>
          </cell>
        </row>
        <row r="157">
          <cell r="G157">
            <v>0</v>
          </cell>
        </row>
        <row r="158">
          <cell r="G158">
            <v>0</v>
          </cell>
        </row>
        <row r="159">
          <cell r="G159">
            <v>0</v>
          </cell>
        </row>
        <row r="160">
          <cell r="G160">
            <v>0</v>
          </cell>
        </row>
        <row r="161">
          <cell r="G161">
            <v>0</v>
          </cell>
        </row>
        <row r="162">
          <cell r="G162">
            <v>0</v>
          </cell>
        </row>
        <row r="163">
          <cell r="G163">
            <v>0</v>
          </cell>
        </row>
        <row r="164">
          <cell r="G164">
            <v>0</v>
          </cell>
        </row>
        <row r="165">
          <cell r="G165">
            <v>0</v>
          </cell>
        </row>
        <row r="166">
          <cell r="G166">
            <v>0</v>
          </cell>
        </row>
        <row r="167">
          <cell r="G167">
            <v>0</v>
          </cell>
        </row>
        <row r="168">
          <cell r="G168">
            <v>0</v>
          </cell>
        </row>
        <row r="169">
          <cell r="G169">
            <v>0</v>
          </cell>
        </row>
        <row r="170">
          <cell r="G170">
            <v>0</v>
          </cell>
        </row>
        <row r="171">
          <cell r="G171">
            <v>0</v>
          </cell>
        </row>
        <row r="172">
          <cell r="G172">
            <v>0</v>
          </cell>
        </row>
        <row r="173">
          <cell r="G173">
            <v>0</v>
          </cell>
        </row>
        <row r="174">
          <cell r="G174">
            <v>0</v>
          </cell>
        </row>
        <row r="175">
          <cell r="G175">
            <v>0</v>
          </cell>
        </row>
        <row r="176">
          <cell r="G176">
            <v>0</v>
          </cell>
        </row>
        <row r="177">
          <cell r="G177">
            <v>0</v>
          </cell>
        </row>
        <row r="178">
          <cell r="G178">
            <v>0</v>
          </cell>
        </row>
        <row r="179">
          <cell r="G179">
            <v>0</v>
          </cell>
        </row>
        <row r="180">
          <cell r="G180">
            <v>0</v>
          </cell>
        </row>
        <row r="181">
          <cell r="G181">
            <v>0</v>
          </cell>
        </row>
        <row r="182">
          <cell r="G182">
            <v>0</v>
          </cell>
        </row>
        <row r="183">
          <cell r="G183">
            <v>0</v>
          </cell>
        </row>
        <row r="184">
          <cell r="G184">
            <v>0</v>
          </cell>
        </row>
        <row r="185">
          <cell r="G185">
            <v>0</v>
          </cell>
        </row>
        <row r="186">
          <cell r="G186">
            <v>0</v>
          </cell>
        </row>
        <row r="187">
          <cell r="G187">
            <v>0</v>
          </cell>
        </row>
        <row r="188">
          <cell r="G188">
            <v>0</v>
          </cell>
        </row>
        <row r="189">
          <cell r="G189">
            <v>0</v>
          </cell>
        </row>
        <row r="190">
          <cell r="G190">
            <v>0</v>
          </cell>
        </row>
        <row r="191">
          <cell r="G191">
            <v>0</v>
          </cell>
        </row>
        <row r="192">
          <cell r="G192">
            <v>0</v>
          </cell>
        </row>
        <row r="193">
          <cell r="G193">
            <v>0</v>
          </cell>
        </row>
        <row r="194">
          <cell r="G194">
            <v>0</v>
          </cell>
        </row>
        <row r="195">
          <cell r="G195">
            <v>0</v>
          </cell>
        </row>
        <row r="196">
          <cell r="G196">
            <v>0</v>
          </cell>
        </row>
        <row r="197">
          <cell r="G197">
            <v>0</v>
          </cell>
        </row>
        <row r="198">
          <cell r="G198">
            <v>0</v>
          </cell>
        </row>
        <row r="199">
          <cell r="G199">
            <v>0</v>
          </cell>
        </row>
        <row r="200">
          <cell r="G200">
            <v>0</v>
          </cell>
        </row>
        <row r="201">
          <cell r="G201">
            <v>0</v>
          </cell>
        </row>
        <row r="202">
          <cell r="G202">
            <v>0</v>
          </cell>
        </row>
        <row r="203">
          <cell r="G203">
            <v>0</v>
          </cell>
        </row>
        <row r="204">
          <cell r="G204">
            <v>0</v>
          </cell>
        </row>
        <row r="205">
          <cell r="G205">
            <v>0</v>
          </cell>
        </row>
        <row r="206">
          <cell r="G206">
            <v>0</v>
          </cell>
        </row>
        <row r="207">
          <cell r="G207">
            <v>0</v>
          </cell>
        </row>
        <row r="208">
          <cell r="G208">
            <v>0</v>
          </cell>
        </row>
        <row r="209">
          <cell r="G209">
            <v>0</v>
          </cell>
        </row>
        <row r="210">
          <cell r="G210">
            <v>0</v>
          </cell>
        </row>
        <row r="211">
          <cell r="G211">
            <v>0</v>
          </cell>
        </row>
        <row r="212">
          <cell r="G212">
            <v>0</v>
          </cell>
        </row>
        <row r="213">
          <cell r="G213">
            <v>0</v>
          </cell>
        </row>
        <row r="214">
          <cell r="G214">
            <v>0</v>
          </cell>
        </row>
        <row r="215">
          <cell r="G215">
            <v>0</v>
          </cell>
        </row>
        <row r="216">
          <cell r="G216">
            <v>0</v>
          </cell>
        </row>
        <row r="217">
          <cell r="G217">
            <v>0</v>
          </cell>
        </row>
        <row r="218">
          <cell r="G218">
            <v>0</v>
          </cell>
        </row>
        <row r="219">
          <cell r="G219">
            <v>0</v>
          </cell>
        </row>
        <row r="220">
          <cell r="G220">
            <v>0</v>
          </cell>
        </row>
        <row r="221">
          <cell r="G221">
            <v>0</v>
          </cell>
        </row>
        <row r="222">
          <cell r="G222">
            <v>0</v>
          </cell>
        </row>
        <row r="223">
          <cell r="G223">
            <v>0</v>
          </cell>
        </row>
        <row r="224">
          <cell r="G224">
            <v>0</v>
          </cell>
        </row>
        <row r="225">
          <cell r="G225">
            <v>0</v>
          </cell>
        </row>
        <row r="226">
          <cell r="G226">
            <v>0</v>
          </cell>
        </row>
        <row r="227">
          <cell r="G227">
            <v>0</v>
          </cell>
        </row>
        <row r="228">
          <cell r="G228">
            <v>0</v>
          </cell>
        </row>
        <row r="229">
          <cell r="G229">
            <v>0</v>
          </cell>
        </row>
        <row r="230">
          <cell r="G230">
            <v>0</v>
          </cell>
        </row>
        <row r="231">
          <cell r="G231">
            <v>0</v>
          </cell>
        </row>
        <row r="232">
          <cell r="G232">
            <v>0</v>
          </cell>
        </row>
        <row r="233">
          <cell r="G233">
            <v>0</v>
          </cell>
        </row>
        <row r="234">
          <cell r="G234">
            <v>0</v>
          </cell>
        </row>
        <row r="235">
          <cell r="G235">
            <v>0</v>
          </cell>
        </row>
        <row r="236">
          <cell r="G236">
            <v>0</v>
          </cell>
        </row>
        <row r="237">
          <cell r="G237">
            <v>0</v>
          </cell>
        </row>
        <row r="238">
          <cell r="G238">
            <v>0</v>
          </cell>
        </row>
        <row r="239">
          <cell r="G239">
            <v>0</v>
          </cell>
        </row>
        <row r="240">
          <cell r="G240">
            <v>0</v>
          </cell>
        </row>
        <row r="241">
          <cell r="G241">
            <v>0</v>
          </cell>
        </row>
        <row r="242">
          <cell r="G242">
            <v>0</v>
          </cell>
        </row>
        <row r="243">
          <cell r="G243">
            <v>0</v>
          </cell>
        </row>
        <row r="244">
          <cell r="G244">
            <v>0</v>
          </cell>
        </row>
        <row r="245">
          <cell r="G245">
            <v>0</v>
          </cell>
        </row>
        <row r="246">
          <cell r="G246">
            <v>0</v>
          </cell>
        </row>
        <row r="247">
          <cell r="G247">
            <v>0</v>
          </cell>
        </row>
        <row r="248">
          <cell r="G248">
            <v>0</v>
          </cell>
        </row>
        <row r="249">
          <cell r="G249">
            <v>0</v>
          </cell>
        </row>
        <row r="250">
          <cell r="G250">
            <v>0</v>
          </cell>
        </row>
        <row r="251">
          <cell r="G251">
            <v>0</v>
          </cell>
        </row>
        <row r="252">
          <cell r="G252">
            <v>0</v>
          </cell>
        </row>
        <row r="253">
          <cell r="G253">
            <v>0</v>
          </cell>
        </row>
        <row r="254">
          <cell r="G254">
            <v>0</v>
          </cell>
        </row>
        <row r="255">
          <cell r="G255">
            <v>0</v>
          </cell>
        </row>
        <row r="256">
          <cell r="G256">
            <v>0</v>
          </cell>
        </row>
        <row r="257">
          <cell r="G257">
            <v>0</v>
          </cell>
        </row>
        <row r="258">
          <cell r="G258">
            <v>0</v>
          </cell>
        </row>
        <row r="259">
          <cell r="G259">
            <v>0</v>
          </cell>
        </row>
        <row r="260">
          <cell r="G260">
            <v>0</v>
          </cell>
        </row>
        <row r="261">
          <cell r="G261">
            <v>0</v>
          </cell>
        </row>
        <row r="262">
          <cell r="G262">
            <v>0</v>
          </cell>
        </row>
        <row r="263">
          <cell r="G263">
            <v>0</v>
          </cell>
        </row>
        <row r="264">
          <cell r="G264">
            <v>0</v>
          </cell>
        </row>
        <row r="265">
          <cell r="G265">
            <v>0</v>
          </cell>
        </row>
        <row r="266">
          <cell r="G266">
            <v>0</v>
          </cell>
        </row>
        <row r="267">
          <cell r="G267">
            <v>0</v>
          </cell>
        </row>
        <row r="268">
          <cell r="G268">
            <v>0</v>
          </cell>
        </row>
        <row r="269">
          <cell r="G269">
            <v>0</v>
          </cell>
        </row>
        <row r="270">
          <cell r="G270">
            <v>0</v>
          </cell>
        </row>
        <row r="271">
          <cell r="G271">
            <v>0</v>
          </cell>
        </row>
        <row r="272">
          <cell r="G272">
            <v>0</v>
          </cell>
        </row>
        <row r="273">
          <cell r="G273">
            <v>0</v>
          </cell>
        </row>
        <row r="274">
          <cell r="G274">
            <v>0</v>
          </cell>
        </row>
        <row r="275">
          <cell r="G275">
            <v>0</v>
          </cell>
        </row>
        <row r="276">
          <cell r="G276">
            <v>0</v>
          </cell>
        </row>
        <row r="277">
          <cell r="G277">
            <v>0</v>
          </cell>
        </row>
        <row r="278">
          <cell r="G278">
            <v>0</v>
          </cell>
        </row>
        <row r="279">
          <cell r="G279">
            <v>0</v>
          </cell>
        </row>
        <row r="280">
          <cell r="G280">
            <v>0</v>
          </cell>
        </row>
        <row r="281">
          <cell r="G281">
            <v>0</v>
          </cell>
        </row>
        <row r="282">
          <cell r="G282">
            <v>0</v>
          </cell>
        </row>
        <row r="283">
          <cell r="G283">
            <v>0</v>
          </cell>
        </row>
        <row r="284">
          <cell r="G284">
            <v>0</v>
          </cell>
        </row>
        <row r="285">
          <cell r="G285">
            <v>0</v>
          </cell>
        </row>
        <row r="286">
          <cell r="G286">
            <v>0</v>
          </cell>
        </row>
        <row r="287">
          <cell r="G287">
            <v>0</v>
          </cell>
        </row>
        <row r="288">
          <cell r="G288">
            <v>0</v>
          </cell>
        </row>
        <row r="289">
          <cell r="G289">
            <v>0</v>
          </cell>
        </row>
        <row r="290">
          <cell r="G290">
            <v>0</v>
          </cell>
        </row>
        <row r="291">
          <cell r="G291">
            <v>0</v>
          </cell>
        </row>
        <row r="292">
          <cell r="G292">
            <v>0</v>
          </cell>
        </row>
        <row r="293">
          <cell r="G293">
            <v>0</v>
          </cell>
        </row>
        <row r="294">
          <cell r="G294">
            <v>0</v>
          </cell>
        </row>
        <row r="295">
          <cell r="G295">
            <v>0</v>
          </cell>
        </row>
        <row r="296">
          <cell r="G296">
            <v>0</v>
          </cell>
        </row>
        <row r="297">
          <cell r="G297">
            <v>0</v>
          </cell>
        </row>
        <row r="298">
          <cell r="G298">
            <v>0</v>
          </cell>
        </row>
        <row r="299">
          <cell r="G299">
            <v>0</v>
          </cell>
        </row>
        <row r="300">
          <cell r="G300">
            <v>0</v>
          </cell>
        </row>
        <row r="301">
          <cell r="G301">
            <v>0</v>
          </cell>
        </row>
        <row r="302">
          <cell r="G302">
            <v>0</v>
          </cell>
        </row>
        <row r="303">
          <cell r="G303">
            <v>0</v>
          </cell>
        </row>
        <row r="304">
          <cell r="G304">
            <v>0</v>
          </cell>
        </row>
        <row r="305">
          <cell r="G305">
            <v>0</v>
          </cell>
        </row>
        <row r="306">
          <cell r="G306">
            <v>0</v>
          </cell>
        </row>
        <row r="307">
          <cell r="G307">
            <v>0</v>
          </cell>
        </row>
        <row r="308">
          <cell r="G308">
            <v>0</v>
          </cell>
        </row>
        <row r="309">
          <cell r="G309">
            <v>0</v>
          </cell>
        </row>
        <row r="310">
          <cell r="G310">
            <v>0</v>
          </cell>
        </row>
        <row r="311">
          <cell r="G311">
            <v>0</v>
          </cell>
        </row>
        <row r="312">
          <cell r="G312">
            <v>0</v>
          </cell>
        </row>
        <row r="313">
          <cell r="G313">
            <v>0</v>
          </cell>
        </row>
        <row r="314">
          <cell r="G314">
            <v>0</v>
          </cell>
        </row>
        <row r="315">
          <cell r="G315">
            <v>0</v>
          </cell>
        </row>
        <row r="316">
          <cell r="G316">
            <v>0</v>
          </cell>
        </row>
        <row r="317">
          <cell r="G317">
            <v>0</v>
          </cell>
        </row>
        <row r="318">
          <cell r="G318">
            <v>0</v>
          </cell>
        </row>
        <row r="319">
          <cell r="G319">
            <v>0</v>
          </cell>
        </row>
        <row r="320">
          <cell r="G320">
            <v>0</v>
          </cell>
        </row>
        <row r="321">
          <cell r="G321">
            <v>0</v>
          </cell>
        </row>
        <row r="322">
          <cell r="G322">
            <v>0</v>
          </cell>
        </row>
        <row r="323">
          <cell r="G323">
            <v>0</v>
          </cell>
        </row>
        <row r="324">
          <cell r="G324">
            <v>0</v>
          </cell>
        </row>
        <row r="325">
          <cell r="G325">
            <v>0</v>
          </cell>
        </row>
        <row r="326">
          <cell r="G326">
            <v>0</v>
          </cell>
        </row>
        <row r="327">
          <cell r="G327">
            <v>0</v>
          </cell>
        </row>
        <row r="328">
          <cell r="G328">
            <v>0</v>
          </cell>
        </row>
        <row r="329">
          <cell r="G329">
            <v>0</v>
          </cell>
        </row>
        <row r="330">
          <cell r="G330">
            <v>0</v>
          </cell>
        </row>
        <row r="331">
          <cell r="G331">
            <v>0</v>
          </cell>
        </row>
        <row r="332">
          <cell r="G332">
            <v>0</v>
          </cell>
        </row>
        <row r="333">
          <cell r="G333">
            <v>0</v>
          </cell>
        </row>
        <row r="334">
          <cell r="G334">
            <v>0</v>
          </cell>
        </row>
        <row r="335">
          <cell r="G335">
            <v>0</v>
          </cell>
        </row>
        <row r="336">
          <cell r="G336">
            <v>0</v>
          </cell>
        </row>
        <row r="337">
          <cell r="G337">
            <v>0</v>
          </cell>
        </row>
        <row r="338">
          <cell r="G338">
            <v>0</v>
          </cell>
        </row>
        <row r="339">
          <cell r="G339">
            <v>0</v>
          </cell>
        </row>
        <row r="340">
          <cell r="G340">
            <v>0</v>
          </cell>
        </row>
        <row r="341">
          <cell r="G341">
            <v>0</v>
          </cell>
        </row>
        <row r="342">
          <cell r="G342">
            <v>0</v>
          </cell>
        </row>
        <row r="343">
          <cell r="G343">
            <v>0</v>
          </cell>
        </row>
        <row r="344">
          <cell r="G344">
            <v>0</v>
          </cell>
        </row>
        <row r="345">
          <cell r="G345">
            <v>0</v>
          </cell>
        </row>
        <row r="346">
          <cell r="G346">
            <v>0</v>
          </cell>
        </row>
        <row r="347">
          <cell r="G347">
            <v>0</v>
          </cell>
        </row>
        <row r="348">
          <cell r="G348">
            <v>0</v>
          </cell>
        </row>
        <row r="349">
          <cell r="G349">
            <v>0</v>
          </cell>
        </row>
        <row r="350">
          <cell r="G350">
            <v>0</v>
          </cell>
        </row>
        <row r="351">
          <cell r="G351">
            <v>0</v>
          </cell>
        </row>
        <row r="352">
          <cell r="G352">
            <v>0</v>
          </cell>
        </row>
        <row r="353">
          <cell r="G353">
            <v>0</v>
          </cell>
        </row>
        <row r="354">
          <cell r="G354">
            <v>0</v>
          </cell>
        </row>
        <row r="355">
          <cell r="G355">
            <v>0</v>
          </cell>
        </row>
        <row r="356">
          <cell r="G356">
            <v>0</v>
          </cell>
        </row>
        <row r="357">
          <cell r="G357">
            <v>0</v>
          </cell>
        </row>
        <row r="358">
          <cell r="G358">
            <v>0</v>
          </cell>
        </row>
        <row r="359">
          <cell r="G359">
            <v>0</v>
          </cell>
        </row>
        <row r="360">
          <cell r="G360">
            <v>0</v>
          </cell>
        </row>
        <row r="361">
          <cell r="G361">
            <v>0</v>
          </cell>
        </row>
        <row r="362">
          <cell r="G362">
            <v>0</v>
          </cell>
        </row>
        <row r="363">
          <cell r="G363">
            <v>0</v>
          </cell>
        </row>
        <row r="364">
          <cell r="G364">
            <v>0</v>
          </cell>
        </row>
        <row r="365">
          <cell r="G365">
            <v>0</v>
          </cell>
        </row>
        <row r="366">
          <cell r="G366">
            <v>0</v>
          </cell>
        </row>
        <row r="367">
          <cell r="G367">
            <v>0</v>
          </cell>
        </row>
        <row r="368">
          <cell r="G368">
            <v>0</v>
          </cell>
        </row>
        <row r="369">
          <cell r="G369">
            <v>0</v>
          </cell>
        </row>
        <row r="370">
          <cell r="G370">
            <v>0</v>
          </cell>
        </row>
        <row r="371">
          <cell r="G371">
            <v>0</v>
          </cell>
        </row>
        <row r="372">
          <cell r="G372">
            <v>0</v>
          </cell>
        </row>
        <row r="373">
          <cell r="G373">
            <v>0</v>
          </cell>
        </row>
        <row r="374">
          <cell r="G374">
            <v>0</v>
          </cell>
        </row>
        <row r="375">
          <cell r="G375">
            <v>0</v>
          </cell>
        </row>
        <row r="376">
          <cell r="G376">
            <v>0</v>
          </cell>
        </row>
        <row r="377">
          <cell r="G377">
            <v>0</v>
          </cell>
        </row>
        <row r="378">
          <cell r="G378">
            <v>0</v>
          </cell>
        </row>
        <row r="379">
          <cell r="G379">
            <v>0</v>
          </cell>
        </row>
        <row r="380">
          <cell r="G380">
            <v>0</v>
          </cell>
        </row>
        <row r="381">
          <cell r="G381">
            <v>0</v>
          </cell>
        </row>
        <row r="382">
          <cell r="G382">
            <v>0</v>
          </cell>
        </row>
        <row r="383">
          <cell r="G383">
            <v>0</v>
          </cell>
        </row>
        <row r="384">
          <cell r="G384">
            <v>0</v>
          </cell>
        </row>
        <row r="385">
          <cell r="G385">
            <v>0</v>
          </cell>
        </row>
        <row r="386">
          <cell r="G386">
            <v>0</v>
          </cell>
        </row>
        <row r="387">
          <cell r="G387">
            <v>0</v>
          </cell>
        </row>
        <row r="388">
          <cell r="G388">
            <v>0</v>
          </cell>
        </row>
        <row r="389">
          <cell r="G389">
            <v>0</v>
          </cell>
        </row>
        <row r="390">
          <cell r="G390">
            <v>0</v>
          </cell>
        </row>
        <row r="391">
          <cell r="G391">
            <v>0</v>
          </cell>
        </row>
        <row r="392">
          <cell r="G392">
            <v>0</v>
          </cell>
        </row>
        <row r="393">
          <cell r="G393">
            <v>0</v>
          </cell>
        </row>
        <row r="394">
          <cell r="G394">
            <v>0</v>
          </cell>
        </row>
        <row r="395">
          <cell r="G395">
            <v>0</v>
          </cell>
        </row>
        <row r="396">
          <cell r="G396">
            <v>0</v>
          </cell>
        </row>
        <row r="397">
          <cell r="G397">
            <v>0</v>
          </cell>
        </row>
        <row r="398">
          <cell r="G398">
            <v>0</v>
          </cell>
        </row>
        <row r="399">
          <cell r="G399">
            <v>0</v>
          </cell>
        </row>
        <row r="400">
          <cell r="G400">
            <v>0</v>
          </cell>
        </row>
        <row r="401">
          <cell r="G401">
            <v>0</v>
          </cell>
        </row>
        <row r="402">
          <cell r="G402">
            <v>0</v>
          </cell>
        </row>
        <row r="403">
          <cell r="G403">
            <v>0</v>
          </cell>
        </row>
        <row r="404">
          <cell r="G404">
            <v>0</v>
          </cell>
        </row>
        <row r="405">
          <cell r="G405">
            <v>0</v>
          </cell>
        </row>
        <row r="406">
          <cell r="G406">
            <v>0</v>
          </cell>
        </row>
        <row r="407">
          <cell r="G407">
            <v>0</v>
          </cell>
        </row>
        <row r="408">
          <cell r="G408">
            <v>0</v>
          </cell>
        </row>
        <row r="409">
          <cell r="G409">
            <v>0</v>
          </cell>
        </row>
        <row r="410">
          <cell r="G410">
            <v>0</v>
          </cell>
        </row>
        <row r="411">
          <cell r="G411">
            <v>0</v>
          </cell>
        </row>
        <row r="412">
          <cell r="G412">
            <v>0</v>
          </cell>
        </row>
        <row r="413">
          <cell r="G413">
            <v>0</v>
          </cell>
        </row>
        <row r="414">
          <cell r="G414">
            <v>0</v>
          </cell>
        </row>
        <row r="415">
          <cell r="G415">
            <v>0</v>
          </cell>
        </row>
        <row r="416">
          <cell r="G416">
            <v>0</v>
          </cell>
        </row>
        <row r="417">
          <cell r="G417">
            <v>0</v>
          </cell>
        </row>
        <row r="418">
          <cell r="G418">
            <v>0</v>
          </cell>
        </row>
        <row r="419">
          <cell r="G419">
            <v>0</v>
          </cell>
        </row>
        <row r="420">
          <cell r="G420">
            <v>0</v>
          </cell>
        </row>
        <row r="421">
          <cell r="G421">
            <v>0</v>
          </cell>
        </row>
        <row r="422">
          <cell r="G422">
            <v>0</v>
          </cell>
        </row>
        <row r="423">
          <cell r="G423">
            <v>0</v>
          </cell>
        </row>
        <row r="424">
          <cell r="G424">
            <v>0</v>
          </cell>
        </row>
        <row r="425">
          <cell r="G425">
            <v>0</v>
          </cell>
        </row>
        <row r="426">
          <cell r="G426">
            <v>0</v>
          </cell>
        </row>
        <row r="427">
          <cell r="G427">
            <v>0</v>
          </cell>
        </row>
        <row r="428">
          <cell r="G428">
            <v>0</v>
          </cell>
        </row>
        <row r="429">
          <cell r="G429">
            <v>0</v>
          </cell>
        </row>
        <row r="430">
          <cell r="G430">
            <v>0</v>
          </cell>
        </row>
        <row r="431">
          <cell r="G431">
            <v>0</v>
          </cell>
        </row>
        <row r="432">
          <cell r="G432">
            <v>0</v>
          </cell>
        </row>
        <row r="433">
          <cell r="G433">
            <v>0</v>
          </cell>
        </row>
        <row r="434">
          <cell r="G434">
            <v>0</v>
          </cell>
        </row>
        <row r="435">
          <cell r="G435">
            <v>0</v>
          </cell>
        </row>
        <row r="436">
          <cell r="G436">
            <v>0</v>
          </cell>
        </row>
        <row r="437">
          <cell r="G437">
            <v>0</v>
          </cell>
        </row>
        <row r="438">
          <cell r="G438">
            <v>0</v>
          </cell>
        </row>
        <row r="439">
          <cell r="G439">
            <v>0</v>
          </cell>
        </row>
        <row r="440">
          <cell r="G440">
            <v>0</v>
          </cell>
        </row>
        <row r="441">
          <cell r="G441">
            <v>0</v>
          </cell>
        </row>
        <row r="442">
          <cell r="G442">
            <v>0</v>
          </cell>
        </row>
        <row r="443">
          <cell r="G443">
            <v>0</v>
          </cell>
        </row>
        <row r="444">
          <cell r="G444">
            <v>0</v>
          </cell>
        </row>
        <row r="445">
          <cell r="G445">
            <v>0</v>
          </cell>
        </row>
        <row r="446">
          <cell r="G446">
            <v>0</v>
          </cell>
        </row>
        <row r="447">
          <cell r="G447">
            <v>0</v>
          </cell>
        </row>
        <row r="448">
          <cell r="G448">
            <v>0</v>
          </cell>
        </row>
        <row r="449">
          <cell r="G449">
            <v>0</v>
          </cell>
        </row>
        <row r="450">
          <cell r="G450">
            <v>0</v>
          </cell>
        </row>
        <row r="451">
          <cell r="G451">
            <v>0</v>
          </cell>
        </row>
        <row r="452">
          <cell r="G452">
            <v>0</v>
          </cell>
        </row>
        <row r="453">
          <cell r="G453">
            <v>0</v>
          </cell>
        </row>
        <row r="454">
          <cell r="G454">
            <v>0</v>
          </cell>
        </row>
        <row r="455">
          <cell r="G455">
            <v>0</v>
          </cell>
        </row>
        <row r="456">
          <cell r="G456">
            <v>0</v>
          </cell>
        </row>
        <row r="457">
          <cell r="G457">
            <v>0</v>
          </cell>
        </row>
        <row r="458">
          <cell r="G458">
            <v>0</v>
          </cell>
        </row>
        <row r="459">
          <cell r="G459">
            <v>0</v>
          </cell>
        </row>
        <row r="460">
          <cell r="G460">
            <v>0</v>
          </cell>
        </row>
        <row r="461">
          <cell r="G461">
            <v>0</v>
          </cell>
        </row>
        <row r="462">
          <cell r="G462">
            <v>0</v>
          </cell>
        </row>
        <row r="463">
          <cell r="G463">
            <v>0</v>
          </cell>
        </row>
        <row r="464">
          <cell r="G464">
            <v>0</v>
          </cell>
        </row>
        <row r="465">
          <cell r="G465">
            <v>0</v>
          </cell>
        </row>
        <row r="466">
          <cell r="G466">
            <v>0</v>
          </cell>
        </row>
        <row r="467">
          <cell r="G467">
            <v>0</v>
          </cell>
        </row>
        <row r="468">
          <cell r="G468">
            <v>0</v>
          </cell>
        </row>
        <row r="469">
          <cell r="G469">
            <v>0</v>
          </cell>
        </row>
        <row r="470">
          <cell r="G470">
            <v>0</v>
          </cell>
        </row>
        <row r="471">
          <cell r="G471">
            <v>0</v>
          </cell>
        </row>
        <row r="472">
          <cell r="G472">
            <v>0</v>
          </cell>
        </row>
        <row r="473">
          <cell r="G473">
            <v>0</v>
          </cell>
        </row>
        <row r="474">
          <cell r="G474">
            <v>0</v>
          </cell>
        </row>
        <row r="475">
          <cell r="G475">
            <v>0</v>
          </cell>
        </row>
        <row r="476">
          <cell r="G476">
            <v>0</v>
          </cell>
        </row>
        <row r="477">
          <cell r="G477">
            <v>0</v>
          </cell>
        </row>
        <row r="478">
          <cell r="G478">
            <v>0</v>
          </cell>
        </row>
        <row r="479">
          <cell r="G479">
            <v>0</v>
          </cell>
        </row>
        <row r="480">
          <cell r="G480">
            <v>0</v>
          </cell>
        </row>
        <row r="481">
          <cell r="G481">
            <v>0</v>
          </cell>
        </row>
        <row r="482">
          <cell r="G482">
            <v>0</v>
          </cell>
        </row>
        <row r="483">
          <cell r="G483">
            <v>0</v>
          </cell>
        </row>
        <row r="484">
          <cell r="G484">
            <v>0</v>
          </cell>
        </row>
        <row r="485">
          <cell r="G485">
            <v>0</v>
          </cell>
        </row>
        <row r="486">
          <cell r="G486">
            <v>0</v>
          </cell>
        </row>
        <row r="487">
          <cell r="G487">
            <v>0</v>
          </cell>
        </row>
        <row r="488">
          <cell r="G488">
            <v>0</v>
          </cell>
        </row>
        <row r="489">
          <cell r="G489">
            <v>0</v>
          </cell>
        </row>
        <row r="490">
          <cell r="G490">
            <v>0</v>
          </cell>
        </row>
        <row r="491">
          <cell r="G491">
            <v>0</v>
          </cell>
        </row>
        <row r="492">
          <cell r="G492">
            <v>0</v>
          </cell>
        </row>
        <row r="493">
          <cell r="G493">
            <v>0</v>
          </cell>
        </row>
        <row r="494">
          <cell r="G494">
            <v>0</v>
          </cell>
        </row>
        <row r="495">
          <cell r="G495">
            <v>0</v>
          </cell>
        </row>
        <row r="496">
          <cell r="G496">
            <v>0</v>
          </cell>
        </row>
        <row r="497">
          <cell r="G497">
            <v>0</v>
          </cell>
        </row>
        <row r="498">
          <cell r="G498">
            <v>0</v>
          </cell>
        </row>
        <row r="499">
          <cell r="G499">
            <v>0</v>
          </cell>
        </row>
        <row r="500">
          <cell r="G500">
            <v>0</v>
          </cell>
        </row>
        <row r="501">
          <cell r="G501">
            <v>0</v>
          </cell>
        </row>
        <row r="502">
          <cell r="G502">
            <v>0</v>
          </cell>
        </row>
        <row r="503">
          <cell r="G503">
            <v>0</v>
          </cell>
        </row>
        <row r="504">
          <cell r="G504">
            <v>0</v>
          </cell>
        </row>
        <row r="505">
          <cell r="G505">
            <v>0</v>
          </cell>
        </row>
        <row r="506">
          <cell r="G506">
            <v>0</v>
          </cell>
        </row>
        <row r="507">
          <cell r="G507">
            <v>0</v>
          </cell>
        </row>
        <row r="508">
          <cell r="G508">
            <v>0</v>
          </cell>
        </row>
        <row r="509">
          <cell r="G509">
            <v>0</v>
          </cell>
        </row>
        <row r="510">
          <cell r="G510">
            <v>0</v>
          </cell>
        </row>
        <row r="511">
          <cell r="G511">
            <v>0</v>
          </cell>
        </row>
        <row r="512">
          <cell r="G512">
            <v>0</v>
          </cell>
        </row>
        <row r="513">
          <cell r="G513">
            <v>0</v>
          </cell>
        </row>
        <row r="514">
          <cell r="G514">
            <v>0</v>
          </cell>
        </row>
        <row r="515">
          <cell r="G515">
            <v>0</v>
          </cell>
        </row>
        <row r="516">
          <cell r="G516">
            <v>0</v>
          </cell>
        </row>
        <row r="517">
          <cell r="G517">
            <v>0</v>
          </cell>
        </row>
        <row r="518">
          <cell r="G518">
            <v>0</v>
          </cell>
        </row>
        <row r="519">
          <cell r="G519">
            <v>0</v>
          </cell>
        </row>
        <row r="520">
          <cell r="G520">
            <v>0</v>
          </cell>
        </row>
        <row r="521">
          <cell r="G521">
            <v>0</v>
          </cell>
        </row>
        <row r="522">
          <cell r="G522">
            <v>0</v>
          </cell>
        </row>
        <row r="523">
          <cell r="G523">
            <v>0</v>
          </cell>
        </row>
        <row r="524">
          <cell r="G524">
            <v>0</v>
          </cell>
        </row>
        <row r="525">
          <cell r="G525">
            <v>0</v>
          </cell>
        </row>
        <row r="526">
          <cell r="G526">
            <v>0</v>
          </cell>
        </row>
        <row r="527">
          <cell r="G527">
            <v>0</v>
          </cell>
        </row>
        <row r="528">
          <cell r="G528">
            <v>0</v>
          </cell>
        </row>
        <row r="529">
          <cell r="G529">
            <v>0</v>
          </cell>
        </row>
        <row r="530">
          <cell r="G530">
            <v>0</v>
          </cell>
        </row>
        <row r="531">
          <cell r="G531">
            <v>0</v>
          </cell>
        </row>
        <row r="532">
          <cell r="G532">
            <v>0</v>
          </cell>
        </row>
        <row r="533">
          <cell r="G533">
            <v>0</v>
          </cell>
        </row>
        <row r="534">
          <cell r="G534">
            <v>0</v>
          </cell>
        </row>
        <row r="535">
          <cell r="G535">
            <v>0</v>
          </cell>
        </row>
        <row r="536">
          <cell r="G536">
            <v>0</v>
          </cell>
        </row>
        <row r="537">
          <cell r="G537">
            <v>0</v>
          </cell>
        </row>
        <row r="538">
          <cell r="G538">
            <v>0</v>
          </cell>
        </row>
        <row r="539">
          <cell r="G539">
            <v>0</v>
          </cell>
        </row>
        <row r="540">
          <cell r="G540">
            <v>0</v>
          </cell>
        </row>
        <row r="541">
          <cell r="G541">
            <v>0</v>
          </cell>
        </row>
        <row r="542">
          <cell r="G542">
            <v>0</v>
          </cell>
        </row>
        <row r="543">
          <cell r="G543">
            <v>0</v>
          </cell>
        </row>
        <row r="544">
          <cell r="G544">
            <v>0</v>
          </cell>
        </row>
        <row r="545">
          <cell r="G545">
            <v>0</v>
          </cell>
        </row>
        <row r="546">
          <cell r="G546">
            <v>0</v>
          </cell>
        </row>
        <row r="547">
          <cell r="G547">
            <v>0</v>
          </cell>
        </row>
        <row r="548">
          <cell r="G548">
            <v>0</v>
          </cell>
        </row>
        <row r="549">
          <cell r="G549">
            <v>0</v>
          </cell>
        </row>
        <row r="550">
          <cell r="G550">
            <v>0</v>
          </cell>
        </row>
        <row r="551">
          <cell r="G551">
            <v>0</v>
          </cell>
        </row>
        <row r="552">
          <cell r="G552">
            <v>0</v>
          </cell>
        </row>
        <row r="553">
          <cell r="G553">
            <v>0</v>
          </cell>
        </row>
        <row r="554">
          <cell r="G554">
            <v>0</v>
          </cell>
        </row>
        <row r="555">
          <cell r="G555">
            <v>0</v>
          </cell>
        </row>
        <row r="556">
          <cell r="G556">
            <v>0</v>
          </cell>
        </row>
        <row r="557">
          <cell r="G557">
            <v>0</v>
          </cell>
        </row>
        <row r="558">
          <cell r="G558">
            <v>0</v>
          </cell>
        </row>
        <row r="559">
          <cell r="G559">
            <v>0</v>
          </cell>
        </row>
        <row r="560">
          <cell r="G560">
            <v>0</v>
          </cell>
        </row>
        <row r="561">
          <cell r="G561">
            <v>0</v>
          </cell>
        </row>
        <row r="562">
          <cell r="G562">
            <v>0</v>
          </cell>
        </row>
        <row r="563">
          <cell r="G563">
            <v>0</v>
          </cell>
        </row>
        <row r="564">
          <cell r="G564">
            <v>0</v>
          </cell>
        </row>
        <row r="565">
          <cell r="G565">
            <v>0</v>
          </cell>
        </row>
        <row r="566">
          <cell r="G566">
            <v>0</v>
          </cell>
        </row>
        <row r="567">
          <cell r="G567">
            <v>0</v>
          </cell>
        </row>
        <row r="568">
          <cell r="G568">
            <v>0</v>
          </cell>
        </row>
        <row r="569">
          <cell r="G569">
            <v>0</v>
          </cell>
        </row>
        <row r="570">
          <cell r="G570">
            <v>0</v>
          </cell>
        </row>
        <row r="571">
          <cell r="G571">
            <v>0</v>
          </cell>
        </row>
        <row r="572">
          <cell r="G572">
            <v>0</v>
          </cell>
        </row>
        <row r="573">
          <cell r="G573">
            <v>0</v>
          </cell>
        </row>
        <row r="574">
          <cell r="G574">
            <v>0</v>
          </cell>
        </row>
        <row r="575">
          <cell r="G575">
            <v>0</v>
          </cell>
        </row>
        <row r="576">
          <cell r="G576">
            <v>0</v>
          </cell>
        </row>
        <row r="577">
          <cell r="G577">
            <v>0</v>
          </cell>
        </row>
        <row r="578">
          <cell r="G578">
            <v>0</v>
          </cell>
        </row>
        <row r="579">
          <cell r="G579">
            <v>0</v>
          </cell>
        </row>
        <row r="580">
          <cell r="G580">
            <v>0</v>
          </cell>
        </row>
        <row r="581">
          <cell r="G581">
            <v>0</v>
          </cell>
        </row>
        <row r="582">
          <cell r="G582">
            <v>0</v>
          </cell>
        </row>
        <row r="583">
          <cell r="G583">
            <v>0</v>
          </cell>
        </row>
        <row r="584">
          <cell r="G584">
            <v>0</v>
          </cell>
        </row>
        <row r="585">
          <cell r="G585">
            <v>0</v>
          </cell>
        </row>
        <row r="586">
          <cell r="G586">
            <v>0</v>
          </cell>
        </row>
        <row r="587">
          <cell r="G587">
            <v>0</v>
          </cell>
        </row>
        <row r="588">
          <cell r="G588">
            <v>0</v>
          </cell>
        </row>
        <row r="589">
          <cell r="G589">
            <v>0</v>
          </cell>
        </row>
        <row r="590">
          <cell r="G590">
            <v>0</v>
          </cell>
        </row>
        <row r="591">
          <cell r="G591">
            <v>0</v>
          </cell>
        </row>
        <row r="592">
          <cell r="G592">
            <v>0</v>
          </cell>
        </row>
        <row r="593">
          <cell r="G593">
            <v>0</v>
          </cell>
        </row>
        <row r="594">
          <cell r="G594">
            <v>0</v>
          </cell>
        </row>
        <row r="595">
          <cell r="G595">
            <v>0</v>
          </cell>
        </row>
        <row r="596">
          <cell r="G596">
            <v>0</v>
          </cell>
        </row>
        <row r="597">
          <cell r="G597">
            <v>0</v>
          </cell>
        </row>
        <row r="598">
          <cell r="G598">
            <v>0</v>
          </cell>
        </row>
        <row r="599">
          <cell r="G599">
            <v>0</v>
          </cell>
        </row>
        <row r="600">
          <cell r="G600">
            <v>0</v>
          </cell>
        </row>
        <row r="601">
          <cell r="G601">
            <v>0</v>
          </cell>
        </row>
        <row r="602">
          <cell r="G602">
            <v>0</v>
          </cell>
        </row>
        <row r="603">
          <cell r="G603">
            <v>0</v>
          </cell>
        </row>
        <row r="604">
          <cell r="G604">
            <v>0</v>
          </cell>
        </row>
        <row r="605">
          <cell r="G605">
            <v>0</v>
          </cell>
        </row>
        <row r="606">
          <cell r="G606">
            <v>0</v>
          </cell>
        </row>
        <row r="607">
          <cell r="G607">
            <v>0</v>
          </cell>
        </row>
        <row r="608">
          <cell r="G608">
            <v>0</v>
          </cell>
        </row>
        <row r="609">
          <cell r="G609">
            <v>0</v>
          </cell>
        </row>
        <row r="610">
          <cell r="G610">
            <v>0</v>
          </cell>
        </row>
        <row r="611">
          <cell r="G611">
            <v>0</v>
          </cell>
        </row>
        <row r="612">
          <cell r="G612">
            <v>0</v>
          </cell>
        </row>
        <row r="613">
          <cell r="G613">
            <v>0</v>
          </cell>
        </row>
        <row r="614">
          <cell r="G614">
            <v>0</v>
          </cell>
        </row>
        <row r="615">
          <cell r="G615">
            <v>0</v>
          </cell>
        </row>
        <row r="616">
          <cell r="G616">
            <v>0</v>
          </cell>
        </row>
        <row r="617">
          <cell r="G617">
            <v>0</v>
          </cell>
        </row>
        <row r="618">
          <cell r="G618">
            <v>0</v>
          </cell>
        </row>
        <row r="619">
          <cell r="G619">
            <v>0</v>
          </cell>
        </row>
        <row r="620">
          <cell r="G620">
            <v>0</v>
          </cell>
        </row>
        <row r="621">
          <cell r="G621">
            <v>0</v>
          </cell>
        </row>
        <row r="622">
          <cell r="G622">
            <v>0</v>
          </cell>
        </row>
        <row r="623">
          <cell r="G623">
            <v>0</v>
          </cell>
        </row>
        <row r="624">
          <cell r="G624">
            <v>0</v>
          </cell>
        </row>
        <row r="625">
          <cell r="G625">
            <v>0</v>
          </cell>
        </row>
        <row r="626">
          <cell r="G626">
            <v>0</v>
          </cell>
        </row>
        <row r="627">
          <cell r="G627">
            <v>0</v>
          </cell>
        </row>
        <row r="628">
          <cell r="G628">
            <v>0</v>
          </cell>
        </row>
        <row r="629">
          <cell r="G629">
            <v>0</v>
          </cell>
        </row>
        <row r="630">
          <cell r="G630">
            <v>0</v>
          </cell>
        </row>
        <row r="631">
          <cell r="G631">
            <v>0</v>
          </cell>
        </row>
        <row r="632">
          <cell r="G632">
            <v>0</v>
          </cell>
        </row>
        <row r="633">
          <cell r="G633">
            <v>0</v>
          </cell>
        </row>
        <row r="634">
          <cell r="G634">
            <v>0</v>
          </cell>
        </row>
        <row r="635">
          <cell r="G635">
            <v>0</v>
          </cell>
        </row>
        <row r="636">
          <cell r="G636">
            <v>0</v>
          </cell>
        </row>
        <row r="637">
          <cell r="G637">
            <v>0</v>
          </cell>
        </row>
        <row r="638">
          <cell r="G638">
            <v>0</v>
          </cell>
        </row>
        <row r="639">
          <cell r="G639">
            <v>0</v>
          </cell>
        </row>
        <row r="640">
          <cell r="G640">
            <v>0</v>
          </cell>
        </row>
        <row r="641">
          <cell r="G641">
            <v>0</v>
          </cell>
        </row>
        <row r="642">
          <cell r="G642">
            <v>0</v>
          </cell>
        </row>
        <row r="643">
          <cell r="G643">
            <v>0</v>
          </cell>
        </row>
        <row r="644">
          <cell r="G644">
            <v>0</v>
          </cell>
        </row>
        <row r="645">
          <cell r="G645">
            <v>0</v>
          </cell>
        </row>
        <row r="646">
          <cell r="G646">
            <v>0</v>
          </cell>
        </row>
        <row r="647">
          <cell r="G647">
            <v>0</v>
          </cell>
        </row>
        <row r="648">
          <cell r="G648">
            <v>0</v>
          </cell>
        </row>
        <row r="649">
          <cell r="G649">
            <v>0</v>
          </cell>
        </row>
        <row r="650">
          <cell r="G650">
            <v>0</v>
          </cell>
        </row>
        <row r="651">
          <cell r="G651">
            <v>0</v>
          </cell>
        </row>
        <row r="652">
          <cell r="G652">
            <v>0</v>
          </cell>
        </row>
        <row r="653">
          <cell r="G653">
            <v>0</v>
          </cell>
        </row>
        <row r="654">
          <cell r="G654">
            <v>0</v>
          </cell>
        </row>
        <row r="655">
          <cell r="G655">
            <v>0</v>
          </cell>
        </row>
        <row r="656">
          <cell r="G656">
            <v>0</v>
          </cell>
        </row>
        <row r="657">
          <cell r="G657">
            <v>0</v>
          </cell>
        </row>
        <row r="658">
          <cell r="G658">
            <v>0</v>
          </cell>
        </row>
        <row r="659">
          <cell r="G659">
            <v>0</v>
          </cell>
        </row>
        <row r="660">
          <cell r="G660">
            <v>0</v>
          </cell>
        </row>
        <row r="661">
          <cell r="G661">
            <v>0</v>
          </cell>
        </row>
        <row r="662">
          <cell r="G662">
            <v>0</v>
          </cell>
        </row>
        <row r="663">
          <cell r="G663">
            <v>0</v>
          </cell>
        </row>
        <row r="664">
          <cell r="G664">
            <v>0</v>
          </cell>
        </row>
        <row r="665">
          <cell r="G665">
            <v>0</v>
          </cell>
        </row>
        <row r="666">
          <cell r="G666">
            <v>0</v>
          </cell>
        </row>
        <row r="667">
          <cell r="G667">
            <v>0</v>
          </cell>
        </row>
        <row r="668">
          <cell r="G668">
            <v>0</v>
          </cell>
        </row>
        <row r="669">
          <cell r="G669">
            <v>0</v>
          </cell>
        </row>
        <row r="670">
          <cell r="G670">
            <v>0</v>
          </cell>
        </row>
        <row r="671">
          <cell r="G671">
            <v>0</v>
          </cell>
        </row>
        <row r="672">
          <cell r="G672">
            <v>0</v>
          </cell>
        </row>
        <row r="673">
          <cell r="G673">
            <v>0</v>
          </cell>
        </row>
        <row r="674">
          <cell r="G674">
            <v>0</v>
          </cell>
        </row>
        <row r="675">
          <cell r="G675">
            <v>0</v>
          </cell>
        </row>
        <row r="676">
          <cell r="G676">
            <v>0</v>
          </cell>
        </row>
        <row r="677">
          <cell r="G677">
            <v>0</v>
          </cell>
        </row>
        <row r="678">
          <cell r="G678">
            <v>0</v>
          </cell>
        </row>
        <row r="679">
          <cell r="G679">
            <v>0</v>
          </cell>
        </row>
        <row r="680">
          <cell r="G680">
            <v>0</v>
          </cell>
        </row>
        <row r="681">
          <cell r="G681">
            <v>0</v>
          </cell>
        </row>
        <row r="682">
          <cell r="G682">
            <v>0</v>
          </cell>
        </row>
        <row r="683">
          <cell r="G683">
            <v>0</v>
          </cell>
        </row>
        <row r="684">
          <cell r="G684">
            <v>0</v>
          </cell>
        </row>
        <row r="685">
          <cell r="G685">
            <v>0</v>
          </cell>
        </row>
        <row r="686">
          <cell r="G686">
            <v>0</v>
          </cell>
        </row>
        <row r="687">
          <cell r="G687">
            <v>0</v>
          </cell>
        </row>
        <row r="688">
          <cell r="G688">
            <v>0</v>
          </cell>
        </row>
        <row r="689">
          <cell r="G689">
            <v>0</v>
          </cell>
        </row>
        <row r="690">
          <cell r="G690">
            <v>0</v>
          </cell>
        </row>
        <row r="691">
          <cell r="G691">
            <v>0</v>
          </cell>
        </row>
        <row r="692">
          <cell r="G692">
            <v>0</v>
          </cell>
        </row>
        <row r="693">
          <cell r="G693">
            <v>0</v>
          </cell>
        </row>
        <row r="694">
          <cell r="G694">
            <v>0</v>
          </cell>
        </row>
        <row r="695">
          <cell r="G695">
            <v>0</v>
          </cell>
        </row>
        <row r="696">
          <cell r="G696">
            <v>0</v>
          </cell>
        </row>
        <row r="697">
          <cell r="G697">
            <v>0</v>
          </cell>
        </row>
        <row r="698">
          <cell r="G698">
            <v>0</v>
          </cell>
        </row>
        <row r="699">
          <cell r="G699">
            <v>0</v>
          </cell>
        </row>
        <row r="700">
          <cell r="G700">
            <v>0</v>
          </cell>
        </row>
        <row r="701">
          <cell r="G701">
            <v>0</v>
          </cell>
        </row>
        <row r="702">
          <cell r="G702">
            <v>0</v>
          </cell>
        </row>
        <row r="703">
          <cell r="G703">
            <v>0</v>
          </cell>
        </row>
        <row r="704">
          <cell r="G704">
            <v>0</v>
          </cell>
        </row>
        <row r="705">
          <cell r="G705">
            <v>0</v>
          </cell>
        </row>
        <row r="706">
          <cell r="G706">
            <v>0</v>
          </cell>
        </row>
        <row r="707">
          <cell r="G707">
            <v>0</v>
          </cell>
        </row>
        <row r="708">
          <cell r="G708">
            <v>0</v>
          </cell>
        </row>
        <row r="709">
          <cell r="G709">
            <v>0</v>
          </cell>
        </row>
        <row r="710">
          <cell r="G710">
            <v>0</v>
          </cell>
        </row>
        <row r="711">
          <cell r="G711">
            <v>0</v>
          </cell>
        </row>
        <row r="712">
          <cell r="G712">
            <v>0</v>
          </cell>
        </row>
        <row r="713">
          <cell r="G713">
            <v>0</v>
          </cell>
        </row>
        <row r="714">
          <cell r="G714">
            <v>0</v>
          </cell>
        </row>
        <row r="715">
          <cell r="G715">
            <v>0</v>
          </cell>
        </row>
        <row r="716">
          <cell r="G716">
            <v>0</v>
          </cell>
        </row>
        <row r="717">
          <cell r="G717">
            <v>0</v>
          </cell>
        </row>
        <row r="718">
          <cell r="G718">
            <v>0</v>
          </cell>
        </row>
        <row r="719">
          <cell r="G719">
            <v>0</v>
          </cell>
        </row>
        <row r="720">
          <cell r="G720">
            <v>0</v>
          </cell>
        </row>
        <row r="721">
          <cell r="G721">
            <v>0</v>
          </cell>
        </row>
        <row r="722">
          <cell r="G722">
            <v>0</v>
          </cell>
        </row>
        <row r="723">
          <cell r="G723">
            <v>0</v>
          </cell>
        </row>
        <row r="724">
          <cell r="G724">
            <v>0</v>
          </cell>
        </row>
        <row r="725">
          <cell r="G725">
            <v>0</v>
          </cell>
        </row>
        <row r="726">
          <cell r="G726">
            <v>0</v>
          </cell>
        </row>
        <row r="727">
          <cell r="G727">
            <v>0</v>
          </cell>
        </row>
        <row r="728">
          <cell r="G728">
            <v>0</v>
          </cell>
        </row>
        <row r="729">
          <cell r="G729">
            <v>0</v>
          </cell>
        </row>
        <row r="730">
          <cell r="G730">
            <v>0</v>
          </cell>
        </row>
        <row r="731">
          <cell r="G731">
            <v>0</v>
          </cell>
        </row>
        <row r="732">
          <cell r="G732">
            <v>0</v>
          </cell>
        </row>
        <row r="733">
          <cell r="G733">
            <v>0</v>
          </cell>
        </row>
        <row r="734">
          <cell r="G734">
            <v>0</v>
          </cell>
        </row>
        <row r="735">
          <cell r="G735">
            <v>0</v>
          </cell>
        </row>
        <row r="736">
          <cell r="G736">
            <v>0</v>
          </cell>
        </row>
        <row r="737">
          <cell r="G737">
            <v>0</v>
          </cell>
        </row>
        <row r="738">
          <cell r="G738">
            <v>0</v>
          </cell>
        </row>
        <row r="739">
          <cell r="G739">
            <v>0</v>
          </cell>
        </row>
        <row r="740">
          <cell r="G740">
            <v>0</v>
          </cell>
        </row>
        <row r="741">
          <cell r="G741">
            <v>0</v>
          </cell>
        </row>
        <row r="742">
          <cell r="G742">
            <v>0</v>
          </cell>
        </row>
        <row r="743">
          <cell r="G743">
            <v>0</v>
          </cell>
        </row>
        <row r="744">
          <cell r="G744">
            <v>0</v>
          </cell>
        </row>
        <row r="745">
          <cell r="G745">
            <v>0</v>
          </cell>
        </row>
        <row r="746">
          <cell r="G746">
            <v>0</v>
          </cell>
        </row>
        <row r="747">
          <cell r="G747">
            <v>0</v>
          </cell>
        </row>
        <row r="748">
          <cell r="G748">
            <v>0</v>
          </cell>
        </row>
        <row r="749">
          <cell r="G749">
            <v>0</v>
          </cell>
        </row>
        <row r="750">
          <cell r="G750">
            <v>0</v>
          </cell>
        </row>
        <row r="751">
          <cell r="G751">
            <v>0</v>
          </cell>
        </row>
        <row r="752">
          <cell r="G752">
            <v>0</v>
          </cell>
        </row>
        <row r="753">
          <cell r="G753">
            <v>0</v>
          </cell>
        </row>
        <row r="754">
          <cell r="G754">
            <v>0</v>
          </cell>
        </row>
        <row r="755">
          <cell r="G755">
            <v>0</v>
          </cell>
        </row>
        <row r="756">
          <cell r="G756">
            <v>0</v>
          </cell>
        </row>
        <row r="757">
          <cell r="G757">
            <v>0</v>
          </cell>
        </row>
        <row r="758">
          <cell r="G758">
            <v>0</v>
          </cell>
        </row>
        <row r="759">
          <cell r="G759">
            <v>0</v>
          </cell>
        </row>
        <row r="760">
          <cell r="G760">
            <v>0</v>
          </cell>
        </row>
        <row r="761">
          <cell r="G761">
            <v>0</v>
          </cell>
        </row>
        <row r="762">
          <cell r="G762">
            <v>0</v>
          </cell>
        </row>
        <row r="763">
          <cell r="G763">
            <v>0</v>
          </cell>
        </row>
        <row r="764">
          <cell r="G764">
            <v>0</v>
          </cell>
        </row>
        <row r="765">
          <cell r="G765">
            <v>0</v>
          </cell>
        </row>
        <row r="766">
          <cell r="G766">
            <v>0</v>
          </cell>
        </row>
        <row r="767">
          <cell r="G767">
            <v>0</v>
          </cell>
        </row>
        <row r="768">
          <cell r="G768">
            <v>0</v>
          </cell>
        </row>
        <row r="769">
          <cell r="G769">
            <v>0</v>
          </cell>
        </row>
        <row r="770">
          <cell r="G770">
            <v>0</v>
          </cell>
        </row>
        <row r="771">
          <cell r="G771">
            <v>0</v>
          </cell>
        </row>
        <row r="772">
          <cell r="G772">
            <v>0</v>
          </cell>
        </row>
        <row r="773">
          <cell r="G773">
            <v>0</v>
          </cell>
        </row>
        <row r="774">
          <cell r="G774">
            <v>0</v>
          </cell>
        </row>
        <row r="775">
          <cell r="G775">
            <v>0</v>
          </cell>
        </row>
        <row r="776">
          <cell r="G776">
            <v>0</v>
          </cell>
        </row>
        <row r="777">
          <cell r="G777">
            <v>0</v>
          </cell>
        </row>
        <row r="778">
          <cell r="G778">
            <v>0</v>
          </cell>
        </row>
        <row r="779">
          <cell r="G779">
            <v>0</v>
          </cell>
        </row>
        <row r="780">
          <cell r="G780">
            <v>0</v>
          </cell>
        </row>
        <row r="781">
          <cell r="G781">
            <v>0</v>
          </cell>
        </row>
        <row r="782">
          <cell r="G782">
            <v>0</v>
          </cell>
        </row>
        <row r="783">
          <cell r="G783">
            <v>0</v>
          </cell>
        </row>
        <row r="784">
          <cell r="G784">
            <v>0</v>
          </cell>
        </row>
        <row r="785">
          <cell r="G785">
            <v>0</v>
          </cell>
        </row>
        <row r="786">
          <cell r="G786">
            <v>0</v>
          </cell>
        </row>
        <row r="787">
          <cell r="G787">
            <v>0</v>
          </cell>
        </row>
        <row r="788">
          <cell r="G788">
            <v>0</v>
          </cell>
        </row>
        <row r="789">
          <cell r="G789">
            <v>0</v>
          </cell>
        </row>
        <row r="790">
          <cell r="G790">
            <v>0</v>
          </cell>
        </row>
        <row r="791">
          <cell r="G791">
            <v>0</v>
          </cell>
        </row>
        <row r="792">
          <cell r="G792">
            <v>0</v>
          </cell>
        </row>
        <row r="793">
          <cell r="G793">
            <v>0</v>
          </cell>
        </row>
        <row r="794">
          <cell r="G794">
            <v>0</v>
          </cell>
        </row>
        <row r="795">
          <cell r="G795">
            <v>0</v>
          </cell>
        </row>
        <row r="796">
          <cell r="G796">
            <v>0</v>
          </cell>
        </row>
        <row r="797">
          <cell r="G797">
            <v>0</v>
          </cell>
        </row>
        <row r="798">
          <cell r="G798">
            <v>0</v>
          </cell>
        </row>
        <row r="799">
          <cell r="G799">
            <v>0</v>
          </cell>
        </row>
        <row r="800">
          <cell r="G800">
            <v>0</v>
          </cell>
        </row>
        <row r="801">
          <cell r="G801">
            <v>0</v>
          </cell>
        </row>
        <row r="802">
          <cell r="G802">
            <v>0</v>
          </cell>
        </row>
        <row r="803">
          <cell r="G803">
            <v>0</v>
          </cell>
        </row>
        <row r="804">
          <cell r="G804">
            <v>0</v>
          </cell>
        </row>
        <row r="805">
          <cell r="G805">
            <v>0</v>
          </cell>
        </row>
        <row r="806">
          <cell r="G806">
            <v>0</v>
          </cell>
        </row>
        <row r="807">
          <cell r="G807">
            <v>0</v>
          </cell>
        </row>
        <row r="808">
          <cell r="G808">
            <v>0</v>
          </cell>
        </row>
        <row r="809">
          <cell r="G809">
            <v>0</v>
          </cell>
        </row>
        <row r="810">
          <cell r="G810">
            <v>0</v>
          </cell>
        </row>
        <row r="811">
          <cell r="G811">
            <v>0</v>
          </cell>
        </row>
        <row r="812">
          <cell r="G812">
            <v>0</v>
          </cell>
        </row>
        <row r="813">
          <cell r="G813">
            <v>0</v>
          </cell>
        </row>
        <row r="814">
          <cell r="G814">
            <v>0</v>
          </cell>
        </row>
        <row r="815">
          <cell r="G815">
            <v>0</v>
          </cell>
        </row>
        <row r="816">
          <cell r="G816">
            <v>0</v>
          </cell>
        </row>
        <row r="817">
          <cell r="G817">
            <v>0</v>
          </cell>
        </row>
        <row r="818">
          <cell r="G818">
            <v>0</v>
          </cell>
        </row>
        <row r="819">
          <cell r="G819">
            <v>0</v>
          </cell>
        </row>
        <row r="820">
          <cell r="G820">
            <v>0</v>
          </cell>
        </row>
        <row r="821">
          <cell r="G821">
            <v>0</v>
          </cell>
        </row>
        <row r="822">
          <cell r="G822">
            <v>0</v>
          </cell>
        </row>
        <row r="823">
          <cell r="G823">
            <v>0</v>
          </cell>
        </row>
        <row r="824">
          <cell r="G824">
            <v>0</v>
          </cell>
        </row>
        <row r="825">
          <cell r="G825">
            <v>0</v>
          </cell>
        </row>
        <row r="826">
          <cell r="G826">
            <v>0</v>
          </cell>
        </row>
        <row r="827">
          <cell r="G827">
            <v>0</v>
          </cell>
        </row>
        <row r="828">
          <cell r="G828">
            <v>0</v>
          </cell>
        </row>
        <row r="829">
          <cell r="G829">
            <v>0</v>
          </cell>
        </row>
        <row r="830">
          <cell r="G830">
            <v>0</v>
          </cell>
        </row>
        <row r="831">
          <cell r="G831">
            <v>0</v>
          </cell>
        </row>
        <row r="832">
          <cell r="G832">
            <v>0</v>
          </cell>
        </row>
        <row r="833">
          <cell r="G833">
            <v>0</v>
          </cell>
        </row>
        <row r="834">
          <cell r="G834">
            <v>0</v>
          </cell>
        </row>
        <row r="835">
          <cell r="G835">
            <v>0</v>
          </cell>
        </row>
        <row r="836">
          <cell r="G836">
            <v>0</v>
          </cell>
        </row>
        <row r="837">
          <cell r="G837">
            <v>0</v>
          </cell>
        </row>
        <row r="838">
          <cell r="G838">
            <v>0</v>
          </cell>
        </row>
        <row r="839">
          <cell r="G839">
            <v>0</v>
          </cell>
        </row>
        <row r="840">
          <cell r="G840">
            <v>0</v>
          </cell>
        </row>
        <row r="841">
          <cell r="G841">
            <v>0</v>
          </cell>
        </row>
        <row r="842">
          <cell r="G842">
            <v>0</v>
          </cell>
        </row>
        <row r="843">
          <cell r="G843">
            <v>0</v>
          </cell>
        </row>
        <row r="844">
          <cell r="G844">
            <v>0</v>
          </cell>
        </row>
        <row r="845">
          <cell r="G845">
            <v>0</v>
          </cell>
        </row>
        <row r="846">
          <cell r="G846">
            <v>0</v>
          </cell>
        </row>
        <row r="847">
          <cell r="G847">
            <v>0</v>
          </cell>
        </row>
        <row r="848">
          <cell r="G848">
            <v>0</v>
          </cell>
        </row>
        <row r="849">
          <cell r="G849">
            <v>0</v>
          </cell>
        </row>
        <row r="850">
          <cell r="G850">
            <v>0</v>
          </cell>
        </row>
        <row r="851">
          <cell r="G851">
            <v>0</v>
          </cell>
        </row>
        <row r="852">
          <cell r="G852">
            <v>0</v>
          </cell>
        </row>
        <row r="853">
          <cell r="G853">
            <v>0</v>
          </cell>
        </row>
        <row r="854">
          <cell r="G854">
            <v>0</v>
          </cell>
        </row>
        <row r="855">
          <cell r="G855">
            <v>0</v>
          </cell>
        </row>
        <row r="856">
          <cell r="G856">
            <v>0</v>
          </cell>
        </row>
        <row r="857">
          <cell r="G857">
            <v>0</v>
          </cell>
        </row>
        <row r="858">
          <cell r="G858">
            <v>0</v>
          </cell>
        </row>
        <row r="859">
          <cell r="G859">
            <v>0</v>
          </cell>
        </row>
        <row r="860">
          <cell r="G860">
            <v>0</v>
          </cell>
        </row>
        <row r="861">
          <cell r="G861">
            <v>0</v>
          </cell>
        </row>
        <row r="862">
          <cell r="G862">
            <v>0</v>
          </cell>
        </row>
        <row r="863">
          <cell r="G863">
            <v>0</v>
          </cell>
        </row>
        <row r="864">
          <cell r="G864">
            <v>0</v>
          </cell>
        </row>
        <row r="865">
          <cell r="G865">
            <v>0</v>
          </cell>
        </row>
        <row r="866">
          <cell r="G866">
            <v>0</v>
          </cell>
        </row>
        <row r="867">
          <cell r="G867">
            <v>0</v>
          </cell>
        </row>
        <row r="868">
          <cell r="G868">
            <v>0</v>
          </cell>
        </row>
        <row r="869">
          <cell r="G869">
            <v>0</v>
          </cell>
        </row>
        <row r="870">
          <cell r="G870">
            <v>0</v>
          </cell>
        </row>
        <row r="871">
          <cell r="G871">
            <v>0</v>
          </cell>
        </row>
        <row r="872">
          <cell r="G872">
            <v>0</v>
          </cell>
        </row>
        <row r="873">
          <cell r="G873">
            <v>0</v>
          </cell>
        </row>
        <row r="874">
          <cell r="G874">
            <v>0</v>
          </cell>
        </row>
        <row r="875">
          <cell r="G875">
            <v>0</v>
          </cell>
        </row>
        <row r="876">
          <cell r="G876">
            <v>0</v>
          </cell>
        </row>
        <row r="877">
          <cell r="G877">
            <v>0</v>
          </cell>
        </row>
        <row r="878">
          <cell r="G878">
            <v>0</v>
          </cell>
        </row>
        <row r="879">
          <cell r="G879">
            <v>0</v>
          </cell>
        </row>
        <row r="880">
          <cell r="G880">
            <v>0</v>
          </cell>
        </row>
        <row r="881">
          <cell r="G881">
            <v>0</v>
          </cell>
        </row>
        <row r="882">
          <cell r="G882">
            <v>0</v>
          </cell>
        </row>
        <row r="883">
          <cell r="G883">
            <v>0</v>
          </cell>
        </row>
        <row r="884">
          <cell r="G884">
            <v>0</v>
          </cell>
        </row>
        <row r="885">
          <cell r="G885">
            <v>0</v>
          </cell>
        </row>
        <row r="886">
          <cell r="G886">
            <v>0</v>
          </cell>
        </row>
        <row r="887">
          <cell r="G887">
            <v>0</v>
          </cell>
        </row>
        <row r="888">
          <cell r="G888">
            <v>0</v>
          </cell>
        </row>
        <row r="889">
          <cell r="G889">
            <v>0</v>
          </cell>
        </row>
        <row r="890">
          <cell r="G890">
            <v>0</v>
          </cell>
        </row>
        <row r="891">
          <cell r="G891">
            <v>0</v>
          </cell>
        </row>
        <row r="892">
          <cell r="G892">
            <v>0</v>
          </cell>
        </row>
        <row r="893">
          <cell r="G893">
            <v>0</v>
          </cell>
        </row>
        <row r="894">
          <cell r="G894">
            <v>0</v>
          </cell>
        </row>
        <row r="895">
          <cell r="G895">
            <v>0</v>
          </cell>
        </row>
        <row r="896">
          <cell r="G896">
            <v>0</v>
          </cell>
        </row>
        <row r="897">
          <cell r="G897">
            <v>0</v>
          </cell>
        </row>
        <row r="898">
          <cell r="G898">
            <v>0</v>
          </cell>
        </row>
        <row r="899">
          <cell r="G899">
            <v>0</v>
          </cell>
        </row>
        <row r="900">
          <cell r="G900">
            <v>0</v>
          </cell>
        </row>
        <row r="901">
          <cell r="G901">
            <v>0</v>
          </cell>
        </row>
        <row r="902">
          <cell r="G902">
            <v>0</v>
          </cell>
        </row>
        <row r="903">
          <cell r="G903">
            <v>0</v>
          </cell>
        </row>
        <row r="904">
          <cell r="G904">
            <v>0</v>
          </cell>
        </row>
        <row r="905">
          <cell r="G905">
            <v>0</v>
          </cell>
        </row>
        <row r="906">
          <cell r="G906">
            <v>0</v>
          </cell>
        </row>
        <row r="907">
          <cell r="G907">
            <v>0</v>
          </cell>
        </row>
        <row r="908">
          <cell r="G908">
            <v>0</v>
          </cell>
        </row>
        <row r="909">
          <cell r="G909">
            <v>0</v>
          </cell>
        </row>
        <row r="910">
          <cell r="G910">
            <v>0</v>
          </cell>
        </row>
        <row r="911">
          <cell r="G911">
            <v>0</v>
          </cell>
        </row>
        <row r="912">
          <cell r="G912">
            <v>0</v>
          </cell>
        </row>
        <row r="913">
          <cell r="G913">
            <v>0</v>
          </cell>
        </row>
        <row r="914">
          <cell r="G914">
            <v>0</v>
          </cell>
        </row>
        <row r="915">
          <cell r="G915">
            <v>0</v>
          </cell>
        </row>
        <row r="916">
          <cell r="G916">
            <v>0</v>
          </cell>
        </row>
        <row r="917">
          <cell r="G917">
            <v>0</v>
          </cell>
        </row>
        <row r="918">
          <cell r="G918">
            <v>0</v>
          </cell>
        </row>
        <row r="919">
          <cell r="G919">
            <v>0</v>
          </cell>
        </row>
        <row r="920">
          <cell r="G920">
            <v>0</v>
          </cell>
        </row>
        <row r="921">
          <cell r="G921">
            <v>0</v>
          </cell>
        </row>
        <row r="922">
          <cell r="G922">
            <v>0</v>
          </cell>
        </row>
        <row r="923">
          <cell r="G923">
            <v>0</v>
          </cell>
        </row>
        <row r="924">
          <cell r="G924">
            <v>0</v>
          </cell>
        </row>
        <row r="925">
          <cell r="G925">
            <v>0</v>
          </cell>
        </row>
        <row r="926">
          <cell r="G926">
            <v>0</v>
          </cell>
        </row>
        <row r="927">
          <cell r="G927">
            <v>0</v>
          </cell>
        </row>
        <row r="928">
          <cell r="G928">
            <v>0</v>
          </cell>
        </row>
        <row r="929">
          <cell r="G929">
            <v>0</v>
          </cell>
        </row>
        <row r="930">
          <cell r="G930">
            <v>0</v>
          </cell>
        </row>
        <row r="931">
          <cell r="G931">
            <v>0</v>
          </cell>
        </row>
        <row r="932">
          <cell r="G932">
            <v>0</v>
          </cell>
        </row>
        <row r="933">
          <cell r="G933">
            <v>0</v>
          </cell>
        </row>
        <row r="934">
          <cell r="G934">
            <v>0</v>
          </cell>
        </row>
        <row r="935">
          <cell r="G935">
            <v>0</v>
          </cell>
        </row>
        <row r="936">
          <cell r="G936">
            <v>0</v>
          </cell>
        </row>
        <row r="937">
          <cell r="G937">
            <v>0</v>
          </cell>
        </row>
        <row r="938">
          <cell r="G938">
            <v>0</v>
          </cell>
        </row>
        <row r="939">
          <cell r="G939">
            <v>0</v>
          </cell>
        </row>
        <row r="940">
          <cell r="G940">
            <v>0</v>
          </cell>
        </row>
        <row r="941">
          <cell r="G941">
            <v>0</v>
          </cell>
        </row>
        <row r="942">
          <cell r="G942">
            <v>0</v>
          </cell>
        </row>
        <row r="943">
          <cell r="G943">
            <v>0</v>
          </cell>
        </row>
        <row r="944">
          <cell r="G944">
            <v>0</v>
          </cell>
        </row>
        <row r="945">
          <cell r="G945">
            <v>0</v>
          </cell>
        </row>
      </sheetData>
      <sheetData sheetId="2">
        <row r="6">
          <cell r="G6">
            <v>0</v>
          </cell>
        </row>
        <row r="7">
          <cell r="G7">
            <v>0</v>
          </cell>
        </row>
        <row r="8">
          <cell r="G8">
            <v>0</v>
          </cell>
        </row>
        <row r="9">
          <cell r="G9">
            <v>0</v>
          </cell>
        </row>
        <row r="10">
          <cell r="G10">
            <v>0</v>
          </cell>
        </row>
        <row r="11">
          <cell r="G11">
            <v>0</v>
          </cell>
        </row>
        <row r="12">
          <cell r="G12">
            <v>0</v>
          </cell>
        </row>
        <row r="13">
          <cell r="G13">
            <v>0</v>
          </cell>
        </row>
        <row r="14">
          <cell r="G14">
            <v>0</v>
          </cell>
        </row>
        <row r="15">
          <cell r="G15">
            <v>0</v>
          </cell>
        </row>
        <row r="16">
          <cell r="G16">
            <v>0</v>
          </cell>
        </row>
        <row r="17">
          <cell r="G17">
            <v>0</v>
          </cell>
        </row>
        <row r="18">
          <cell r="G18">
            <v>0</v>
          </cell>
        </row>
        <row r="19">
          <cell r="G19">
            <v>0</v>
          </cell>
        </row>
        <row r="20">
          <cell r="G20">
            <v>0</v>
          </cell>
        </row>
        <row r="21">
          <cell r="G21">
            <v>0</v>
          </cell>
        </row>
        <row r="22">
          <cell r="G22">
            <v>0</v>
          </cell>
        </row>
        <row r="23">
          <cell r="G23">
            <v>0</v>
          </cell>
        </row>
        <row r="24">
          <cell r="G24">
            <v>0</v>
          </cell>
        </row>
        <row r="25">
          <cell r="G25">
            <v>0</v>
          </cell>
        </row>
        <row r="26">
          <cell r="G26">
            <v>0</v>
          </cell>
        </row>
        <row r="27">
          <cell r="G27">
            <v>0</v>
          </cell>
        </row>
        <row r="28">
          <cell r="G28">
            <v>0</v>
          </cell>
        </row>
        <row r="29">
          <cell r="G29">
            <v>0</v>
          </cell>
        </row>
        <row r="30">
          <cell r="G30">
            <v>0</v>
          </cell>
        </row>
        <row r="31">
          <cell r="G31">
            <v>0</v>
          </cell>
        </row>
        <row r="32">
          <cell r="G32">
            <v>0</v>
          </cell>
        </row>
        <row r="33">
          <cell r="G33">
            <v>0</v>
          </cell>
        </row>
        <row r="34">
          <cell r="G34">
            <v>0</v>
          </cell>
        </row>
        <row r="35">
          <cell r="G35">
            <v>0</v>
          </cell>
        </row>
        <row r="36">
          <cell r="G36">
            <v>0</v>
          </cell>
        </row>
        <row r="37">
          <cell r="G37">
            <v>0</v>
          </cell>
        </row>
        <row r="38">
          <cell r="G38">
            <v>0</v>
          </cell>
        </row>
        <row r="39">
          <cell r="G39">
            <v>0</v>
          </cell>
        </row>
        <row r="40">
          <cell r="G40">
            <v>0</v>
          </cell>
        </row>
        <row r="41">
          <cell r="G41">
            <v>0</v>
          </cell>
        </row>
        <row r="42">
          <cell r="G42">
            <v>0</v>
          </cell>
        </row>
        <row r="43">
          <cell r="G43">
            <v>0</v>
          </cell>
        </row>
        <row r="44">
          <cell r="G44">
            <v>0</v>
          </cell>
        </row>
        <row r="45">
          <cell r="G45">
            <v>0</v>
          </cell>
        </row>
        <row r="46">
          <cell r="G46">
            <v>0</v>
          </cell>
        </row>
        <row r="47">
          <cell r="G47">
            <v>0</v>
          </cell>
        </row>
        <row r="48">
          <cell r="G48">
            <v>0</v>
          </cell>
        </row>
        <row r="49">
          <cell r="G49">
            <v>0</v>
          </cell>
        </row>
        <row r="50">
          <cell r="G50">
            <v>0</v>
          </cell>
        </row>
        <row r="51">
          <cell r="G51">
            <v>0</v>
          </cell>
        </row>
        <row r="52">
          <cell r="G52">
            <v>0</v>
          </cell>
        </row>
        <row r="53">
          <cell r="G53">
            <v>0</v>
          </cell>
        </row>
        <row r="54">
          <cell r="G54">
            <v>0</v>
          </cell>
        </row>
        <row r="55">
          <cell r="G55">
            <v>0</v>
          </cell>
        </row>
        <row r="56">
          <cell r="G56">
            <v>0</v>
          </cell>
        </row>
        <row r="57">
          <cell r="G57">
            <v>0</v>
          </cell>
        </row>
        <row r="58">
          <cell r="G58">
            <v>0</v>
          </cell>
        </row>
        <row r="59">
          <cell r="G59">
            <v>0</v>
          </cell>
        </row>
        <row r="60">
          <cell r="G60">
            <v>0</v>
          </cell>
        </row>
        <row r="61">
          <cell r="G61">
            <v>0</v>
          </cell>
        </row>
        <row r="62">
          <cell r="G62">
            <v>0</v>
          </cell>
        </row>
        <row r="63">
          <cell r="G63">
            <v>0</v>
          </cell>
        </row>
        <row r="64">
          <cell r="G64">
            <v>0</v>
          </cell>
        </row>
        <row r="65">
          <cell r="G65">
            <v>0</v>
          </cell>
        </row>
        <row r="66">
          <cell r="G66">
            <v>0</v>
          </cell>
        </row>
        <row r="67">
          <cell r="G67">
            <v>0</v>
          </cell>
        </row>
        <row r="68">
          <cell r="G68">
            <v>0</v>
          </cell>
        </row>
        <row r="69">
          <cell r="G69">
            <v>0</v>
          </cell>
        </row>
        <row r="70">
          <cell r="G70">
            <v>0</v>
          </cell>
        </row>
        <row r="71">
          <cell r="G71">
            <v>0</v>
          </cell>
        </row>
        <row r="72">
          <cell r="G72">
            <v>0</v>
          </cell>
        </row>
        <row r="73">
          <cell r="G73">
            <v>0</v>
          </cell>
        </row>
        <row r="74">
          <cell r="G74">
            <v>0</v>
          </cell>
        </row>
        <row r="75">
          <cell r="G75">
            <v>0</v>
          </cell>
        </row>
        <row r="76">
          <cell r="G76">
            <v>0</v>
          </cell>
        </row>
        <row r="77">
          <cell r="G77">
            <v>0</v>
          </cell>
        </row>
        <row r="78">
          <cell r="G78">
            <v>0</v>
          </cell>
        </row>
        <row r="79">
          <cell r="G79">
            <v>0</v>
          </cell>
        </row>
        <row r="80">
          <cell r="G80">
            <v>0</v>
          </cell>
        </row>
        <row r="81">
          <cell r="G81">
            <v>0</v>
          </cell>
        </row>
        <row r="82">
          <cell r="G82">
            <v>0</v>
          </cell>
        </row>
        <row r="83">
          <cell r="G83">
            <v>0</v>
          </cell>
        </row>
        <row r="84">
          <cell r="G84">
            <v>0</v>
          </cell>
        </row>
        <row r="85">
          <cell r="G85">
            <v>0</v>
          </cell>
        </row>
        <row r="86">
          <cell r="G86">
            <v>0</v>
          </cell>
        </row>
        <row r="87">
          <cell r="G87">
            <v>0</v>
          </cell>
        </row>
        <row r="88">
          <cell r="G88">
            <v>0</v>
          </cell>
        </row>
        <row r="89">
          <cell r="G89">
            <v>0</v>
          </cell>
        </row>
        <row r="90">
          <cell r="G90">
            <v>0</v>
          </cell>
        </row>
        <row r="91">
          <cell r="G91">
            <v>0</v>
          </cell>
        </row>
        <row r="92">
          <cell r="G92">
            <v>0</v>
          </cell>
        </row>
        <row r="93">
          <cell r="G93">
            <v>0</v>
          </cell>
        </row>
        <row r="94">
          <cell r="G94">
            <v>0</v>
          </cell>
        </row>
        <row r="95">
          <cell r="G95">
            <v>0</v>
          </cell>
        </row>
        <row r="96">
          <cell r="G96">
            <v>0</v>
          </cell>
        </row>
        <row r="97">
          <cell r="G97">
            <v>0</v>
          </cell>
        </row>
        <row r="98">
          <cell r="G98">
            <v>0</v>
          </cell>
        </row>
        <row r="99">
          <cell r="G99">
            <v>0</v>
          </cell>
        </row>
        <row r="100">
          <cell r="G100">
            <v>0</v>
          </cell>
        </row>
        <row r="101">
          <cell r="G101">
            <v>0</v>
          </cell>
        </row>
        <row r="102">
          <cell r="G102">
            <v>0</v>
          </cell>
        </row>
        <row r="103">
          <cell r="G103">
            <v>0</v>
          </cell>
        </row>
        <row r="104">
          <cell r="G104">
            <v>0</v>
          </cell>
        </row>
        <row r="105">
          <cell r="G105">
            <v>0</v>
          </cell>
        </row>
        <row r="106">
          <cell r="G106">
            <v>0</v>
          </cell>
        </row>
        <row r="107">
          <cell r="G107">
            <v>0</v>
          </cell>
        </row>
        <row r="108">
          <cell r="G108">
            <v>0</v>
          </cell>
        </row>
        <row r="109">
          <cell r="G109">
            <v>0</v>
          </cell>
        </row>
        <row r="110">
          <cell r="G110">
            <v>0</v>
          </cell>
        </row>
        <row r="111">
          <cell r="G111">
            <v>0</v>
          </cell>
        </row>
        <row r="112">
          <cell r="G112">
            <v>0</v>
          </cell>
        </row>
        <row r="113">
          <cell r="G113">
            <v>0</v>
          </cell>
        </row>
        <row r="114">
          <cell r="G114">
            <v>0</v>
          </cell>
        </row>
        <row r="115">
          <cell r="G115">
            <v>0</v>
          </cell>
        </row>
        <row r="116">
          <cell r="G116">
            <v>0</v>
          </cell>
        </row>
        <row r="117">
          <cell r="G117">
            <v>0</v>
          </cell>
        </row>
        <row r="118">
          <cell r="G118">
            <v>0</v>
          </cell>
        </row>
        <row r="119">
          <cell r="G119">
            <v>0</v>
          </cell>
        </row>
        <row r="120">
          <cell r="G120">
            <v>0</v>
          </cell>
        </row>
        <row r="121">
          <cell r="G121">
            <v>0</v>
          </cell>
        </row>
        <row r="122">
          <cell r="G122">
            <v>0</v>
          </cell>
        </row>
        <row r="123">
          <cell r="G123">
            <v>0</v>
          </cell>
        </row>
        <row r="124">
          <cell r="G124">
            <v>0</v>
          </cell>
        </row>
        <row r="125">
          <cell r="G125">
            <v>0</v>
          </cell>
        </row>
        <row r="126">
          <cell r="G126">
            <v>0</v>
          </cell>
        </row>
        <row r="127">
          <cell r="G127">
            <v>0</v>
          </cell>
        </row>
        <row r="128">
          <cell r="G128">
            <v>0</v>
          </cell>
        </row>
        <row r="129">
          <cell r="G129">
            <v>0</v>
          </cell>
        </row>
        <row r="130">
          <cell r="G130">
            <v>0</v>
          </cell>
        </row>
        <row r="131">
          <cell r="G131">
            <v>0</v>
          </cell>
        </row>
        <row r="132">
          <cell r="G132">
            <v>0</v>
          </cell>
        </row>
        <row r="133">
          <cell r="G133">
            <v>0</v>
          </cell>
        </row>
        <row r="134">
          <cell r="G134">
            <v>0</v>
          </cell>
        </row>
        <row r="135">
          <cell r="G135">
            <v>0</v>
          </cell>
        </row>
        <row r="136">
          <cell r="G136">
            <v>0</v>
          </cell>
        </row>
        <row r="137">
          <cell r="G137">
            <v>0</v>
          </cell>
        </row>
        <row r="138">
          <cell r="G138">
            <v>0</v>
          </cell>
        </row>
        <row r="139">
          <cell r="G139">
            <v>0</v>
          </cell>
        </row>
        <row r="140">
          <cell r="G140">
            <v>0</v>
          </cell>
        </row>
        <row r="141">
          <cell r="G141">
            <v>0</v>
          </cell>
        </row>
        <row r="142">
          <cell r="G142">
            <v>0</v>
          </cell>
        </row>
        <row r="143">
          <cell r="G143">
            <v>0</v>
          </cell>
        </row>
        <row r="144">
          <cell r="G144">
            <v>0</v>
          </cell>
        </row>
        <row r="145">
          <cell r="G145">
            <v>0</v>
          </cell>
        </row>
        <row r="146">
          <cell r="G146">
            <v>0</v>
          </cell>
        </row>
        <row r="147">
          <cell r="G147">
            <v>0</v>
          </cell>
        </row>
        <row r="148">
          <cell r="G148">
            <v>0</v>
          </cell>
        </row>
        <row r="149">
          <cell r="G149">
            <v>0</v>
          </cell>
        </row>
        <row r="150">
          <cell r="G150">
            <v>0</v>
          </cell>
        </row>
        <row r="151">
          <cell r="G151">
            <v>0</v>
          </cell>
        </row>
        <row r="152">
          <cell r="G152">
            <v>0</v>
          </cell>
        </row>
        <row r="153">
          <cell r="G153">
            <v>0</v>
          </cell>
        </row>
        <row r="154">
          <cell r="G154">
            <v>0</v>
          </cell>
        </row>
        <row r="155">
          <cell r="G155">
            <v>0</v>
          </cell>
        </row>
        <row r="156">
          <cell r="G156">
            <v>0</v>
          </cell>
        </row>
        <row r="157">
          <cell r="G157">
            <v>0</v>
          </cell>
        </row>
        <row r="158">
          <cell r="G158">
            <v>0</v>
          </cell>
        </row>
        <row r="159">
          <cell r="G159">
            <v>0</v>
          </cell>
        </row>
        <row r="160">
          <cell r="G160">
            <v>0</v>
          </cell>
        </row>
        <row r="161">
          <cell r="G161">
            <v>0</v>
          </cell>
        </row>
        <row r="162">
          <cell r="G162">
            <v>0</v>
          </cell>
        </row>
        <row r="163">
          <cell r="G163">
            <v>0</v>
          </cell>
        </row>
        <row r="164">
          <cell r="G164">
            <v>0</v>
          </cell>
        </row>
        <row r="165">
          <cell r="G165">
            <v>0</v>
          </cell>
        </row>
        <row r="166">
          <cell r="G166">
            <v>0</v>
          </cell>
        </row>
        <row r="167">
          <cell r="G167">
            <v>0</v>
          </cell>
        </row>
        <row r="168">
          <cell r="G168">
            <v>0</v>
          </cell>
        </row>
        <row r="169">
          <cell r="G169">
            <v>0</v>
          </cell>
        </row>
        <row r="170">
          <cell r="G170">
            <v>0</v>
          </cell>
        </row>
        <row r="171">
          <cell r="G171">
            <v>0</v>
          </cell>
        </row>
        <row r="172">
          <cell r="G172">
            <v>0</v>
          </cell>
        </row>
        <row r="173">
          <cell r="G173">
            <v>0</v>
          </cell>
        </row>
        <row r="174">
          <cell r="G174">
            <v>0</v>
          </cell>
        </row>
        <row r="175">
          <cell r="G175">
            <v>0</v>
          </cell>
        </row>
        <row r="176">
          <cell r="G176">
            <v>0</v>
          </cell>
        </row>
        <row r="177">
          <cell r="G177">
            <v>0</v>
          </cell>
        </row>
        <row r="178">
          <cell r="G178">
            <v>0</v>
          </cell>
        </row>
        <row r="179">
          <cell r="G179">
            <v>0</v>
          </cell>
        </row>
        <row r="180">
          <cell r="G180">
            <v>0</v>
          </cell>
        </row>
        <row r="181">
          <cell r="G181">
            <v>0</v>
          </cell>
        </row>
        <row r="182">
          <cell r="G182">
            <v>0</v>
          </cell>
        </row>
        <row r="183">
          <cell r="G183">
            <v>0</v>
          </cell>
        </row>
        <row r="184">
          <cell r="G184">
            <v>0</v>
          </cell>
        </row>
        <row r="185">
          <cell r="G185">
            <v>0</v>
          </cell>
        </row>
        <row r="186">
          <cell r="G186">
            <v>0</v>
          </cell>
        </row>
        <row r="187">
          <cell r="G187">
            <v>0</v>
          </cell>
        </row>
        <row r="188">
          <cell r="G188">
            <v>0</v>
          </cell>
        </row>
        <row r="189">
          <cell r="G189">
            <v>0</v>
          </cell>
        </row>
        <row r="190">
          <cell r="G190">
            <v>0</v>
          </cell>
        </row>
        <row r="191">
          <cell r="G191">
            <v>0</v>
          </cell>
        </row>
        <row r="192">
          <cell r="G192">
            <v>0</v>
          </cell>
        </row>
        <row r="193">
          <cell r="G193">
            <v>0</v>
          </cell>
        </row>
        <row r="194">
          <cell r="G194">
            <v>0</v>
          </cell>
        </row>
        <row r="195">
          <cell r="G195">
            <v>0</v>
          </cell>
        </row>
        <row r="196">
          <cell r="G196">
            <v>0</v>
          </cell>
        </row>
        <row r="197">
          <cell r="G197">
            <v>0</v>
          </cell>
        </row>
        <row r="198">
          <cell r="G198">
            <v>0</v>
          </cell>
        </row>
        <row r="199">
          <cell r="G199">
            <v>0</v>
          </cell>
        </row>
        <row r="200">
          <cell r="G200">
            <v>0</v>
          </cell>
        </row>
        <row r="201">
          <cell r="G201">
            <v>0</v>
          </cell>
        </row>
        <row r="202">
          <cell r="G202">
            <v>0</v>
          </cell>
        </row>
        <row r="203">
          <cell r="G203">
            <v>0</v>
          </cell>
        </row>
        <row r="204">
          <cell r="G204">
            <v>0</v>
          </cell>
        </row>
        <row r="205">
          <cell r="G205">
            <v>0</v>
          </cell>
        </row>
        <row r="206">
          <cell r="G206">
            <v>0</v>
          </cell>
        </row>
        <row r="207">
          <cell r="G207">
            <v>0</v>
          </cell>
        </row>
        <row r="208">
          <cell r="G208">
            <v>0</v>
          </cell>
        </row>
        <row r="209">
          <cell r="G209">
            <v>0</v>
          </cell>
        </row>
        <row r="210">
          <cell r="G210">
            <v>0</v>
          </cell>
        </row>
        <row r="211">
          <cell r="G211">
            <v>0</v>
          </cell>
        </row>
        <row r="212">
          <cell r="G212">
            <v>0</v>
          </cell>
        </row>
        <row r="213">
          <cell r="G213">
            <v>0</v>
          </cell>
        </row>
        <row r="214">
          <cell r="G214">
            <v>0</v>
          </cell>
        </row>
        <row r="215">
          <cell r="G215">
            <v>0</v>
          </cell>
        </row>
        <row r="216">
          <cell r="G216">
            <v>0</v>
          </cell>
        </row>
        <row r="217">
          <cell r="G217">
            <v>0</v>
          </cell>
        </row>
        <row r="218">
          <cell r="G218">
            <v>0</v>
          </cell>
        </row>
        <row r="219">
          <cell r="G219">
            <v>0</v>
          </cell>
        </row>
        <row r="220">
          <cell r="G220">
            <v>0</v>
          </cell>
        </row>
        <row r="221">
          <cell r="G221">
            <v>0</v>
          </cell>
        </row>
        <row r="222">
          <cell r="G222">
            <v>0</v>
          </cell>
        </row>
        <row r="223">
          <cell r="G223">
            <v>0</v>
          </cell>
        </row>
        <row r="224">
          <cell r="G224">
            <v>0</v>
          </cell>
        </row>
        <row r="225">
          <cell r="G225">
            <v>0</v>
          </cell>
        </row>
        <row r="226">
          <cell r="G226">
            <v>0</v>
          </cell>
        </row>
        <row r="227">
          <cell r="G227">
            <v>0</v>
          </cell>
        </row>
        <row r="228">
          <cell r="G228">
            <v>0</v>
          </cell>
        </row>
        <row r="229">
          <cell r="G229">
            <v>0</v>
          </cell>
        </row>
        <row r="230">
          <cell r="G230">
            <v>0</v>
          </cell>
        </row>
        <row r="231">
          <cell r="G231">
            <v>0</v>
          </cell>
        </row>
        <row r="232">
          <cell r="G232">
            <v>0</v>
          </cell>
        </row>
        <row r="233">
          <cell r="G233">
            <v>0</v>
          </cell>
        </row>
        <row r="234">
          <cell r="G234">
            <v>0</v>
          </cell>
        </row>
        <row r="235">
          <cell r="G235">
            <v>0</v>
          </cell>
        </row>
        <row r="236">
          <cell r="G236">
            <v>0</v>
          </cell>
        </row>
        <row r="237">
          <cell r="G237">
            <v>0</v>
          </cell>
        </row>
        <row r="238">
          <cell r="G238">
            <v>0</v>
          </cell>
        </row>
        <row r="239">
          <cell r="G239">
            <v>0</v>
          </cell>
        </row>
        <row r="240">
          <cell r="G240">
            <v>0</v>
          </cell>
        </row>
        <row r="241">
          <cell r="G241">
            <v>0</v>
          </cell>
        </row>
        <row r="242">
          <cell r="G242">
            <v>0</v>
          </cell>
        </row>
        <row r="243">
          <cell r="G243">
            <v>0</v>
          </cell>
        </row>
        <row r="244">
          <cell r="G244">
            <v>0</v>
          </cell>
        </row>
        <row r="245">
          <cell r="G245">
            <v>0</v>
          </cell>
        </row>
        <row r="246">
          <cell r="G246">
            <v>0</v>
          </cell>
        </row>
        <row r="247">
          <cell r="G247">
            <v>0</v>
          </cell>
        </row>
        <row r="248">
          <cell r="G248">
            <v>0</v>
          </cell>
        </row>
        <row r="249">
          <cell r="G249">
            <v>0</v>
          </cell>
        </row>
        <row r="250">
          <cell r="G250">
            <v>0</v>
          </cell>
        </row>
        <row r="251">
          <cell r="G251">
            <v>0</v>
          </cell>
        </row>
        <row r="252">
          <cell r="G252">
            <v>0</v>
          </cell>
        </row>
        <row r="253">
          <cell r="G253">
            <v>0</v>
          </cell>
        </row>
        <row r="254">
          <cell r="G254">
            <v>0</v>
          </cell>
        </row>
        <row r="255">
          <cell r="G255">
            <v>0</v>
          </cell>
        </row>
        <row r="256">
          <cell r="G256">
            <v>0</v>
          </cell>
        </row>
        <row r="257">
          <cell r="G257">
            <v>0</v>
          </cell>
        </row>
        <row r="258">
          <cell r="G258">
            <v>0</v>
          </cell>
        </row>
        <row r="259">
          <cell r="G259">
            <v>0</v>
          </cell>
        </row>
        <row r="260">
          <cell r="G260">
            <v>0</v>
          </cell>
        </row>
        <row r="261">
          <cell r="G261">
            <v>0</v>
          </cell>
        </row>
        <row r="262">
          <cell r="G262">
            <v>0</v>
          </cell>
        </row>
        <row r="263">
          <cell r="G263">
            <v>0</v>
          </cell>
        </row>
        <row r="264">
          <cell r="G264">
            <v>0</v>
          </cell>
        </row>
        <row r="265">
          <cell r="G265">
            <v>0</v>
          </cell>
        </row>
        <row r="266">
          <cell r="G266">
            <v>0</v>
          </cell>
        </row>
        <row r="267">
          <cell r="G267">
            <v>0</v>
          </cell>
        </row>
        <row r="268">
          <cell r="G268">
            <v>0</v>
          </cell>
        </row>
        <row r="269">
          <cell r="G269">
            <v>0</v>
          </cell>
        </row>
        <row r="270">
          <cell r="G270">
            <v>0</v>
          </cell>
        </row>
        <row r="271">
          <cell r="G271">
            <v>0</v>
          </cell>
        </row>
        <row r="272">
          <cell r="G272">
            <v>0</v>
          </cell>
        </row>
        <row r="273">
          <cell r="G273">
            <v>0</v>
          </cell>
        </row>
        <row r="274">
          <cell r="G274">
            <v>0</v>
          </cell>
        </row>
        <row r="275">
          <cell r="G275">
            <v>0</v>
          </cell>
        </row>
        <row r="276">
          <cell r="G276">
            <v>0</v>
          </cell>
        </row>
        <row r="277">
          <cell r="G277">
            <v>0</v>
          </cell>
        </row>
        <row r="278">
          <cell r="G278">
            <v>0</v>
          </cell>
        </row>
        <row r="279">
          <cell r="G279">
            <v>0</v>
          </cell>
        </row>
        <row r="280">
          <cell r="G280">
            <v>0</v>
          </cell>
        </row>
        <row r="281">
          <cell r="G281">
            <v>0</v>
          </cell>
        </row>
        <row r="282">
          <cell r="G282">
            <v>0</v>
          </cell>
        </row>
        <row r="283">
          <cell r="G283">
            <v>0</v>
          </cell>
        </row>
        <row r="284">
          <cell r="G284">
            <v>0</v>
          </cell>
        </row>
        <row r="285">
          <cell r="G285">
            <v>0</v>
          </cell>
        </row>
        <row r="286">
          <cell r="G286">
            <v>0</v>
          </cell>
        </row>
        <row r="287">
          <cell r="G287">
            <v>0</v>
          </cell>
        </row>
        <row r="288">
          <cell r="G288">
            <v>0</v>
          </cell>
        </row>
        <row r="289">
          <cell r="G289">
            <v>0</v>
          </cell>
        </row>
        <row r="290">
          <cell r="G290">
            <v>0</v>
          </cell>
        </row>
        <row r="291">
          <cell r="G291">
            <v>0</v>
          </cell>
        </row>
        <row r="292">
          <cell r="G292">
            <v>0</v>
          </cell>
        </row>
        <row r="293">
          <cell r="G293">
            <v>0</v>
          </cell>
        </row>
        <row r="294">
          <cell r="G294">
            <v>0</v>
          </cell>
        </row>
        <row r="295">
          <cell r="G295">
            <v>0</v>
          </cell>
        </row>
        <row r="296">
          <cell r="G296">
            <v>0</v>
          </cell>
        </row>
        <row r="297">
          <cell r="G297">
            <v>0</v>
          </cell>
        </row>
        <row r="298">
          <cell r="G298">
            <v>0</v>
          </cell>
        </row>
        <row r="299">
          <cell r="G299">
            <v>0</v>
          </cell>
        </row>
        <row r="300">
          <cell r="G300">
            <v>0</v>
          </cell>
        </row>
        <row r="301">
          <cell r="G301">
            <v>0</v>
          </cell>
        </row>
        <row r="302">
          <cell r="G302">
            <v>0</v>
          </cell>
        </row>
        <row r="303">
          <cell r="G303">
            <v>0</v>
          </cell>
        </row>
        <row r="304">
          <cell r="G304">
            <v>0</v>
          </cell>
        </row>
        <row r="305">
          <cell r="G305">
            <v>0</v>
          </cell>
        </row>
        <row r="306">
          <cell r="G306">
            <v>0</v>
          </cell>
        </row>
        <row r="307">
          <cell r="G307">
            <v>0</v>
          </cell>
        </row>
        <row r="308">
          <cell r="G308">
            <v>0</v>
          </cell>
        </row>
        <row r="309">
          <cell r="G309">
            <v>0</v>
          </cell>
        </row>
        <row r="310">
          <cell r="G310">
            <v>0</v>
          </cell>
        </row>
        <row r="311">
          <cell r="G311">
            <v>0</v>
          </cell>
        </row>
        <row r="312">
          <cell r="G312">
            <v>0</v>
          </cell>
        </row>
        <row r="313">
          <cell r="G313">
            <v>0</v>
          </cell>
        </row>
        <row r="314">
          <cell r="G314">
            <v>0</v>
          </cell>
        </row>
        <row r="315">
          <cell r="G315">
            <v>0</v>
          </cell>
        </row>
        <row r="316">
          <cell r="G316">
            <v>0</v>
          </cell>
        </row>
        <row r="317">
          <cell r="G317">
            <v>0</v>
          </cell>
        </row>
        <row r="318">
          <cell r="G318">
            <v>0</v>
          </cell>
        </row>
        <row r="319">
          <cell r="G319">
            <v>0</v>
          </cell>
        </row>
        <row r="320">
          <cell r="G320">
            <v>0</v>
          </cell>
        </row>
        <row r="321">
          <cell r="G321">
            <v>0</v>
          </cell>
        </row>
        <row r="322">
          <cell r="G322">
            <v>0</v>
          </cell>
        </row>
        <row r="323">
          <cell r="G323">
            <v>0</v>
          </cell>
        </row>
        <row r="324">
          <cell r="G324">
            <v>0</v>
          </cell>
        </row>
        <row r="325">
          <cell r="G325">
            <v>0</v>
          </cell>
        </row>
        <row r="326">
          <cell r="G326">
            <v>0</v>
          </cell>
        </row>
        <row r="327">
          <cell r="G327">
            <v>0</v>
          </cell>
        </row>
        <row r="328">
          <cell r="G328">
            <v>0</v>
          </cell>
        </row>
        <row r="329">
          <cell r="G329">
            <v>0</v>
          </cell>
        </row>
        <row r="330">
          <cell r="G330">
            <v>0</v>
          </cell>
        </row>
        <row r="331">
          <cell r="G331">
            <v>0</v>
          </cell>
        </row>
        <row r="332">
          <cell r="G332">
            <v>0</v>
          </cell>
        </row>
        <row r="333">
          <cell r="G333">
            <v>0</v>
          </cell>
        </row>
        <row r="334">
          <cell r="G334">
            <v>0</v>
          </cell>
        </row>
        <row r="335">
          <cell r="G335">
            <v>0</v>
          </cell>
        </row>
        <row r="336">
          <cell r="G336">
            <v>0</v>
          </cell>
        </row>
        <row r="337">
          <cell r="G337">
            <v>0</v>
          </cell>
        </row>
        <row r="338">
          <cell r="G338">
            <v>0</v>
          </cell>
        </row>
        <row r="339">
          <cell r="G339">
            <v>0</v>
          </cell>
        </row>
        <row r="340">
          <cell r="G340">
            <v>0</v>
          </cell>
        </row>
        <row r="341">
          <cell r="G341">
            <v>0</v>
          </cell>
        </row>
        <row r="342">
          <cell r="G342">
            <v>0</v>
          </cell>
        </row>
        <row r="343">
          <cell r="G343">
            <v>0</v>
          </cell>
        </row>
        <row r="344">
          <cell r="G344">
            <v>0</v>
          </cell>
        </row>
        <row r="345">
          <cell r="G345">
            <v>0</v>
          </cell>
        </row>
        <row r="346">
          <cell r="G346">
            <v>0</v>
          </cell>
        </row>
        <row r="347">
          <cell r="G347">
            <v>0</v>
          </cell>
        </row>
        <row r="348">
          <cell r="G348">
            <v>0</v>
          </cell>
        </row>
        <row r="349">
          <cell r="G349">
            <v>0</v>
          </cell>
        </row>
        <row r="350">
          <cell r="G350">
            <v>0</v>
          </cell>
        </row>
        <row r="351">
          <cell r="G351">
            <v>0</v>
          </cell>
        </row>
        <row r="352">
          <cell r="G352">
            <v>0</v>
          </cell>
        </row>
        <row r="353">
          <cell r="G353">
            <v>0</v>
          </cell>
        </row>
        <row r="354">
          <cell r="G354">
            <v>0</v>
          </cell>
        </row>
        <row r="355">
          <cell r="G355">
            <v>0</v>
          </cell>
        </row>
        <row r="356">
          <cell r="G356">
            <v>0</v>
          </cell>
        </row>
        <row r="357">
          <cell r="G357">
            <v>0</v>
          </cell>
        </row>
        <row r="358">
          <cell r="G358">
            <v>0</v>
          </cell>
        </row>
        <row r="359">
          <cell r="G359">
            <v>0</v>
          </cell>
        </row>
        <row r="360">
          <cell r="G360">
            <v>0</v>
          </cell>
        </row>
        <row r="361">
          <cell r="G361">
            <v>0</v>
          </cell>
        </row>
        <row r="362">
          <cell r="G362">
            <v>0</v>
          </cell>
        </row>
        <row r="363">
          <cell r="G363">
            <v>0</v>
          </cell>
        </row>
        <row r="364">
          <cell r="G364">
            <v>0</v>
          </cell>
        </row>
        <row r="365">
          <cell r="G365">
            <v>0</v>
          </cell>
        </row>
        <row r="366">
          <cell r="G366">
            <v>0</v>
          </cell>
        </row>
        <row r="367">
          <cell r="G367">
            <v>0</v>
          </cell>
        </row>
        <row r="368">
          <cell r="G368">
            <v>0</v>
          </cell>
        </row>
        <row r="369">
          <cell r="G369">
            <v>0</v>
          </cell>
        </row>
        <row r="370">
          <cell r="G370">
            <v>0</v>
          </cell>
        </row>
        <row r="371">
          <cell r="G371">
            <v>0</v>
          </cell>
        </row>
        <row r="372">
          <cell r="G372">
            <v>0</v>
          </cell>
        </row>
        <row r="373">
          <cell r="G373">
            <v>0</v>
          </cell>
        </row>
        <row r="374">
          <cell r="G374">
            <v>0</v>
          </cell>
        </row>
        <row r="375">
          <cell r="G375">
            <v>0</v>
          </cell>
        </row>
        <row r="376">
          <cell r="G376">
            <v>0</v>
          </cell>
        </row>
        <row r="377">
          <cell r="G377">
            <v>0</v>
          </cell>
        </row>
        <row r="378">
          <cell r="G378">
            <v>0</v>
          </cell>
        </row>
        <row r="379">
          <cell r="G379">
            <v>0</v>
          </cell>
        </row>
        <row r="380">
          <cell r="G380">
            <v>0</v>
          </cell>
        </row>
        <row r="381">
          <cell r="G381">
            <v>0</v>
          </cell>
        </row>
        <row r="382">
          <cell r="G382">
            <v>0</v>
          </cell>
        </row>
        <row r="383">
          <cell r="G383">
            <v>0</v>
          </cell>
        </row>
        <row r="384">
          <cell r="G384">
            <v>0</v>
          </cell>
        </row>
        <row r="385">
          <cell r="G385">
            <v>0</v>
          </cell>
        </row>
        <row r="386">
          <cell r="G386">
            <v>0</v>
          </cell>
        </row>
        <row r="387">
          <cell r="G387">
            <v>0</v>
          </cell>
        </row>
        <row r="388">
          <cell r="G388">
            <v>0</v>
          </cell>
        </row>
        <row r="389">
          <cell r="G389">
            <v>0</v>
          </cell>
        </row>
        <row r="390">
          <cell r="G390">
            <v>0</v>
          </cell>
        </row>
        <row r="391">
          <cell r="G391">
            <v>0</v>
          </cell>
        </row>
        <row r="392">
          <cell r="G392">
            <v>0</v>
          </cell>
        </row>
        <row r="393">
          <cell r="G393">
            <v>0</v>
          </cell>
        </row>
        <row r="394">
          <cell r="G394">
            <v>0</v>
          </cell>
        </row>
        <row r="395">
          <cell r="G395">
            <v>0</v>
          </cell>
        </row>
        <row r="396">
          <cell r="G396">
            <v>0</v>
          </cell>
        </row>
        <row r="397">
          <cell r="G397">
            <v>0</v>
          </cell>
        </row>
        <row r="398">
          <cell r="G398">
            <v>0</v>
          </cell>
        </row>
        <row r="399">
          <cell r="G399">
            <v>0</v>
          </cell>
        </row>
        <row r="400">
          <cell r="G400">
            <v>0</v>
          </cell>
        </row>
        <row r="401">
          <cell r="G401">
            <v>0</v>
          </cell>
        </row>
        <row r="402">
          <cell r="G402">
            <v>0</v>
          </cell>
        </row>
        <row r="403">
          <cell r="G403">
            <v>0</v>
          </cell>
        </row>
        <row r="404">
          <cell r="G404">
            <v>0</v>
          </cell>
        </row>
        <row r="405">
          <cell r="G405">
            <v>0</v>
          </cell>
        </row>
        <row r="406">
          <cell r="G406">
            <v>0</v>
          </cell>
        </row>
        <row r="407">
          <cell r="G407">
            <v>0</v>
          </cell>
        </row>
        <row r="408">
          <cell r="G408">
            <v>0</v>
          </cell>
        </row>
        <row r="409">
          <cell r="G409">
            <v>0</v>
          </cell>
        </row>
        <row r="410">
          <cell r="G410">
            <v>0</v>
          </cell>
        </row>
        <row r="411">
          <cell r="G411">
            <v>0</v>
          </cell>
        </row>
        <row r="412">
          <cell r="G412">
            <v>0</v>
          </cell>
        </row>
        <row r="413">
          <cell r="G413">
            <v>0</v>
          </cell>
        </row>
        <row r="414">
          <cell r="G414">
            <v>0</v>
          </cell>
        </row>
        <row r="415">
          <cell r="G415">
            <v>0</v>
          </cell>
        </row>
        <row r="416">
          <cell r="G416">
            <v>0</v>
          </cell>
        </row>
        <row r="417">
          <cell r="G417">
            <v>0</v>
          </cell>
        </row>
        <row r="418">
          <cell r="G418">
            <v>0</v>
          </cell>
        </row>
        <row r="419">
          <cell r="G419">
            <v>0</v>
          </cell>
        </row>
        <row r="420">
          <cell r="G420">
            <v>0</v>
          </cell>
        </row>
        <row r="421">
          <cell r="G421">
            <v>0</v>
          </cell>
        </row>
        <row r="422">
          <cell r="G422">
            <v>0</v>
          </cell>
        </row>
        <row r="423">
          <cell r="G423">
            <v>0</v>
          </cell>
        </row>
        <row r="424">
          <cell r="G424">
            <v>0</v>
          </cell>
        </row>
        <row r="425">
          <cell r="G425">
            <v>0</v>
          </cell>
        </row>
        <row r="426">
          <cell r="G426">
            <v>0</v>
          </cell>
        </row>
        <row r="427">
          <cell r="G427">
            <v>0</v>
          </cell>
        </row>
        <row r="428">
          <cell r="G428">
            <v>0</v>
          </cell>
        </row>
        <row r="429">
          <cell r="G429">
            <v>0</v>
          </cell>
        </row>
        <row r="430">
          <cell r="G430">
            <v>0</v>
          </cell>
        </row>
        <row r="431">
          <cell r="G431">
            <v>0</v>
          </cell>
        </row>
        <row r="432">
          <cell r="G432">
            <v>0</v>
          </cell>
        </row>
        <row r="433">
          <cell r="G433">
            <v>0</v>
          </cell>
        </row>
        <row r="434">
          <cell r="G434">
            <v>0</v>
          </cell>
        </row>
        <row r="435">
          <cell r="G435">
            <v>0</v>
          </cell>
        </row>
        <row r="436">
          <cell r="G436">
            <v>0</v>
          </cell>
        </row>
        <row r="437">
          <cell r="G437">
            <v>0</v>
          </cell>
        </row>
        <row r="438">
          <cell r="G438">
            <v>0</v>
          </cell>
        </row>
        <row r="439">
          <cell r="G439">
            <v>0</v>
          </cell>
        </row>
        <row r="440">
          <cell r="G440">
            <v>0</v>
          </cell>
        </row>
        <row r="441">
          <cell r="G441">
            <v>0</v>
          </cell>
        </row>
        <row r="442">
          <cell r="G442">
            <v>0</v>
          </cell>
        </row>
        <row r="443">
          <cell r="G443">
            <v>0</v>
          </cell>
        </row>
        <row r="444">
          <cell r="G444">
            <v>0</v>
          </cell>
        </row>
        <row r="445">
          <cell r="G445">
            <v>0</v>
          </cell>
        </row>
        <row r="446">
          <cell r="G446">
            <v>0</v>
          </cell>
        </row>
        <row r="447">
          <cell r="G447">
            <v>0</v>
          </cell>
        </row>
        <row r="448">
          <cell r="G448">
            <v>0</v>
          </cell>
        </row>
        <row r="449">
          <cell r="G449">
            <v>0</v>
          </cell>
        </row>
        <row r="450">
          <cell r="G450">
            <v>0</v>
          </cell>
        </row>
        <row r="451">
          <cell r="G451">
            <v>0</v>
          </cell>
        </row>
        <row r="452">
          <cell r="G452">
            <v>0</v>
          </cell>
        </row>
        <row r="453">
          <cell r="G453">
            <v>0</v>
          </cell>
        </row>
        <row r="454">
          <cell r="G454">
            <v>0</v>
          </cell>
        </row>
        <row r="455">
          <cell r="G455">
            <v>0</v>
          </cell>
        </row>
        <row r="456">
          <cell r="G456">
            <v>0</v>
          </cell>
        </row>
        <row r="457">
          <cell r="G457">
            <v>0</v>
          </cell>
        </row>
        <row r="458">
          <cell r="G458">
            <v>0</v>
          </cell>
        </row>
        <row r="459">
          <cell r="G459">
            <v>0</v>
          </cell>
        </row>
        <row r="460">
          <cell r="G460">
            <v>0</v>
          </cell>
        </row>
        <row r="461">
          <cell r="G461">
            <v>0</v>
          </cell>
        </row>
        <row r="462">
          <cell r="G462">
            <v>0</v>
          </cell>
        </row>
        <row r="463">
          <cell r="G463">
            <v>0</v>
          </cell>
        </row>
        <row r="464">
          <cell r="G464">
            <v>0</v>
          </cell>
        </row>
        <row r="465">
          <cell r="G465">
            <v>0</v>
          </cell>
        </row>
        <row r="466">
          <cell r="G466">
            <v>0</v>
          </cell>
        </row>
        <row r="467">
          <cell r="G467">
            <v>0</v>
          </cell>
        </row>
        <row r="468">
          <cell r="G468">
            <v>0</v>
          </cell>
        </row>
        <row r="469">
          <cell r="G469">
            <v>0</v>
          </cell>
        </row>
        <row r="470">
          <cell r="G470">
            <v>0</v>
          </cell>
        </row>
        <row r="471">
          <cell r="G471">
            <v>0</v>
          </cell>
        </row>
        <row r="472">
          <cell r="G472">
            <v>0</v>
          </cell>
        </row>
        <row r="473">
          <cell r="G473">
            <v>0</v>
          </cell>
        </row>
        <row r="474">
          <cell r="G474">
            <v>0</v>
          </cell>
        </row>
        <row r="475">
          <cell r="G475">
            <v>0</v>
          </cell>
        </row>
        <row r="476">
          <cell r="G476">
            <v>0</v>
          </cell>
        </row>
        <row r="477">
          <cell r="G477">
            <v>0</v>
          </cell>
        </row>
        <row r="478">
          <cell r="G478">
            <v>0</v>
          </cell>
        </row>
        <row r="479">
          <cell r="G479">
            <v>0</v>
          </cell>
        </row>
        <row r="480">
          <cell r="G480">
            <v>0</v>
          </cell>
        </row>
        <row r="481">
          <cell r="G481">
            <v>0</v>
          </cell>
        </row>
        <row r="482">
          <cell r="G482">
            <v>0</v>
          </cell>
        </row>
        <row r="483">
          <cell r="G483">
            <v>0</v>
          </cell>
        </row>
        <row r="484">
          <cell r="G484">
            <v>0</v>
          </cell>
        </row>
        <row r="485">
          <cell r="G485">
            <v>0</v>
          </cell>
        </row>
        <row r="486">
          <cell r="G486">
            <v>0</v>
          </cell>
        </row>
        <row r="487">
          <cell r="G487">
            <v>0</v>
          </cell>
        </row>
        <row r="488">
          <cell r="G488">
            <v>0</v>
          </cell>
        </row>
        <row r="489">
          <cell r="G489">
            <v>0</v>
          </cell>
        </row>
        <row r="490">
          <cell r="G490">
            <v>0</v>
          </cell>
        </row>
        <row r="491">
          <cell r="G491">
            <v>0</v>
          </cell>
        </row>
        <row r="492">
          <cell r="G492">
            <v>0</v>
          </cell>
        </row>
        <row r="493">
          <cell r="G493">
            <v>0</v>
          </cell>
        </row>
        <row r="494">
          <cell r="G494">
            <v>0</v>
          </cell>
        </row>
        <row r="495">
          <cell r="G495">
            <v>0</v>
          </cell>
        </row>
        <row r="496">
          <cell r="G496">
            <v>0</v>
          </cell>
        </row>
        <row r="497">
          <cell r="G497">
            <v>0</v>
          </cell>
        </row>
        <row r="498">
          <cell r="G498">
            <v>0</v>
          </cell>
        </row>
        <row r="499">
          <cell r="G499">
            <v>0</v>
          </cell>
        </row>
        <row r="500">
          <cell r="G500">
            <v>0</v>
          </cell>
        </row>
        <row r="501">
          <cell r="G501">
            <v>0</v>
          </cell>
        </row>
        <row r="502">
          <cell r="G502">
            <v>0</v>
          </cell>
        </row>
        <row r="503">
          <cell r="G503">
            <v>0</v>
          </cell>
        </row>
        <row r="504">
          <cell r="G504">
            <v>0</v>
          </cell>
        </row>
        <row r="505">
          <cell r="G505">
            <v>0</v>
          </cell>
        </row>
        <row r="506">
          <cell r="G506">
            <v>0</v>
          </cell>
        </row>
        <row r="507">
          <cell r="G507">
            <v>0</v>
          </cell>
        </row>
        <row r="508">
          <cell r="G508">
            <v>0</v>
          </cell>
        </row>
        <row r="509">
          <cell r="G509">
            <v>0</v>
          </cell>
        </row>
        <row r="510">
          <cell r="G510">
            <v>0</v>
          </cell>
        </row>
        <row r="511">
          <cell r="G511">
            <v>0</v>
          </cell>
        </row>
        <row r="512">
          <cell r="G512">
            <v>0</v>
          </cell>
        </row>
        <row r="513">
          <cell r="G513">
            <v>0</v>
          </cell>
        </row>
        <row r="514">
          <cell r="G514">
            <v>0</v>
          </cell>
        </row>
        <row r="515">
          <cell r="G515">
            <v>0</v>
          </cell>
        </row>
        <row r="516">
          <cell r="G516">
            <v>0</v>
          </cell>
        </row>
        <row r="517">
          <cell r="G517">
            <v>0</v>
          </cell>
        </row>
        <row r="518">
          <cell r="G518">
            <v>0</v>
          </cell>
        </row>
        <row r="519">
          <cell r="G519">
            <v>0</v>
          </cell>
        </row>
        <row r="520">
          <cell r="G520">
            <v>0</v>
          </cell>
        </row>
        <row r="521">
          <cell r="G521">
            <v>0</v>
          </cell>
        </row>
        <row r="522">
          <cell r="G522">
            <v>0</v>
          </cell>
        </row>
        <row r="523">
          <cell r="G523">
            <v>0</v>
          </cell>
        </row>
        <row r="524">
          <cell r="G524">
            <v>0</v>
          </cell>
        </row>
        <row r="525">
          <cell r="G525">
            <v>0</v>
          </cell>
        </row>
        <row r="526">
          <cell r="G526">
            <v>0</v>
          </cell>
        </row>
        <row r="527">
          <cell r="G527">
            <v>0</v>
          </cell>
        </row>
        <row r="528">
          <cell r="G528">
            <v>0</v>
          </cell>
        </row>
        <row r="529">
          <cell r="G529">
            <v>0</v>
          </cell>
        </row>
        <row r="530">
          <cell r="G530">
            <v>0</v>
          </cell>
        </row>
        <row r="531">
          <cell r="G531">
            <v>0</v>
          </cell>
        </row>
        <row r="532">
          <cell r="G532">
            <v>0</v>
          </cell>
        </row>
        <row r="533">
          <cell r="G533">
            <v>0</v>
          </cell>
        </row>
        <row r="534">
          <cell r="G534">
            <v>0</v>
          </cell>
        </row>
        <row r="535">
          <cell r="G535">
            <v>0</v>
          </cell>
        </row>
        <row r="536">
          <cell r="G536">
            <v>0</v>
          </cell>
        </row>
        <row r="537">
          <cell r="G537">
            <v>0</v>
          </cell>
        </row>
        <row r="538">
          <cell r="G538">
            <v>0</v>
          </cell>
        </row>
        <row r="539">
          <cell r="G539">
            <v>0</v>
          </cell>
        </row>
        <row r="540">
          <cell r="G540">
            <v>0</v>
          </cell>
        </row>
        <row r="541">
          <cell r="G541">
            <v>0</v>
          </cell>
        </row>
        <row r="542">
          <cell r="G542">
            <v>0</v>
          </cell>
        </row>
        <row r="543">
          <cell r="G543">
            <v>0</v>
          </cell>
        </row>
        <row r="544">
          <cell r="G544">
            <v>0</v>
          </cell>
        </row>
        <row r="545">
          <cell r="G545">
            <v>0</v>
          </cell>
        </row>
        <row r="546">
          <cell r="G546">
            <v>0</v>
          </cell>
        </row>
        <row r="547">
          <cell r="G547">
            <v>0</v>
          </cell>
        </row>
        <row r="548">
          <cell r="G548">
            <v>0</v>
          </cell>
        </row>
        <row r="549">
          <cell r="G549">
            <v>0</v>
          </cell>
        </row>
        <row r="550">
          <cell r="G550">
            <v>0</v>
          </cell>
        </row>
        <row r="551">
          <cell r="G551">
            <v>0</v>
          </cell>
        </row>
        <row r="552">
          <cell r="G552">
            <v>0</v>
          </cell>
        </row>
        <row r="553">
          <cell r="G553">
            <v>0</v>
          </cell>
        </row>
        <row r="554">
          <cell r="G554">
            <v>0</v>
          </cell>
        </row>
        <row r="555">
          <cell r="G555">
            <v>0</v>
          </cell>
        </row>
        <row r="556">
          <cell r="G556">
            <v>0</v>
          </cell>
        </row>
        <row r="557">
          <cell r="G557">
            <v>0</v>
          </cell>
        </row>
        <row r="558">
          <cell r="G558">
            <v>0</v>
          </cell>
        </row>
        <row r="559">
          <cell r="G559">
            <v>0</v>
          </cell>
        </row>
        <row r="560">
          <cell r="G560">
            <v>0</v>
          </cell>
        </row>
        <row r="561">
          <cell r="G561">
            <v>0</v>
          </cell>
        </row>
        <row r="562">
          <cell r="G562">
            <v>0</v>
          </cell>
        </row>
        <row r="563">
          <cell r="G563">
            <v>0</v>
          </cell>
        </row>
        <row r="564">
          <cell r="G564">
            <v>0</v>
          </cell>
        </row>
        <row r="565">
          <cell r="G565">
            <v>0</v>
          </cell>
        </row>
        <row r="566">
          <cell r="G566">
            <v>0</v>
          </cell>
        </row>
        <row r="567">
          <cell r="G567">
            <v>0</v>
          </cell>
        </row>
        <row r="568">
          <cell r="G568">
            <v>0</v>
          </cell>
        </row>
        <row r="569">
          <cell r="G569">
            <v>0</v>
          </cell>
        </row>
        <row r="570">
          <cell r="G570">
            <v>0</v>
          </cell>
        </row>
        <row r="571">
          <cell r="G571">
            <v>0</v>
          </cell>
        </row>
        <row r="572">
          <cell r="G572">
            <v>0</v>
          </cell>
        </row>
        <row r="573">
          <cell r="G573">
            <v>0</v>
          </cell>
        </row>
        <row r="574">
          <cell r="G574">
            <v>0</v>
          </cell>
        </row>
        <row r="575">
          <cell r="G575">
            <v>0</v>
          </cell>
        </row>
        <row r="576">
          <cell r="G576">
            <v>0</v>
          </cell>
        </row>
        <row r="577">
          <cell r="G577">
            <v>0</v>
          </cell>
        </row>
        <row r="578">
          <cell r="G578">
            <v>0</v>
          </cell>
        </row>
        <row r="579">
          <cell r="G579">
            <v>0</v>
          </cell>
        </row>
        <row r="580">
          <cell r="G580">
            <v>0</v>
          </cell>
        </row>
        <row r="581">
          <cell r="G581">
            <v>0</v>
          </cell>
        </row>
        <row r="582">
          <cell r="G582">
            <v>0</v>
          </cell>
        </row>
        <row r="583">
          <cell r="G583">
            <v>0</v>
          </cell>
        </row>
        <row r="584">
          <cell r="G584">
            <v>0</v>
          </cell>
        </row>
        <row r="585">
          <cell r="G585">
            <v>0</v>
          </cell>
        </row>
        <row r="586">
          <cell r="G586">
            <v>0</v>
          </cell>
        </row>
        <row r="587">
          <cell r="G587">
            <v>0</v>
          </cell>
        </row>
        <row r="588">
          <cell r="G588">
            <v>0</v>
          </cell>
        </row>
        <row r="589">
          <cell r="G589">
            <v>0</v>
          </cell>
        </row>
        <row r="590">
          <cell r="G590">
            <v>0</v>
          </cell>
        </row>
        <row r="591">
          <cell r="G591">
            <v>0</v>
          </cell>
        </row>
        <row r="592">
          <cell r="G592">
            <v>0</v>
          </cell>
        </row>
        <row r="593">
          <cell r="G593">
            <v>0</v>
          </cell>
        </row>
        <row r="594">
          <cell r="G594">
            <v>0</v>
          </cell>
        </row>
        <row r="595">
          <cell r="G595">
            <v>0</v>
          </cell>
        </row>
        <row r="596">
          <cell r="G596">
            <v>0</v>
          </cell>
        </row>
        <row r="597">
          <cell r="G597">
            <v>0</v>
          </cell>
        </row>
        <row r="598">
          <cell r="G598">
            <v>0</v>
          </cell>
        </row>
        <row r="599">
          <cell r="G599">
            <v>0</v>
          </cell>
        </row>
        <row r="600">
          <cell r="G600">
            <v>0</v>
          </cell>
        </row>
        <row r="601">
          <cell r="G601">
            <v>0</v>
          </cell>
        </row>
        <row r="602">
          <cell r="G602">
            <v>0</v>
          </cell>
        </row>
        <row r="603">
          <cell r="G603">
            <v>0</v>
          </cell>
        </row>
        <row r="604">
          <cell r="G604">
            <v>0</v>
          </cell>
        </row>
        <row r="605">
          <cell r="G605">
            <v>0</v>
          </cell>
        </row>
        <row r="606">
          <cell r="G606">
            <v>0</v>
          </cell>
        </row>
        <row r="607">
          <cell r="G607">
            <v>0</v>
          </cell>
        </row>
        <row r="608">
          <cell r="G608">
            <v>0</v>
          </cell>
        </row>
        <row r="609">
          <cell r="G609">
            <v>0</v>
          </cell>
        </row>
        <row r="610">
          <cell r="G610">
            <v>0</v>
          </cell>
        </row>
        <row r="611">
          <cell r="G611">
            <v>0</v>
          </cell>
        </row>
        <row r="612">
          <cell r="G612">
            <v>0</v>
          </cell>
        </row>
        <row r="613">
          <cell r="G613">
            <v>0</v>
          </cell>
        </row>
        <row r="614">
          <cell r="G614">
            <v>0</v>
          </cell>
        </row>
        <row r="615">
          <cell r="G615">
            <v>0</v>
          </cell>
        </row>
        <row r="616">
          <cell r="G616">
            <v>0</v>
          </cell>
        </row>
        <row r="617">
          <cell r="G617">
            <v>0</v>
          </cell>
        </row>
        <row r="618">
          <cell r="G618">
            <v>0</v>
          </cell>
        </row>
        <row r="619">
          <cell r="G619">
            <v>0</v>
          </cell>
        </row>
        <row r="620">
          <cell r="G620">
            <v>0</v>
          </cell>
        </row>
        <row r="621">
          <cell r="G621">
            <v>0</v>
          </cell>
        </row>
        <row r="622">
          <cell r="G622">
            <v>0</v>
          </cell>
        </row>
        <row r="623">
          <cell r="G623">
            <v>0</v>
          </cell>
        </row>
        <row r="624">
          <cell r="G624">
            <v>0</v>
          </cell>
        </row>
        <row r="625">
          <cell r="G625">
            <v>0</v>
          </cell>
        </row>
        <row r="626">
          <cell r="G626">
            <v>0</v>
          </cell>
        </row>
        <row r="627">
          <cell r="G627">
            <v>0</v>
          </cell>
        </row>
        <row r="628">
          <cell r="G628">
            <v>0</v>
          </cell>
        </row>
        <row r="629">
          <cell r="G629">
            <v>0</v>
          </cell>
        </row>
        <row r="630">
          <cell r="G630">
            <v>0</v>
          </cell>
        </row>
        <row r="631">
          <cell r="G631">
            <v>0</v>
          </cell>
        </row>
        <row r="632">
          <cell r="G632">
            <v>0</v>
          </cell>
        </row>
        <row r="633">
          <cell r="G633">
            <v>0</v>
          </cell>
        </row>
        <row r="634">
          <cell r="G634">
            <v>0</v>
          </cell>
        </row>
        <row r="635">
          <cell r="G635">
            <v>0</v>
          </cell>
        </row>
        <row r="636">
          <cell r="G636">
            <v>0</v>
          </cell>
        </row>
        <row r="637">
          <cell r="G637">
            <v>0</v>
          </cell>
        </row>
        <row r="638">
          <cell r="G638">
            <v>0</v>
          </cell>
        </row>
        <row r="639">
          <cell r="G639">
            <v>0</v>
          </cell>
        </row>
        <row r="640">
          <cell r="G640">
            <v>0</v>
          </cell>
        </row>
        <row r="641">
          <cell r="G641">
            <v>0</v>
          </cell>
        </row>
        <row r="642">
          <cell r="G642">
            <v>0</v>
          </cell>
        </row>
        <row r="643">
          <cell r="G643">
            <v>0</v>
          </cell>
        </row>
        <row r="644">
          <cell r="G644">
            <v>0</v>
          </cell>
        </row>
        <row r="645">
          <cell r="G645">
            <v>0</v>
          </cell>
        </row>
        <row r="646">
          <cell r="G646">
            <v>0</v>
          </cell>
        </row>
        <row r="647">
          <cell r="G647">
            <v>0</v>
          </cell>
        </row>
        <row r="648">
          <cell r="G648">
            <v>0</v>
          </cell>
        </row>
        <row r="649">
          <cell r="G649">
            <v>0</v>
          </cell>
        </row>
        <row r="650">
          <cell r="G650">
            <v>0</v>
          </cell>
        </row>
        <row r="651">
          <cell r="G651">
            <v>0</v>
          </cell>
        </row>
        <row r="652">
          <cell r="G652">
            <v>0</v>
          </cell>
        </row>
        <row r="653">
          <cell r="G653">
            <v>0</v>
          </cell>
        </row>
        <row r="654">
          <cell r="G654">
            <v>0</v>
          </cell>
        </row>
        <row r="655">
          <cell r="G655">
            <v>0</v>
          </cell>
        </row>
        <row r="656">
          <cell r="G656">
            <v>0</v>
          </cell>
        </row>
        <row r="657">
          <cell r="G657">
            <v>0</v>
          </cell>
        </row>
        <row r="658">
          <cell r="G658">
            <v>0</v>
          </cell>
        </row>
        <row r="659">
          <cell r="G659">
            <v>0</v>
          </cell>
        </row>
        <row r="660">
          <cell r="G660">
            <v>0</v>
          </cell>
        </row>
        <row r="661">
          <cell r="G661">
            <v>0</v>
          </cell>
        </row>
        <row r="662">
          <cell r="G662">
            <v>0</v>
          </cell>
        </row>
        <row r="663">
          <cell r="G663">
            <v>0</v>
          </cell>
        </row>
        <row r="664">
          <cell r="G664">
            <v>0</v>
          </cell>
        </row>
        <row r="665">
          <cell r="G665">
            <v>0</v>
          </cell>
        </row>
        <row r="666">
          <cell r="G666">
            <v>0</v>
          </cell>
        </row>
        <row r="667">
          <cell r="G667">
            <v>0</v>
          </cell>
        </row>
        <row r="668">
          <cell r="G668">
            <v>0</v>
          </cell>
        </row>
        <row r="669">
          <cell r="G669">
            <v>0</v>
          </cell>
        </row>
        <row r="670">
          <cell r="G670">
            <v>0</v>
          </cell>
        </row>
        <row r="971">
          <cell r="G971">
            <v>0</v>
          </cell>
        </row>
      </sheetData>
      <sheetData sheetId="3"/>
      <sheetData sheetId="4"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8.bin"/><Relationship Id="rId4" Type="http://schemas.openxmlformats.org/officeDocument/2006/relationships/ctrlProp" Target="../ctrlProps/ctrlProp46.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ABC52-ECC5-48CA-8DD6-02F06E157BE5}">
  <sheetPr codeName="Sheet1">
    <tabColor rgb="FFFBDD40"/>
    <pageSetUpPr fitToPage="1"/>
  </sheetPr>
  <dimension ref="B1:F80"/>
  <sheetViews>
    <sheetView showGridLines="0" showRowColHeaders="0" tabSelected="1" zoomScaleNormal="100" workbookViewId="0"/>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5"/>
      <c r="C4" s="119" t="s">
        <v>1687</v>
      </c>
      <c r="D4" s="119"/>
      <c r="E4" s="119"/>
      <c r="F4" s="16"/>
    </row>
    <row r="5" spans="2:6" ht="24.95" customHeight="1" x14ac:dyDescent="0.25">
      <c r="B5" s="17"/>
      <c r="C5" s="120"/>
      <c r="D5" s="120"/>
      <c r="E5" s="120"/>
      <c r="F5" s="18"/>
    </row>
    <row r="6" spans="2:6" ht="20.100000000000001" customHeight="1" x14ac:dyDescent="0.25">
      <c r="B6" s="12"/>
      <c r="C6" s="121" t="s">
        <v>8</v>
      </c>
      <c r="D6" s="121"/>
      <c r="E6" s="121"/>
      <c r="F6" s="13"/>
    </row>
    <row r="7" spans="2:6" ht="15" customHeight="1" x14ac:dyDescent="0.25">
      <c r="B7" s="1"/>
      <c r="C7" s="101"/>
      <c r="D7" s="101"/>
      <c r="E7" s="101"/>
      <c r="F7" s="2"/>
    </row>
    <row r="8" spans="2:6" ht="15" customHeight="1" x14ac:dyDescent="0.25">
      <c r="B8" s="19" t="s">
        <v>15</v>
      </c>
      <c r="C8" s="122" t="s">
        <v>1688</v>
      </c>
      <c r="D8" s="122"/>
      <c r="E8" s="122"/>
      <c r="F8" s="2"/>
    </row>
    <row r="9" spans="2:6" ht="15" customHeight="1" x14ac:dyDescent="0.25">
      <c r="B9" s="1"/>
      <c r="C9" s="122"/>
      <c r="D9" s="122"/>
      <c r="E9" s="122"/>
      <c r="F9" s="2"/>
    </row>
    <row r="10" spans="2:6" ht="15" customHeight="1" x14ac:dyDescent="0.25">
      <c r="B10" s="19" t="s">
        <v>15</v>
      </c>
      <c r="C10" s="122" t="s">
        <v>1986</v>
      </c>
      <c r="D10" s="122"/>
      <c r="E10" s="122"/>
      <c r="F10" s="2"/>
    </row>
    <row r="11" spans="2:6" ht="15" customHeight="1" x14ac:dyDescent="0.25">
      <c r="B11" s="1"/>
      <c r="C11" s="122"/>
      <c r="D11" s="122"/>
      <c r="E11" s="122"/>
      <c r="F11" s="2"/>
    </row>
    <row r="12" spans="2:6" ht="15" customHeight="1" x14ac:dyDescent="0.25">
      <c r="B12" s="19" t="s">
        <v>15</v>
      </c>
      <c r="C12" s="122" t="s">
        <v>1998</v>
      </c>
      <c r="D12" s="122"/>
      <c r="E12" s="122"/>
      <c r="F12" s="2"/>
    </row>
    <row r="13" spans="2:6" ht="15" customHeight="1" x14ac:dyDescent="0.25">
      <c r="B13" s="1"/>
      <c r="C13" s="122"/>
      <c r="D13" s="122"/>
      <c r="E13" s="122"/>
      <c r="F13" s="2"/>
    </row>
    <row r="14" spans="2:6" ht="15" customHeight="1" x14ac:dyDescent="0.25">
      <c r="B14" s="19" t="s">
        <v>15</v>
      </c>
      <c r="C14" s="122" t="s">
        <v>12</v>
      </c>
      <c r="D14" s="122"/>
      <c r="E14" s="122"/>
      <c r="F14" s="2"/>
    </row>
    <row r="15" spans="2:6" ht="15" customHeight="1" x14ac:dyDescent="0.25">
      <c r="B15" s="1"/>
      <c r="C15" s="122"/>
      <c r="D15" s="122"/>
      <c r="E15" s="122"/>
      <c r="F15" s="2"/>
    </row>
    <row r="16" spans="2:6" ht="15" customHeight="1" x14ac:dyDescent="0.25">
      <c r="B16" s="1"/>
      <c r="C16" s="122"/>
      <c r="D16" s="122"/>
      <c r="E16" s="122"/>
      <c r="F16" s="2"/>
    </row>
    <row r="17" spans="2:6" ht="15" customHeight="1" x14ac:dyDescent="0.25">
      <c r="B17" s="19" t="s">
        <v>15</v>
      </c>
      <c r="C17" s="122" t="s">
        <v>13</v>
      </c>
      <c r="D17" s="122"/>
      <c r="E17" s="122"/>
      <c r="F17" s="2"/>
    </row>
    <row r="18" spans="2:6" ht="15" customHeight="1" x14ac:dyDescent="0.25">
      <c r="B18" s="1"/>
      <c r="C18" s="122"/>
      <c r="D18" s="122"/>
      <c r="E18" s="122"/>
      <c r="F18" s="2"/>
    </row>
    <row r="19" spans="2:6" ht="15" customHeight="1" x14ac:dyDescent="0.25">
      <c r="B19" s="1"/>
      <c r="C19" s="122"/>
      <c r="D19" s="122"/>
      <c r="E19" s="122"/>
      <c r="F19" s="2"/>
    </row>
    <row r="20" spans="2:6" ht="15" customHeight="1" x14ac:dyDescent="0.25">
      <c r="B20" s="19" t="s">
        <v>15</v>
      </c>
      <c r="C20" s="122" t="s">
        <v>1987</v>
      </c>
      <c r="D20" s="122"/>
      <c r="E20" s="122"/>
      <c r="F20" s="2"/>
    </row>
    <row r="21" spans="2:6" ht="15" customHeight="1" x14ac:dyDescent="0.25">
      <c r="B21" s="1"/>
      <c r="C21" s="122"/>
      <c r="D21" s="122"/>
      <c r="E21" s="122"/>
      <c r="F21" s="2"/>
    </row>
    <row r="22" spans="2:6" ht="15" customHeight="1" x14ac:dyDescent="0.25">
      <c r="B22" s="19" t="s">
        <v>15</v>
      </c>
      <c r="C22" s="123" t="s">
        <v>1988</v>
      </c>
      <c r="D22" s="122"/>
      <c r="E22" s="122"/>
      <c r="F22" s="2"/>
    </row>
    <row r="23" spans="2:6" ht="15" customHeight="1" x14ac:dyDescent="0.25">
      <c r="B23" s="1"/>
      <c r="C23" s="122"/>
      <c r="D23" s="122"/>
      <c r="E23" s="122"/>
      <c r="F23" s="2"/>
    </row>
    <row r="24" spans="2:6" ht="15" customHeight="1" x14ac:dyDescent="0.25">
      <c r="B24" s="1"/>
      <c r="C24" s="122"/>
      <c r="D24" s="122"/>
      <c r="E24" s="122"/>
      <c r="F24" s="2"/>
    </row>
    <row r="25" spans="2:6" ht="15" customHeight="1" x14ac:dyDescent="0.25">
      <c r="B25" s="19" t="s">
        <v>15</v>
      </c>
      <c r="C25" s="122" t="s">
        <v>14</v>
      </c>
      <c r="D25" s="122"/>
      <c r="E25" s="122"/>
      <c r="F25" s="2"/>
    </row>
    <row r="26" spans="2:6" ht="15" customHeight="1" x14ac:dyDescent="0.25">
      <c r="B26" s="1"/>
      <c r="C26" s="122"/>
      <c r="D26" s="122"/>
      <c r="E26" s="122"/>
      <c r="F26" s="2"/>
    </row>
    <row r="27" spans="2:6" ht="15" customHeight="1" x14ac:dyDescent="0.25">
      <c r="B27" s="19" t="s">
        <v>15</v>
      </c>
      <c r="C27" s="122" t="s">
        <v>1989</v>
      </c>
      <c r="D27" s="122"/>
      <c r="E27" s="122"/>
      <c r="F27" s="2"/>
    </row>
    <row r="28" spans="2:6" ht="15" customHeight="1" x14ac:dyDescent="0.25">
      <c r="B28" s="1"/>
      <c r="C28" s="122"/>
      <c r="D28" s="122"/>
      <c r="E28" s="122"/>
      <c r="F28" s="2"/>
    </row>
    <row r="29" spans="2:6" ht="15" customHeight="1" x14ac:dyDescent="0.25">
      <c r="B29" s="19" t="s">
        <v>15</v>
      </c>
      <c r="C29" s="123" t="s">
        <v>1990</v>
      </c>
      <c r="D29" s="122"/>
      <c r="E29" s="122"/>
      <c r="F29" s="2"/>
    </row>
    <row r="30" spans="2:6" ht="15" customHeight="1" x14ac:dyDescent="0.25">
      <c r="B30" s="1"/>
      <c r="C30" s="124"/>
      <c r="D30" s="124"/>
      <c r="E30" s="124"/>
      <c r="F30" s="2"/>
    </row>
    <row r="31" spans="2:6" ht="20.100000000000001" customHeight="1" x14ac:dyDescent="0.25">
      <c r="B31" s="12"/>
      <c r="C31" s="121" t="s">
        <v>9</v>
      </c>
      <c r="D31" s="121"/>
      <c r="E31" s="121"/>
      <c r="F31" s="13"/>
    </row>
    <row r="32" spans="2:6" ht="15" customHeight="1" x14ac:dyDescent="0.25">
      <c r="B32" s="1"/>
      <c r="C32" s="101"/>
      <c r="D32" s="101"/>
      <c r="E32" s="101"/>
      <c r="F32" s="2"/>
    </row>
    <row r="33" spans="2:6" ht="15" customHeight="1" x14ac:dyDescent="0.25">
      <c r="B33" s="19" t="s">
        <v>15</v>
      </c>
      <c r="C33" s="122" t="s">
        <v>1689</v>
      </c>
      <c r="D33" s="122"/>
      <c r="E33" s="122"/>
      <c r="F33" s="2"/>
    </row>
    <row r="34" spans="2:6" ht="15" customHeight="1" x14ac:dyDescent="0.25">
      <c r="B34" s="1"/>
      <c r="C34" s="122"/>
      <c r="D34" s="122"/>
      <c r="E34" s="122"/>
      <c r="F34" s="2"/>
    </row>
    <row r="35" spans="2:6" ht="15" customHeight="1" x14ac:dyDescent="0.25">
      <c r="B35" s="19" t="s">
        <v>15</v>
      </c>
      <c r="C35" s="122" t="s">
        <v>16</v>
      </c>
      <c r="D35" s="122"/>
      <c r="E35" s="122"/>
      <c r="F35" s="2"/>
    </row>
    <row r="36" spans="2:6" ht="15" customHeight="1" x14ac:dyDescent="0.25">
      <c r="B36" s="1"/>
      <c r="C36" s="122"/>
      <c r="D36" s="122"/>
      <c r="E36" s="122"/>
      <c r="F36" s="2"/>
    </row>
    <row r="37" spans="2:6" ht="15" customHeight="1" x14ac:dyDescent="0.25">
      <c r="B37" s="19" t="s">
        <v>15</v>
      </c>
      <c r="C37" s="122" t="s">
        <v>2371</v>
      </c>
      <c r="D37" s="122"/>
      <c r="E37" s="122"/>
      <c r="F37" s="2"/>
    </row>
    <row r="38" spans="2:6" ht="15" customHeight="1" x14ac:dyDescent="0.25">
      <c r="B38" s="1"/>
      <c r="C38" s="122"/>
      <c r="D38" s="122"/>
      <c r="E38" s="122"/>
      <c r="F38" s="2"/>
    </row>
    <row r="39" spans="2:6" ht="15" customHeight="1" x14ac:dyDescent="0.25">
      <c r="B39" s="19" t="s">
        <v>15</v>
      </c>
      <c r="C39" s="122" t="s">
        <v>20</v>
      </c>
      <c r="D39" s="122"/>
      <c r="E39" s="122"/>
      <c r="F39" s="2"/>
    </row>
    <row r="40" spans="2:6" ht="15" customHeight="1" x14ac:dyDescent="0.25">
      <c r="B40" s="1"/>
      <c r="C40" s="122"/>
      <c r="D40" s="122"/>
      <c r="E40" s="122"/>
      <c r="F40" s="2"/>
    </row>
    <row r="41" spans="2:6" ht="15" customHeight="1" x14ac:dyDescent="0.25">
      <c r="B41" s="1"/>
      <c r="C41" s="122"/>
      <c r="D41" s="122"/>
      <c r="E41" s="122"/>
      <c r="F41" s="2"/>
    </row>
    <row r="42" spans="2:6" ht="15" customHeight="1" x14ac:dyDescent="0.25">
      <c r="B42" s="19" t="s">
        <v>15</v>
      </c>
      <c r="C42" s="122" t="s">
        <v>17</v>
      </c>
      <c r="D42" s="122"/>
      <c r="E42" s="122"/>
      <c r="F42" s="2"/>
    </row>
    <row r="43" spans="2:6" ht="15" customHeight="1" x14ac:dyDescent="0.25">
      <c r="B43" s="1"/>
      <c r="C43" s="122"/>
      <c r="D43" s="122"/>
      <c r="E43" s="122"/>
      <c r="F43" s="2"/>
    </row>
    <row r="44" spans="2:6" ht="15" customHeight="1" x14ac:dyDescent="0.25">
      <c r="B44" s="19" t="s">
        <v>15</v>
      </c>
      <c r="C44" s="122" t="s">
        <v>18</v>
      </c>
      <c r="D44" s="122"/>
      <c r="E44" s="122"/>
      <c r="F44" s="2"/>
    </row>
    <row r="45" spans="2:6" ht="15" customHeight="1" x14ac:dyDescent="0.25">
      <c r="B45" s="1"/>
      <c r="C45" s="122"/>
      <c r="D45" s="122"/>
      <c r="E45" s="122"/>
      <c r="F45" s="2"/>
    </row>
    <row r="46" spans="2:6" ht="15" customHeight="1" x14ac:dyDescent="0.25">
      <c r="B46" s="1"/>
      <c r="C46" s="124"/>
      <c r="D46" s="124"/>
      <c r="E46" s="124"/>
      <c r="F46" s="2"/>
    </row>
    <row r="47" spans="2:6" ht="20.100000000000001" customHeight="1" x14ac:dyDescent="0.25">
      <c r="B47" s="12"/>
      <c r="C47" s="121" t="s">
        <v>1991</v>
      </c>
      <c r="D47" s="121"/>
      <c r="E47" s="121"/>
      <c r="F47" s="13"/>
    </row>
    <row r="48" spans="2:6" ht="15" customHeight="1" x14ac:dyDescent="0.25">
      <c r="B48" s="1"/>
      <c r="C48" s="101"/>
      <c r="D48" s="101"/>
      <c r="E48" s="101"/>
      <c r="F48" s="2"/>
    </row>
    <row r="49" spans="2:6" ht="15" customHeight="1" x14ac:dyDescent="0.25">
      <c r="B49" s="19" t="s">
        <v>15</v>
      </c>
      <c r="C49" s="122" t="s">
        <v>1993</v>
      </c>
      <c r="D49" s="122"/>
      <c r="E49" s="122"/>
      <c r="F49" s="2"/>
    </row>
    <row r="50" spans="2:6" ht="15" customHeight="1" x14ac:dyDescent="0.25">
      <c r="B50" s="1"/>
      <c r="C50" s="122"/>
      <c r="D50" s="122"/>
      <c r="E50" s="122"/>
      <c r="F50" s="2"/>
    </row>
    <row r="51" spans="2:6" ht="15" customHeight="1" x14ac:dyDescent="0.25">
      <c r="B51" s="1"/>
      <c r="C51" s="122"/>
      <c r="D51" s="122"/>
      <c r="E51" s="122"/>
      <c r="F51" s="2"/>
    </row>
    <row r="52" spans="2:6" ht="15" customHeight="1" x14ac:dyDescent="0.25">
      <c r="B52" s="1"/>
      <c r="C52" s="122"/>
      <c r="D52" s="122"/>
      <c r="E52" s="122"/>
      <c r="F52" s="2"/>
    </row>
    <row r="53" spans="2:6" ht="15" customHeight="1" x14ac:dyDescent="0.25">
      <c r="B53" s="19" t="s">
        <v>15</v>
      </c>
      <c r="C53" s="122" t="s">
        <v>1994</v>
      </c>
      <c r="D53" s="122"/>
      <c r="E53" s="122"/>
      <c r="F53" s="2"/>
    </row>
    <row r="54" spans="2:6" ht="15" customHeight="1" x14ac:dyDescent="0.25">
      <c r="B54" s="1"/>
      <c r="C54" s="122"/>
      <c r="D54" s="122"/>
      <c r="E54" s="122"/>
      <c r="F54" s="2"/>
    </row>
    <row r="55" spans="2:6" ht="15" customHeight="1" x14ac:dyDescent="0.25">
      <c r="B55" s="1"/>
      <c r="C55" s="122"/>
      <c r="D55" s="122"/>
      <c r="E55" s="122"/>
      <c r="F55" s="2"/>
    </row>
    <row r="56" spans="2:6" ht="15" customHeight="1" x14ac:dyDescent="0.25">
      <c r="B56" s="19" t="s">
        <v>15</v>
      </c>
      <c r="C56" s="122" t="s">
        <v>1995</v>
      </c>
      <c r="D56" s="122"/>
      <c r="E56" s="122"/>
      <c r="F56" s="2"/>
    </row>
    <row r="57" spans="2:6" ht="15" customHeight="1" x14ac:dyDescent="0.25">
      <c r="B57" s="1"/>
      <c r="C57" s="122"/>
      <c r="D57" s="122"/>
      <c r="E57" s="122"/>
      <c r="F57" s="2"/>
    </row>
    <row r="58" spans="2:6" ht="15" customHeight="1" x14ac:dyDescent="0.25">
      <c r="B58" s="1"/>
      <c r="C58" s="122"/>
      <c r="D58" s="122"/>
      <c r="E58" s="122"/>
      <c r="F58" s="2"/>
    </row>
    <row r="59" spans="2:6" ht="15" customHeight="1" x14ac:dyDescent="0.25">
      <c r="B59" s="1"/>
      <c r="C59" s="124"/>
      <c r="D59" s="124"/>
      <c r="E59" s="124"/>
      <c r="F59" s="2"/>
    </row>
    <row r="60" spans="2:6" ht="20.100000000000001" customHeight="1" x14ac:dyDescent="0.25">
      <c r="B60" s="12"/>
      <c r="C60" s="121" t="s">
        <v>10</v>
      </c>
      <c r="D60" s="121"/>
      <c r="E60" s="121"/>
      <c r="F60" s="13"/>
    </row>
    <row r="61" spans="2:6" ht="15" customHeight="1" x14ac:dyDescent="0.25">
      <c r="B61" s="1"/>
      <c r="C61" s="101"/>
      <c r="D61" s="101"/>
      <c r="E61" s="101"/>
      <c r="F61" s="2"/>
    </row>
    <row r="62" spans="2:6" ht="15" customHeight="1" x14ac:dyDescent="0.25">
      <c r="B62" s="19" t="s">
        <v>15</v>
      </c>
      <c r="C62" s="122" t="s">
        <v>1992</v>
      </c>
      <c r="D62" s="122"/>
      <c r="E62" s="122"/>
      <c r="F62" s="2"/>
    </row>
    <row r="63" spans="2:6" ht="15" customHeight="1" x14ac:dyDescent="0.25">
      <c r="B63" s="1"/>
      <c r="C63" s="122"/>
      <c r="D63" s="122"/>
      <c r="E63" s="122"/>
      <c r="F63" s="2"/>
    </row>
    <row r="64" spans="2:6" ht="15" customHeight="1" x14ac:dyDescent="0.25">
      <c r="B64" s="1"/>
      <c r="C64" s="122"/>
      <c r="D64" s="122"/>
      <c r="E64" s="122"/>
      <c r="F64" s="2"/>
    </row>
    <row r="65" spans="2:6" ht="15" customHeight="1" x14ac:dyDescent="0.25">
      <c r="B65" s="1"/>
      <c r="C65" s="122"/>
      <c r="D65" s="122"/>
      <c r="E65" s="122"/>
      <c r="F65" s="2"/>
    </row>
    <row r="66" spans="2:6" ht="15" customHeight="1" x14ac:dyDescent="0.25">
      <c r="B66" s="1"/>
      <c r="C66" s="122"/>
      <c r="D66" s="122"/>
      <c r="E66" s="122"/>
      <c r="F66" s="2"/>
    </row>
    <row r="67" spans="2:6" ht="15" customHeight="1" x14ac:dyDescent="0.25">
      <c r="B67" s="1"/>
      <c r="C67" s="122"/>
      <c r="D67" s="122"/>
      <c r="E67" s="122"/>
      <c r="F67" s="2"/>
    </row>
    <row r="68" spans="2:6" ht="15" customHeight="1" x14ac:dyDescent="0.25">
      <c r="B68" s="1"/>
      <c r="C68" s="122"/>
      <c r="D68" s="122"/>
      <c r="E68" s="122"/>
      <c r="F68" s="2"/>
    </row>
    <row r="69" spans="2:6" ht="15" customHeight="1" x14ac:dyDescent="0.25">
      <c r="B69" s="1"/>
      <c r="C69" s="122"/>
      <c r="D69" s="122"/>
      <c r="E69" s="122"/>
      <c r="F69" s="2"/>
    </row>
    <row r="70" spans="2:6" ht="15" customHeight="1" x14ac:dyDescent="0.25">
      <c r="B70" s="1"/>
      <c r="C70" s="124"/>
      <c r="D70" s="124"/>
      <c r="E70" s="124"/>
      <c r="F70" s="2"/>
    </row>
    <row r="71" spans="2:6" ht="20.100000000000001" customHeight="1" x14ac:dyDescent="0.25">
      <c r="B71" s="12"/>
      <c r="C71" s="121" t="s">
        <v>11</v>
      </c>
      <c r="D71" s="121"/>
      <c r="E71" s="121"/>
      <c r="F71" s="13"/>
    </row>
    <row r="72" spans="2:6" ht="15" customHeight="1" x14ac:dyDescent="0.25">
      <c r="B72" s="1"/>
      <c r="C72" s="101"/>
      <c r="D72" s="101"/>
      <c r="E72" s="101"/>
      <c r="F72" s="2"/>
    </row>
    <row r="73" spans="2:6" ht="15" customHeight="1" x14ac:dyDescent="0.25">
      <c r="B73" s="19" t="s">
        <v>15</v>
      </c>
      <c r="C73" s="122" t="s">
        <v>1690</v>
      </c>
      <c r="D73" s="122"/>
      <c r="E73" s="122"/>
      <c r="F73" s="2"/>
    </row>
    <row r="74" spans="2:6" ht="15" customHeight="1" x14ac:dyDescent="0.25">
      <c r="B74" s="1"/>
      <c r="C74" s="122"/>
      <c r="D74" s="122"/>
      <c r="E74" s="122"/>
      <c r="F74" s="2"/>
    </row>
    <row r="75" spans="2:6" ht="15" customHeight="1" x14ac:dyDescent="0.25">
      <c r="B75" s="1"/>
      <c r="C75" s="122"/>
      <c r="D75" s="122"/>
      <c r="E75" s="122"/>
      <c r="F75" s="2"/>
    </row>
    <row r="76" spans="2:6" ht="15" customHeight="1" x14ac:dyDescent="0.25">
      <c r="B76" s="1"/>
      <c r="C76" s="122"/>
      <c r="D76" s="122"/>
      <c r="E76" s="122"/>
      <c r="F76" s="2"/>
    </row>
    <row r="77" spans="2:6" ht="15" customHeight="1" x14ac:dyDescent="0.25">
      <c r="B77" s="19" t="s">
        <v>15</v>
      </c>
      <c r="C77" s="122" t="s">
        <v>19</v>
      </c>
      <c r="D77" s="122"/>
      <c r="E77" s="122"/>
      <c r="F77" s="2"/>
    </row>
    <row r="78" spans="2:6" ht="15" customHeight="1" x14ac:dyDescent="0.25">
      <c r="B78" s="1"/>
      <c r="C78" s="122"/>
      <c r="D78" s="122"/>
      <c r="E78" s="122"/>
      <c r="F78" s="2"/>
    </row>
    <row r="79" spans="2:6" ht="15" customHeight="1" x14ac:dyDescent="0.25">
      <c r="B79" s="1"/>
      <c r="C79" s="122"/>
      <c r="D79" s="122"/>
      <c r="E79" s="122"/>
      <c r="F79" s="2"/>
    </row>
    <row r="80" spans="2:6" ht="15" customHeight="1" x14ac:dyDescent="0.25">
      <c r="B80" s="3"/>
      <c r="C80" s="8">
        <v>5</v>
      </c>
      <c r="D80" s="4"/>
      <c r="E80" s="9">
        <v>45691</v>
      </c>
      <c r="F80" s="5"/>
    </row>
  </sheetData>
  <sheetProtection algorithmName="SHA-512" hashValue="EsNJOR+n1RZBDCXeMB2109IZfKBq/Tb4ysIM+czh+9uJCD2HOU2a0pF0pFZqy/8l9GPj9QNB9wruQ51Ry4pykw==" saltValue="ZXJNjstmFm3RzCUa9338mw==" spinCount="100000" sheet="1" objects="1" scenarios="1" selectLockedCells="1" selectUnlockedCells="1"/>
  <mergeCells count="28">
    <mergeCell ref="C37:E38"/>
    <mergeCell ref="C77:E79"/>
    <mergeCell ref="C39:E41"/>
    <mergeCell ref="C42:E43"/>
    <mergeCell ref="C44:E46"/>
    <mergeCell ref="C62:E70"/>
    <mergeCell ref="C71:E71"/>
    <mergeCell ref="C47:E47"/>
    <mergeCell ref="C49:E52"/>
    <mergeCell ref="C53:E55"/>
    <mergeCell ref="C56:E59"/>
    <mergeCell ref="C73:E76"/>
    <mergeCell ref="C4:E5"/>
    <mergeCell ref="C6:E6"/>
    <mergeCell ref="C31:E31"/>
    <mergeCell ref="C60:E60"/>
    <mergeCell ref="C8:E9"/>
    <mergeCell ref="C12:E13"/>
    <mergeCell ref="C14:E16"/>
    <mergeCell ref="C17:E19"/>
    <mergeCell ref="C20:E21"/>
    <mergeCell ref="C22:E24"/>
    <mergeCell ref="C25:E26"/>
    <mergeCell ref="C29:E30"/>
    <mergeCell ref="C33:E34"/>
    <mergeCell ref="C35:E36"/>
    <mergeCell ref="C10:E11"/>
    <mergeCell ref="C27:E28"/>
  </mergeCells>
  <printOptions horizontalCentered="1"/>
  <pageMargins left="0.25" right="0.25" top="0.25" bottom="0.25" header="0" footer="0"/>
  <pageSetup scale="8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708E1-D9B1-4D8C-954B-CE68D376773A}">
  <sheetPr codeName="Sheet2">
    <tabColor rgb="FF046A38"/>
    <pageSetUpPr fitToPage="1"/>
  </sheetPr>
  <dimension ref="B1:G539"/>
  <sheetViews>
    <sheetView showGridLines="0" showRowColHeaders="0" zoomScaleNormal="100" workbookViewId="0">
      <selection activeCell="C7" sqref="C7:D7"/>
    </sheetView>
  </sheetViews>
  <sheetFormatPr defaultColWidth="9.140625" defaultRowHeight="15" customHeight="1" x14ac:dyDescent="0.25"/>
  <cols>
    <col min="1" max="3" width="5.7109375" customWidth="1"/>
    <col min="4" max="4" width="4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32" t="s">
        <v>0</v>
      </c>
      <c r="D4" s="132"/>
      <c r="E4" s="132"/>
      <c r="F4" s="132"/>
      <c r="G4" s="7"/>
    </row>
    <row r="5" spans="2:7" ht="15" customHeight="1" x14ac:dyDescent="0.25">
      <c r="B5" s="1"/>
      <c r="C5" s="101"/>
      <c r="D5" s="101"/>
      <c r="E5" s="101"/>
      <c r="F5" s="101"/>
      <c r="G5" s="2"/>
    </row>
    <row r="6" spans="2:7" ht="15" customHeight="1" x14ac:dyDescent="0.25">
      <c r="B6" s="1"/>
      <c r="C6" s="101" t="s">
        <v>2369</v>
      </c>
      <c r="D6" s="101"/>
      <c r="E6" s="101"/>
      <c r="F6" s="101"/>
      <c r="G6" s="2"/>
    </row>
    <row r="7" spans="2:7" ht="15" customHeight="1" x14ac:dyDescent="0.25">
      <c r="B7" s="1"/>
      <c r="C7" s="133"/>
      <c r="D7" s="134"/>
      <c r="E7" s="101"/>
      <c r="F7" s="101"/>
      <c r="G7" s="2"/>
    </row>
    <row r="8" spans="2:7" ht="15" customHeight="1" x14ac:dyDescent="0.25">
      <c r="B8" s="1"/>
      <c r="C8" s="101"/>
      <c r="D8" s="101"/>
      <c r="E8" s="101"/>
      <c r="F8" s="101"/>
      <c r="G8" s="2"/>
    </row>
    <row r="9" spans="2:7" ht="15" customHeight="1" x14ac:dyDescent="0.25">
      <c r="B9" s="1"/>
      <c r="C9" s="101" t="s">
        <v>21</v>
      </c>
      <c r="D9" s="101"/>
      <c r="E9" s="101"/>
      <c r="F9" s="101" t="s">
        <v>22</v>
      </c>
      <c r="G9" s="2"/>
    </row>
    <row r="10" spans="2:7" ht="15" customHeight="1" x14ac:dyDescent="0.25">
      <c r="B10" s="1"/>
      <c r="C10" s="133"/>
      <c r="D10" s="134"/>
      <c r="E10" s="101"/>
      <c r="F10" s="10"/>
      <c r="G10" s="2"/>
    </row>
    <row r="11" spans="2:7" ht="15" customHeight="1" x14ac:dyDescent="0.25">
      <c r="B11" s="1"/>
      <c r="C11" s="101"/>
      <c r="D11" s="101"/>
      <c r="E11" s="101"/>
      <c r="F11" s="101"/>
      <c r="G11" s="2"/>
    </row>
    <row r="12" spans="2:7" ht="15" customHeight="1" x14ac:dyDescent="0.25">
      <c r="B12" s="1"/>
      <c r="C12" s="101" t="s">
        <v>27</v>
      </c>
      <c r="D12" s="101"/>
      <c r="E12" s="101"/>
      <c r="F12" s="101"/>
      <c r="G12" s="2"/>
    </row>
    <row r="13" spans="2:7" ht="15" customHeight="1" x14ac:dyDescent="0.25">
      <c r="B13" s="1"/>
      <c r="C13" s="135"/>
      <c r="D13" s="136"/>
      <c r="E13" s="101"/>
      <c r="F13" s="101"/>
      <c r="G13" s="2"/>
    </row>
    <row r="14" spans="2:7" ht="15" customHeight="1" x14ac:dyDescent="0.25">
      <c r="B14" s="1"/>
      <c r="C14" s="101"/>
      <c r="D14" s="101"/>
      <c r="E14" s="101"/>
      <c r="F14" s="101"/>
      <c r="G14" s="2"/>
    </row>
    <row r="15" spans="2:7" ht="15" customHeight="1" x14ac:dyDescent="0.25">
      <c r="B15" s="1"/>
      <c r="C15" s="122" t="s">
        <v>101</v>
      </c>
      <c r="D15" s="122"/>
      <c r="E15" s="122"/>
      <c r="F15" s="122"/>
      <c r="G15" s="2"/>
    </row>
    <row r="16" spans="2:7" ht="15" customHeight="1" x14ac:dyDescent="0.25">
      <c r="B16" s="1"/>
      <c r="C16" s="135">
        <v>1</v>
      </c>
      <c r="D16" s="136"/>
      <c r="E16" s="101"/>
      <c r="F16" s="101"/>
      <c r="G16" s="2"/>
    </row>
    <row r="17" spans="2:7" ht="15" customHeight="1" x14ac:dyDescent="0.25">
      <c r="B17" s="1"/>
      <c r="C17" s="101"/>
      <c r="D17" s="101"/>
      <c r="E17" s="101"/>
      <c r="F17" s="101"/>
      <c r="G17" s="2"/>
    </row>
    <row r="18" spans="2:7" ht="15" customHeight="1" x14ac:dyDescent="0.25">
      <c r="B18" s="1"/>
      <c r="C18" s="122" t="s">
        <v>103</v>
      </c>
      <c r="D18" s="122"/>
      <c r="E18" s="122"/>
      <c r="F18" s="122"/>
      <c r="G18" s="2"/>
    </row>
    <row r="19" spans="2:7" ht="15" customHeight="1" x14ac:dyDescent="0.25">
      <c r="B19" s="1"/>
      <c r="C19" s="133"/>
      <c r="D19" s="134"/>
      <c r="E19" s="101"/>
      <c r="F19" s="101"/>
      <c r="G19" s="2"/>
    </row>
    <row r="20" spans="2:7" ht="15" customHeight="1" x14ac:dyDescent="0.25">
      <c r="B20" s="1"/>
      <c r="C20" s="101"/>
      <c r="D20" s="101"/>
      <c r="E20" s="101"/>
      <c r="F20" s="101"/>
      <c r="G20" s="2"/>
    </row>
    <row r="21" spans="2:7" ht="15" customHeight="1" x14ac:dyDescent="0.25">
      <c r="B21" s="1"/>
      <c r="C21" s="122" t="s">
        <v>102</v>
      </c>
      <c r="D21" s="122"/>
      <c r="E21" s="122"/>
      <c r="F21" s="122"/>
      <c r="G21" s="2"/>
    </row>
    <row r="22" spans="2:7" ht="15" customHeight="1" x14ac:dyDescent="0.25">
      <c r="B22" s="1"/>
      <c r="C22" s="133"/>
      <c r="D22" s="134"/>
      <c r="E22" s="101"/>
      <c r="F22" s="101"/>
      <c r="G22" s="2"/>
    </row>
    <row r="23" spans="2:7" ht="15" hidden="1" customHeight="1" x14ac:dyDescent="0.25">
      <c r="B23" s="1"/>
      <c r="C23" s="101"/>
      <c r="D23" s="101"/>
      <c r="E23" s="101"/>
      <c r="F23" s="101"/>
      <c r="G23" s="2"/>
    </row>
    <row r="24" spans="2:7" ht="15" hidden="1" customHeight="1" x14ac:dyDescent="0.25">
      <c r="B24" s="1"/>
      <c r="C24" s="122" t="s">
        <v>28</v>
      </c>
      <c r="D24" s="122"/>
      <c r="E24" s="122"/>
      <c r="F24" s="122"/>
      <c r="G24" s="2"/>
    </row>
    <row r="25" spans="2:7" ht="15" hidden="1" customHeight="1" x14ac:dyDescent="0.25">
      <c r="B25" s="1"/>
      <c r="C25" s="130"/>
      <c r="D25" s="131"/>
      <c r="E25" s="101"/>
      <c r="F25" s="101"/>
      <c r="G25" s="2"/>
    </row>
    <row r="26" spans="2:7" ht="15" hidden="1" customHeight="1" x14ac:dyDescent="0.25">
      <c r="B26" s="1"/>
      <c r="C26" s="101"/>
      <c r="D26" s="101"/>
      <c r="E26" s="101"/>
      <c r="F26" s="101"/>
      <c r="G26" s="2"/>
    </row>
    <row r="27" spans="2:7" ht="15" hidden="1" customHeight="1" x14ac:dyDescent="0.25">
      <c r="B27" s="1"/>
      <c r="C27" s="122" t="s">
        <v>23</v>
      </c>
      <c r="D27" s="122"/>
      <c r="E27" s="122"/>
      <c r="F27" s="122"/>
      <c r="G27" s="2"/>
    </row>
    <row r="28" spans="2:7" ht="15" hidden="1" customHeight="1" x14ac:dyDescent="0.25">
      <c r="B28" s="1"/>
      <c r="C28" s="128"/>
      <c r="D28" s="129"/>
      <c r="E28" s="101"/>
      <c r="F28" s="101"/>
      <c r="G28" s="2"/>
    </row>
    <row r="29" spans="2:7" ht="15" hidden="1" customHeight="1" x14ac:dyDescent="0.25">
      <c r="B29" s="1"/>
      <c r="C29" s="101"/>
      <c r="D29" s="101"/>
      <c r="E29" s="101"/>
      <c r="F29" s="101"/>
      <c r="G29" s="2"/>
    </row>
    <row r="30" spans="2:7" ht="15" hidden="1" customHeight="1" x14ac:dyDescent="0.25">
      <c r="B30" s="1"/>
      <c r="C30" s="122" t="s">
        <v>24</v>
      </c>
      <c r="D30" s="122"/>
      <c r="E30" s="122"/>
      <c r="F30" s="122"/>
      <c r="G30" s="2"/>
    </row>
    <row r="31" spans="2:7" ht="15" hidden="1" customHeight="1" x14ac:dyDescent="0.25">
      <c r="B31" s="1"/>
      <c r="C31" s="114" t="s">
        <v>25</v>
      </c>
      <c r="D31" s="103" t="s">
        <v>26</v>
      </c>
      <c r="E31" s="101"/>
      <c r="F31" s="101"/>
      <c r="G31" s="2"/>
    </row>
    <row r="32" spans="2:7" ht="15" hidden="1" customHeight="1" x14ac:dyDescent="0.25">
      <c r="B32" s="1"/>
      <c r="C32" s="115">
        <v>1</v>
      </c>
      <c r="D32" s="14"/>
      <c r="E32" s="101"/>
      <c r="F32" s="101"/>
      <c r="G32" s="2"/>
    </row>
    <row r="33" spans="2:7" ht="15" hidden="1" customHeight="1" x14ac:dyDescent="0.25">
      <c r="B33" s="1"/>
      <c r="C33" s="115">
        <v>2</v>
      </c>
      <c r="D33" s="14"/>
      <c r="E33" s="101"/>
      <c r="F33" s="101"/>
      <c r="G33" s="2"/>
    </row>
    <row r="34" spans="2:7" ht="15" hidden="1" customHeight="1" x14ac:dyDescent="0.25">
      <c r="B34" s="1"/>
      <c r="C34" s="115">
        <v>3</v>
      </c>
      <c r="D34" s="14"/>
      <c r="E34" s="101"/>
      <c r="F34" s="101"/>
      <c r="G34" s="2"/>
    </row>
    <row r="35" spans="2:7" ht="15" hidden="1" customHeight="1" x14ac:dyDescent="0.25">
      <c r="B35" s="1"/>
      <c r="C35" s="115">
        <v>4</v>
      </c>
      <c r="D35" s="14"/>
      <c r="E35" s="101"/>
      <c r="F35" s="101"/>
      <c r="G35" s="2"/>
    </row>
    <row r="36" spans="2:7" ht="15" hidden="1" customHeight="1" x14ac:dyDescent="0.25">
      <c r="B36" s="1"/>
      <c r="C36" s="115">
        <v>5</v>
      </c>
      <c r="D36" s="14"/>
      <c r="E36" s="101"/>
      <c r="F36" s="101"/>
      <c r="G36" s="2"/>
    </row>
    <row r="37" spans="2:7" ht="15" hidden="1" customHeight="1" x14ac:dyDescent="0.25">
      <c r="B37" s="1"/>
      <c r="C37" s="115">
        <v>6</v>
      </c>
      <c r="D37" s="14"/>
      <c r="E37" s="101"/>
      <c r="F37" s="101"/>
      <c r="G37" s="2"/>
    </row>
    <row r="38" spans="2:7" ht="15" hidden="1" customHeight="1" x14ac:dyDescent="0.25">
      <c r="B38" s="1"/>
      <c r="C38" s="115">
        <v>7</v>
      </c>
      <c r="D38" s="14"/>
      <c r="E38" s="101"/>
      <c r="F38" s="101"/>
      <c r="G38" s="2"/>
    </row>
    <row r="39" spans="2:7" ht="15" hidden="1" customHeight="1" x14ac:dyDescent="0.25">
      <c r="B39" s="1"/>
      <c r="C39" s="115">
        <v>8</v>
      </c>
      <c r="D39" s="14"/>
      <c r="E39" s="101"/>
      <c r="F39" s="101"/>
      <c r="G39" s="2"/>
    </row>
    <row r="40" spans="2:7" ht="15" hidden="1" customHeight="1" x14ac:dyDescent="0.25">
      <c r="B40" s="1"/>
      <c r="C40" s="115">
        <v>9</v>
      </c>
      <c r="D40" s="14"/>
      <c r="E40" s="101"/>
      <c r="F40" s="101"/>
      <c r="G40" s="2"/>
    </row>
    <row r="41" spans="2:7" ht="15" hidden="1" customHeight="1" x14ac:dyDescent="0.25">
      <c r="B41" s="1"/>
      <c r="C41" s="115">
        <v>10</v>
      </c>
      <c r="D41" s="14"/>
      <c r="E41" s="101"/>
      <c r="F41" s="101"/>
      <c r="G41" s="2"/>
    </row>
    <row r="42" spans="2:7" ht="15" hidden="1" customHeight="1" x14ac:dyDescent="0.25">
      <c r="B42" s="1"/>
      <c r="C42" s="115">
        <v>11</v>
      </c>
      <c r="D42" s="14"/>
      <c r="E42" s="101"/>
      <c r="F42" s="101"/>
      <c r="G42" s="2"/>
    </row>
    <row r="43" spans="2:7" ht="15" hidden="1" customHeight="1" x14ac:dyDescent="0.25">
      <c r="B43" s="1"/>
      <c r="C43" s="115">
        <v>12</v>
      </c>
      <c r="D43" s="14"/>
      <c r="E43" s="101"/>
      <c r="F43" s="101"/>
      <c r="G43" s="2"/>
    </row>
    <row r="44" spans="2:7" ht="15" hidden="1" customHeight="1" x14ac:dyDescent="0.25">
      <c r="B44" s="1"/>
      <c r="C44" s="115">
        <v>13</v>
      </c>
      <c r="D44" s="14"/>
      <c r="E44" s="101"/>
      <c r="F44" s="101"/>
      <c r="G44" s="2"/>
    </row>
    <row r="45" spans="2:7" ht="15" hidden="1" customHeight="1" x14ac:dyDescent="0.25">
      <c r="B45" s="1"/>
      <c r="C45" s="115">
        <v>14</v>
      </c>
      <c r="D45" s="14"/>
      <c r="E45" s="101"/>
      <c r="F45" s="101"/>
      <c r="G45" s="2"/>
    </row>
    <row r="46" spans="2:7" ht="15" hidden="1" customHeight="1" x14ac:dyDescent="0.25">
      <c r="B46" s="1"/>
      <c r="C46" s="115">
        <v>15</v>
      </c>
      <c r="D46" s="14"/>
      <c r="E46" s="101"/>
      <c r="F46" s="101"/>
      <c r="G46" s="2"/>
    </row>
    <row r="47" spans="2:7" ht="15" hidden="1" customHeight="1" x14ac:dyDescent="0.25">
      <c r="B47" s="1"/>
      <c r="C47" s="115">
        <v>16</v>
      </c>
      <c r="D47" s="14"/>
      <c r="E47" s="101"/>
      <c r="F47" s="101"/>
      <c r="G47" s="2"/>
    </row>
    <row r="48" spans="2:7" ht="15" hidden="1" customHeight="1" x14ac:dyDescent="0.25">
      <c r="B48" s="1"/>
      <c r="C48" s="115">
        <v>17</v>
      </c>
      <c r="D48" s="14"/>
      <c r="E48" s="101"/>
      <c r="F48" s="101"/>
      <c r="G48" s="2"/>
    </row>
    <row r="49" spans="2:7" ht="15" hidden="1" customHeight="1" x14ac:dyDescent="0.25">
      <c r="B49" s="1"/>
      <c r="C49" s="115">
        <v>18</v>
      </c>
      <c r="D49" s="14"/>
      <c r="E49" s="101"/>
      <c r="F49" s="101"/>
      <c r="G49" s="2"/>
    </row>
    <row r="50" spans="2:7" ht="15" hidden="1" customHeight="1" x14ac:dyDescent="0.25">
      <c r="B50" s="1"/>
      <c r="C50" s="115">
        <v>19</v>
      </c>
      <c r="D50" s="14"/>
      <c r="E50" s="101"/>
      <c r="F50" s="101"/>
      <c r="G50" s="2"/>
    </row>
    <row r="51" spans="2:7" ht="15" hidden="1" customHeight="1" x14ac:dyDescent="0.25">
      <c r="B51" s="1"/>
      <c r="C51" s="115">
        <v>20</v>
      </c>
      <c r="D51" s="14"/>
      <c r="E51" s="101"/>
      <c r="F51" s="101"/>
      <c r="G51" s="2"/>
    </row>
    <row r="52" spans="2:7" ht="15" hidden="1" customHeight="1" x14ac:dyDescent="0.25">
      <c r="B52" s="1"/>
      <c r="C52" s="115">
        <v>21</v>
      </c>
      <c r="D52" s="14"/>
      <c r="E52" s="101"/>
      <c r="F52" s="101"/>
      <c r="G52" s="2"/>
    </row>
    <row r="53" spans="2:7" ht="15" hidden="1" customHeight="1" x14ac:dyDescent="0.25">
      <c r="B53" s="1"/>
      <c r="C53" s="115">
        <v>22</v>
      </c>
      <c r="D53" s="14"/>
      <c r="E53" s="101"/>
      <c r="F53" s="101"/>
      <c r="G53" s="2"/>
    </row>
    <row r="54" spans="2:7" ht="15" hidden="1" customHeight="1" x14ac:dyDescent="0.25">
      <c r="B54" s="1"/>
      <c r="C54" s="115">
        <v>23</v>
      </c>
      <c r="D54" s="14"/>
      <c r="E54" s="101"/>
      <c r="F54" s="101"/>
      <c r="G54" s="2"/>
    </row>
    <row r="55" spans="2:7" ht="15" hidden="1" customHeight="1" x14ac:dyDescent="0.25">
      <c r="B55" s="1"/>
      <c r="C55" s="115">
        <v>24</v>
      </c>
      <c r="D55" s="14"/>
      <c r="E55" s="101"/>
      <c r="F55" s="101"/>
      <c r="G55" s="2"/>
    </row>
    <row r="56" spans="2:7" ht="15" hidden="1" customHeight="1" x14ac:dyDescent="0.25">
      <c r="B56" s="1"/>
      <c r="C56" s="115">
        <v>25</v>
      </c>
      <c r="D56" s="14"/>
      <c r="E56" s="101"/>
      <c r="F56" s="101"/>
      <c r="G56" s="2"/>
    </row>
    <row r="57" spans="2:7" ht="15" hidden="1" customHeight="1" x14ac:dyDescent="0.25">
      <c r="B57" s="1"/>
      <c r="C57" s="115">
        <v>26</v>
      </c>
      <c r="D57" s="14"/>
      <c r="E57" s="101"/>
      <c r="F57" s="101"/>
      <c r="G57" s="2"/>
    </row>
    <row r="58" spans="2:7" ht="15" hidden="1" customHeight="1" x14ac:dyDescent="0.25">
      <c r="B58" s="1"/>
      <c r="C58" s="115">
        <v>27</v>
      </c>
      <c r="D58" s="14"/>
      <c r="E58" s="101"/>
      <c r="F58" s="101"/>
      <c r="G58" s="2"/>
    </row>
    <row r="59" spans="2:7" ht="15" hidden="1" customHeight="1" x14ac:dyDescent="0.25">
      <c r="B59" s="1"/>
      <c r="C59" s="115">
        <v>28</v>
      </c>
      <c r="D59" s="14"/>
      <c r="E59" s="101"/>
      <c r="F59" s="101"/>
      <c r="G59" s="2"/>
    </row>
    <row r="60" spans="2:7" ht="15" hidden="1" customHeight="1" x14ac:dyDescent="0.25">
      <c r="B60" s="1"/>
      <c r="C60" s="115">
        <v>29</v>
      </c>
      <c r="D60" s="14"/>
      <c r="E60" s="101"/>
      <c r="F60" s="101"/>
      <c r="G60" s="2"/>
    </row>
    <row r="61" spans="2:7" ht="15" hidden="1" customHeight="1" x14ac:dyDescent="0.25">
      <c r="B61" s="1"/>
      <c r="C61" s="115">
        <v>30</v>
      </c>
      <c r="D61" s="14"/>
      <c r="E61" s="101"/>
      <c r="F61" s="101"/>
      <c r="G61" s="2"/>
    </row>
    <row r="62" spans="2:7" ht="15" hidden="1" customHeight="1" x14ac:dyDescent="0.25">
      <c r="B62" s="1"/>
      <c r="C62" s="115">
        <v>31</v>
      </c>
      <c r="D62" s="14"/>
      <c r="E62" s="101"/>
      <c r="F62" s="101"/>
      <c r="G62" s="2"/>
    </row>
    <row r="63" spans="2:7" ht="15" hidden="1" customHeight="1" x14ac:dyDescent="0.25">
      <c r="B63" s="1"/>
      <c r="C63" s="115">
        <v>32</v>
      </c>
      <c r="D63" s="14"/>
      <c r="E63" s="101"/>
      <c r="F63" s="101"/>
      <c r="G63" s="2"/>
    </row>
    <row r="64" spans="2:7" ht="15" hidden="1" customHeight="1" x14ac:dyDescent="0.25">
      <c r="B64" s="1"/>
      <c r="C64" s="115">
        <v>33</v>
      </c>
      <c r="D64" s="14"/>
      <c r="E64" s="101"/>
      <c r="F64" s="101"/>
      <c r="G64" s="2"/>
    </row>
    <row r="65" spans="2:7" ht="15" hidden="1" customHeight="1" x14ac:dyDescent="0.25">
      <c r="B65" s="1"/>
      <c r="C65" s="115">
        <v>34</v>
      </c>
      <c r="D65" s="14"/>
      <c r="E65" s="101"/>
      <c r="F65" s="101"/>
      <c r="G65" s="2"/>
    </row>
    <row r="66" spans="2:7" ht="15" hidden="1" customHeight="1" x14ac:dyDescent="0.25">
      <c r="B66" s="1"/>
      <c r="C66" s="115">
        <v>35</v>
      </c>
      <c r="D66" s="14"/>
      <c r="E66" s="101"/>
      <c r="F66" s="101"/>
      <c r="G66" s="2"/>
    </row>
    <row r="67" spans="2:7" ht="15" hidden="1" customHeight="1" x14ac:dyDescent="0.25">
      <c r="B67" s="1"/>
      <c r="C67" s="115">
        <v>36</v>
      </c>
      <c r="D67" s="14"/>
      <c r="E67" s="101"/>
      <c r="F67" s="101"/>
      <c r="G67" s="2"/>
    </row>
    <row r="68" spans="2:7" ht="15" hidden="1" customHeight="1" x14ac:dyDescent="0.25">
      <c r="B68" s="1"/>
      <c r="C68" s="115">
        <v>37</v>
      </c>
      <c r="D68" s="14"/>
      <c r="E68" s="101"/>
      <c r="F68" s="101"/>
      <c r="G68" s="2"/>
    </row>
    <row r="69" spans="2:7" ht="15" hidden="1" customHeight="1" x14ac:dyDescent="0.25">
      <c r="B69" s="1"/>
      <c r="C69" s="115">
        <v>38</v>
      </c>
      <c r="D69" s="14"/>
      <c r="E69" s="101"/>
      <c r="F69" s="101"/>
      <c r="G69" s="2"/>
    </row>
    <row r="70" spans="2:7" ht="15" hidden="1" customHeight="1" x14ac:dyDescent="0.25">
      <c r="B70" s="1"/>
      <c r="C70" s="115">
        <v>39</v>
      </c>
      <c r="D70" s="14"/>
      <c r="E70" s="101"/>
      <c r="F70" s="101"/>
      <c r="G70" s="2"/>
    </row>
    <row r="71" spans="2:7" ht="15" hidden="1" customHeight="1" x14ac:dyDescent="0.25">
      <c r="B71" s="1"/>
      <c r="C71" s="115">
        <v>40</v>
      </c>
      <c r="D71" s="14"/>
      <c r="E71" s="101"/>
      <c r="F71" s="101"/>
      <c r="G71" s="2"/>
    </row>
    <row r="72" spans="2:7" ht="15" hidden="1" customHeight="1" x14ac:dyDescent="0.25">
      <c r="B72" s="1"/>
      <c r="C72" s="115">
        <v>41</v>
      </c>
      <c r="D72" s="14"/>
      <c r="E72" s="101"/>
      <c r="F72" s="101"/>
      <c r="G72" s="2"/>
    </row>
    <row r="73" spans="2:7" ht="15" hidden="1" customHeight="1" x14ac:dyDescent="0.25">
      <c r="B73" s="1"/>
      <c r="C73" s="115">
        <v>42</v>
      </c>
      <c r="D73" s="14"/>
      <c r="E73" s="101"/>
      <c r="F73" s="101"/>
      <c r="G73" s="2"/>
    </row>
    <row r="74" spans="2:7" ht="15" hidden="1" customHeight="1" x14ac:dyDescent="0.25">
      <c r="B74" s="1"/>
      <c r="C74" s="115">
        <v>43</v>
      </c>
      <c r="D74" s="14"/>
      <c r="E74" s="101"/>
      <c r="F74" s="101"/>
      <c r="G74" s="2"/>
    </row>
    <row r="75" spans="2:7" ht="15" hidden="1" customHeight="1" x14ac:dyDescent="0.25">
      <c r="B75" s="1"/>
      <c r="C75" s="115">
        <v>44</v>
      </c>
      <c r="D75" s="14"/>
      <c r="E75" s="101"/>
      <c r="F75" s="101"/>
      <c r="G75" s="2"/>
    </row>
    <row r="76" spans="2:7" ht="15" hidden="1" customHeight="1" x14ac:dyDescent="0.25">
      <c r="B76" s="1"/>
      <c r="C76" s="115">
        <v>45</v>
      </c>
      <c r="D76" s="14"/>
      <c r="E76" s="101"/>
      <c r="F76" s="101"/>
      <c r="G76" s="2"/>
    </row>
    <row r="77" spans="2:7" ht="15" hidden="1" customHeight="1" x14ac:dyDescent="0.25">
      <c r="B77" s="1"/>
      <c r="C77" s="115">
        <v>46</v>
      </c>
      <c r="D77" s="14"/>
      <c r="E77" s="101"/>
      <c r="F77" s="101"/>
      <c r="G77" s="2"/>
    </row>
    <row r="78" spans="2:7" ht="15" hidden="1" customHeight="1" x14ac:dyDescent="0.25">
      <c r="B78" s="1"/>
      <c r="C78" s="115">
        <v>47</v>
      </c>
      <c r="D78" s="14"/>
      <c r="E78" s="101"/>
      <c r="F78" s="101"/>
      <c r="G78" s="2"/>
    </row>
    <row r="79" spans="2:7" ht="15" hidden="1" customHeight="1" x14ac:dyDescent="0.25">
      <c r="B79" s="1"/>
      <c r="C79" s="115">
        <v>48</v>
      </c>
      <c r="D79" s="14"/>
      <c r="E79" s="101"/>
      <c r="F79" s="101"/>
      <c r="G79" s="2"/>
    </row>
    <row r="80" spans="2:7" ht="15" hidden="1" customHeight="1" x14ac:dyDescent="0.25">
      <c r="B80" s="1"/>
      <c r="C80" s="115">
        <v>49</v>
      </c>
      <c r="D80" s="14"/>
      <c r="E80" s="101"/>
      <c r="F80" s="101"/>
      <c r="G80" s="2"/>
    </row>
    <row r="81" spans="2:7" ht="15" hidden="1" customHeight="1" x14ac:dyDescent="0.25">
      <c r="B81" s="1"/>
      <c r="C81" s="115">
        <v>50</v>
      </c>
      <c r="D81" s="14"/>
      <c r="E81" s="101"/>
      <c r="F81" s="101"/>
      <c r="G81" s="2"/>
    </row>
    <row r="82" spans="2:7" ht="15" hidden="1" customHeight="1" x14ac:dyDescent="0.25">
      <c r="B82" s="1"/>
      <c r="C82" s="115">
        <v>51</v>
      </c>
      <c r="D82" s="14"/>
      <c r="E82" s="101"/>
      <c r="F82" s="101"/>
      <c r="G82" s="2"/>
    </row>
    <row r="83" spans="2:7" ht="15" hidden="1" customHeight="1" x14ac:dyDescent="0.25">
      <c r="B83" s="1"/>
      <c r="C83" s="115">
        <v>52</v>
      </c>
      <c r="D83" s="14"/>
      <c r="E83" s="101"/>
      <c r="F83" s="101"/>
      <c r="G83" s="2"/>
    </row>
    <row r="84" spans="2:7" ht="15" hidden="1" customHeight="1" x14ac:dyDescent="0.25">
      <c r="B84" s="1"/>
      <c r="C84" s="115">
        <v>53</v>
      </c>
      <c r="D84" s="14"/>
      <c r="E84" s="101"/>
      <c r="F84" s="101"/>
      <c r="G84" s="2"/>
    </row>
    <row r="85" spans="2:7" ht="15" hidden="1" customHeight="1" x14ac:dyDescent="0.25">
      <c r="B85" s="1"/>
      <c r="C85" s="115">
        <v>54</v>
      </c>
      <c r="D85" s="14"/>
      <c r="E85" s="101"/>
      <c r="F85" s="101"/>
      <c r="G85" s="2"/>
    </row>
    <row r="86" spans="2:7" ht="15" hidden="1" customHeight="1" x14ac:dyDescent="0.25">
      <c r="B86" s="1"/>
      <c r="C86" s="115">
        <v>55</v>
      </c>
      <c r="D86" s="14"/>
      <c r="E86" s="101"/>
      <c r="F86" s="101"/>
      <c r="G86" s="2"/>
    </row>
    <row r="87" spans="2:7" ht="15" hidden="1" customHeight="1" x14ac:dyDescent="0.25">
      <c r="B87" s="1"/>
      <c r="C87" s="115">
        <v>56</v>
      </c>
      <c r="D87" s="14"/>
      <c r="E87" s="101"/>
      <c r="F87" s="101"/>
      <c r="G87" s="2"/>
    </row>
    <row r="88" spans="2:7" ht="15" hidden="1" customHeight="1" x14ac:dyDescent="0.25">
      <c r="B88" s="1"/>
      <c r="C88" s="115">
        <v>57</v>
      </c>
      <c r="D88" s="14"/>
      <c r="E88" s="101"/>
      <c r="F88" s="101"/>
      <c r="G88" s="2"/>
    </row>
    <row r="89" spans="2:7" ht="15" hidden="1" customHeight="1" x14ac:dyDescent="0.25">
      <c r="B89" s="1"/>
      <c r="C89" s="115">
        <v>58</v>
      </c>
      <c r="D89" s="14"/>
      <c r="E89" s="101"/>
      <c r="F89" s="101"/>
      <c r="G89" s="2"/>
    </row>
    <row r="90" spans="2:7" ht="15" hidden="1" customHeight="1" x14ac:dyDescent="0.25">
      <c r="B90" s="1"/>
      <c r="C90" s="115">
        <v>59</v>
      </c>
      <c r="D90" s="14"/>
      <c r="E90" s="101"/>
      <c r="F90" s="101"/>
      <c r="G90" s="2"/>
    </row>
    <row r="91" spans="2:7" ht="15" hidden="1" customHeight="1" x14ac:dyDescent="0.25">
      <c r="B91" s="1"/>
      <c r="C91" s="115">
        <v>60</v>
      </c>
      <c r="D91" s="14"/>
      <c r="E91" s="101"/>
      <c r="F91" s="101"/>
      <c r="G91" s="2"/>
    </row>
    <row r="92" spans="2:7" ht="15" hidden="1" customHeight="1" x14ac:dyDescent="0.25">
      <c r="B92" s="1"/>
      <c r="C92" s="115">
        <v>61</v>
      </c>
      <c r="D92" s="14"/>
      <c r="E92" s="101"/>
      <c r="F92" s="101"/>
      <c r="G92" s="2"/>
    </row>
    <row r="93" spans="2:7" ht="15" hidden="1" customHeight="1" x14ac:dyDescent="0.25">
      <c r="B93" s="1"/>
      <c r="C93" s="115">
        <v>62</v>
      </c>
      <c r="D93" s="14"/>
      <c r="E93" s="101"/>
      <c r="F93" s="101"/>
      <c r="G93" s="2"/>
    </row>
    <row r="94" spans="2:7" ht="15" hidden="1" customHeight="1" x14ac:dyDescent="0.25">
      <c r="B94" s="1"/>
      <c r="C94" s="115">
        <v>63</v>
      </c>
      <c r="D94" s="14"/>
      <c r="E94" s="101"/>
      <c r="F94" s="101"/>
      <c r="G94" s="2"/>
    </row>
    <row r="95" spans="2:7" ht="15" hidden="1" customHeight="1" x14ac:dyDescent="0.25">
      <c r="B95" s="1"/>
      <c r="C95" s="115">
        <v>64</v>
      </c>
      <c r="D95" s="14"/>
      <c r="E95" s="101"/>
      <c r="F95" s="101"/>
      <c r="G95" s="2"/>
    </row>
    <row r="96" spans="2:7" ht="15" hidden="1" customHeight="1" x14ac:dyDescent="0.25">
      <c r="B96" s="1"/>
      <c r="C96" s="115">
        <v>65</v>
      </c>
      <c r="D96" s="14"/>
      <c r="E96" s="101"/>
      <c r="F96" s="101"/>
      <c r="G96" s="2"/>
    </row>
    <row r="97" spans="2:7" ht="15" hidden="1" customHeight="1" x14ac:dyDescent="0.25">
      <c r="B97" s="1"/>
      <c r="C97" s="115">
        <v>66</v>
      </c>
      <c r="D97" s="14"/>
      <c r="E97" s="101"/>
      <c r="F97" s="101"/>
      <c r="G97" s="2"/>
    </row>
    <row r="98" spans="2:7" ht="15" hidden="1" customHeight="1" x14ac:dyDescent="0.25">
      <c r="B98" s="1"/>
      <c r="C98" s="115">
        <v>67</v>
      </c>
      <c r="D98" s="14"/>
      <c r="E98" s="101"/>
      <c r="F98" s="101"/>
      <c r="G98" s="2"/>
    </row>
    <row r="99" spans="2:7" ht="15" hidden="1" customHeight="1" x14ac:dyDescent="0.25">
      <c r="B99" s="1"/>
      <c r="C99" s="115">
        <v>68</v>
      </c>
      <c r="D99" s="14"/>
      <c r="E99" s="101"/>
      <c r="F99" s="101"/>
      <c r="G99" s="2"/>
    </row>
    <row r="100" spans="2:7" ht="15" hidden="1" customHeight="1" x14ac:dyDescent="0.25">
      <c r="B100" s="1"/>
      <c r="C100" s="115">
        <v>69</v>
      </c>
      <c r="D100" s="14"/>
      <c r="E100" s="101"/>
      <c r="F100" s="101"/>
      <c r="G100" s="2"/>
    </row>
    <row r="101" spans="2:7" ht="15" hidden="1" customHeight="1" x14ac:dyDescent="0.25">
      <c r="B101" s="1"/>
      <c r="C101" s="115">
        <v>70</v>
      </c>
      <c r="D101" s="14"/>
      <c r="E101" s="101"/>
      <c r="F101" s="101"/>
      <c r="G101" s="2"/>
    </row>
    <row r="102" spans="2:7" ht="15" hidden="1" customHeight="1" x14ac:dyDescent="0.25">
      <c r="B102" s="1"/>
      <c r="C102" s="115">
        <v>71</v>
      </c>
      <c r="D102" s="14"/>
      <c r="E102" s="101"/>
      <c r="F102" s="101"/>
      <c r="G102" s="2"/>
    </row>
    <row r="103" spans="2:7" ht="15" hidden="1" customHeight="1" x14ac:dyDescent="0.25">
      <c r="B103" s="1"/>
      <c r="C103" s="115">
        <v>72</v>
      </c>
      <c r="D103" s="14"/>
      <c r="E103" s="101"/>
      <c r="F103" s="101"/>
      <c r="G103" s="2"/>
    </row>
    <row r="104" spans="2:7" ht="15" hidden="1" customHeight="1" x14ac:dyDescent="0.25">
      <c r="B104" s="1"/>
      <c r="C104" s="115">
        <v>73</v>
      </c>
      <c r="D104" s="14"/>
      <c r="E104" s="101"/>
      <c r="F104" s="101"/>
      <c r="G104" s="2"/>
    </row>
    <row r="105" spans="2:7" ht="15" hidden="1" customHeight="1" x14ac:dyDescent="0.25">
      <c r="B105" s="1"/>
      <c r="C105" s="115">
        <v>74</v>
      </c>
      <c r="D105" s="14"/>
      <c r="E105" s="101"/>
      <c r="F105" s="101"/>
      <c r="G105" s="2"/>
    </row>
    <row r="106" spans="2:7" ht="15" hidden="1" customHeight="1" x14ac:dyDescent="0.25">
      <c r="B106" s="1"/>
      <c r="C106" s="115">
        <v>75</v>
      </c>
      <c r="D106" s="14"/>
      <c r="E106" s="101"/>
      <c r="F106" s="101"/>
      <c r="G106" s="2"/>
    </row>
    <row r="107" spans="2:7" ht="15" hidden="1" customHeight="1" x14ac:dyDescent="0.25">
      <c r="B107" s="1"/>
      <c r="C107" s="115">
        <v>76</v>
      </c>
      <c r="D107" s="14"/>
      <c r="E107" s="101"/>
      <c r="F107" s="101"/>
      <c r="G107" s="2"/>
    </row>
    <row r="108" spans="2:7" ht="15" hidden="1" customHeight="1" x14ac:dyDescent="0.25">
      <c r="B108" s="1"/>
      <c r="C108" s="115">
        <v>77</v>
      </c>
      <c r="D108" s="14"/>
      <c r="E108" s="101"/>
      <c r="F108" s="101"/>
      <c r="G108" s="2"/>
    </row>
    <row r="109" spans="2:7" ht="15" hidden="1" customHeight="1" x14ac:dyDescent="0.25">
      <c r="B109" s="1"/>
      <c r="C109" s="115">
        <v>78</v>
      </c>
      <c r="D109" s="14"/>
      <c r="E109" s="101"/>
      <c r="F109" s="101"/>
      <c r="G109" s="2"/>
    </row>
    <row r="110" spans="2:7" ht="15" hidden="1" customHeight="1" x14ac:dyDescent="0.25">
      <c r="B110" s="1"/>
      <c r="C110" s="115">
        <v>79</v>
      </c>
      <c r="D110" s="14"/>
      <c r="E110" s="101"/>
      <c r="F110" s="101"/>
      <c r="G110" s="2"/>
    </row>
    <row r="111" spans="2:7" ht="15" hidden="1" customHeight="1" x14ac:dyDescent="0.25">
      <c r="B111" s="1"/>
      <c r="C111" s="115">
        <v>80</v>
      </c>
      <c r="D111" s="14"/>
      <c r="E111" s="101"/>
      <c r="F111" s="101"/>
      <c r="G111" s="2"/>
    </row>
    <row r="112" spans="2:7" ht="15" hidden="1" customHeight="1" x14ac:dyDescent="0.25">
      <c r="B112" s="1"/>
      <c r="C112" s="115">
        <v>81</v>
      </c>
      <c r="D112" s="14"/>
      <c r="E112" s="101"/>
      <c r="F112" s="101"/>
      <c r="G112" s="2"/>
    </row>
    <row r="113" spans="2:7" ht="15" hidden="1" customHeight="1" x14ac:dyDescent="0.25">
      <c r="B113" s="1"/>
      <c r="C113" s="115">
        <v>82</v>
      </c>
      <c r="D113" s="14"/>
      <c r="E113" s="101"/>
      <c r="F113" s="101"/>
      <c r="G113" s="2"/>
    </row>
    <row r="114" spans="2:7" ht="15" hidden="1" customHeight="1" x14ac:dyDescent="0.25">
      <c r="B114" s="1"/>
      <c r="C114" s="115">
        <v>83</v>
      </c>
      <c r="D114" s="14"/>
      <c r="E114" s="101"/>
      <c r="F114" s="101"/>
      <c r="G114" s="2"/>
    </row>
    <row r="115" spans="2:7" ht="15" hidden="1" customHeight="1" x14ac:dyDescent="0.25">
      <c r="B115" s="1"/>
      <c r="C115" s="115">
        <v>84</v>
      </c>
      <c r="D115" s="14"/>
      <c r="E115" s="101"/>
      <c r="F115" s="101"/>
      <c r="G115" s="2"/>
    </row>
    <row r="116" spans="2:7" ht="15" hidden="1" customHeight="1" x14ac:dyDescent="0.25">
      <c r="B116" s="1"/>
      <c r="C116" s="115">
        <v>85</v>
      </c>
      <c r="D116" s="14"/>
      <c r="E116" s="101"/>
      <c r="F116" s="101"/>
      <c r="G116" s="2"/>
    </row>
    <row r="117" spans="2:7" ht="15" hidden="1" customHeight="1" x14ac:dyDescent="0.25">
      <c r="B117" s="1"/>
      <c r="C117" s="115">
        <v>86</v>
      </c>
      <c r="D117" s="14"/>
      <c r="E117" s="101"/>
      <c r="F117" s="101"/>
      <c r="G117" s="2"/>
    </row>
    <row r="118" spans="2:7" ht="15" hidden="1" customHeight="1" x14ac:dyDescent="0.25">
      <c r="B118" s="1"/>
      <c r="C118" s="115">
        <v>87</v>
      </c>
      <c r="D118" s="14"/>
      <c r="E118" s="101"/>
      <c r="F118" s="101"/>
      <c r="G118" s="2"/>
    </row>
    <row r="119" spans="2:7" ht="15" hidden="1" customHeight="1" x14ac:dyDescent="0.25">
      <c r="B119" s="1"/>
      <c r="C119" s="115">
        <v>88</v>
      </c>
      <c r="D119" s="14"/>
      <c r="E119" s="101"/>
      <c r="F119" s="101"/>
      <c r="G119" s="2"/>
    </row>
    <row r="120" spans="2:7" ht="15" hidden="1" customHeight="1" x14ac:dyDescent="0.25">
      <c r="B120" s="1"/>
      <c r="C120" s="115">
        <v>89</v>
      </c>
      <c r="D120" s="14"/>
      <c r="E120" s="101"/>
      <c r="F120" s="101"/>
      <c r="G120" s="2"/>
    </row>
    <row r="121" spans="2:7" ht="15" hidden="1" customHeight="1" x14ac:dyDescent="0.25">
      <c r="B121" s="1"/>
      <c r="C121" s="115">
        <v>90</v>
      </c>
      <c r="D121" s="14"/>
      <c r="E121" s="101"/>
      <c r="F121" s="101"/>
      <c r="G121" s="2"/>
    </row>
    <row r="122" spans="2:7" ht="15" hidden="1" customHeight="1" x14ac:dyDescent="0.25">
      <c r="B122" s="1"/>
      <c r="C122" s="115">
        <v>91</v>
      </c>
      <c r="D122" s="14"/>
      <c r="E122" s="101"/>
      <c r="F122" s="101"/>
      <c r="G122" s="2"/>
    </row>
    <row r="123" spans="2:7" ht="15" hidden="1" customHeight="1" x14ac:dyDescent="0.25">
      <c r="B123" s="1"/>
      <c r="C123" s="115">
        <v>92</v>
      </c>
      <c r="D123" s="14"/>
      <c r="E123" s="101"/>
      <c r="F123" s="101"/>
      <c r="G123" s="2"/>
    </row>
    <row r="124" spans="2:7" ht="15" hidden="1" customHeight="1" x14ac:dyDescent="0.25">
      <c r="B124" s="1"/>
      <c r="C124" s="115">
        <v>93</v>
      </c>
      <c r="D124" s="14"/>
      <c r="E124" s="101"/>
      <c r="F124" s="101"/>
      <c r="G124" s="2"/>
    </row>
    <row r="125" spans="2:7" ht="15" hidden="1" customHeight="1" x14ac:dyDescent="0.25">
      <c r="B125" s="1"/>
      <c r="C125" s="115">
        <v>94</v>
      </c>
      <c r="D125" s="14"/>
      <c r="E125" s="101"/>
      <c r="F125" s="101"/>
      <c r="G125" s="2"/>
    </row>
    <row r="126" spans="2:7" ht="15" hidden="1" customHeight="1" x14ac:dyDescent="0.25">
      <c r="B126" s="1"/>
      <c r="C126" s="115">
        <v>95</v>
      </c>
      <c r="D126" s="14"/>
      <c r="E126" s="101"/>
      <c r="F126" s="101"/>
      <c r="G126" s="2"/>
    </row>
    <row r="127" spans="2:7" ht="15" hidden="1" customHeight="1" x14ac:dyDescent="0.25">
      <c r="B127" s="1"/>
      <c r="C127" s="115">
        <v>96</v>
      </c>
      <c r="D127" s="14"/>
      <c r="E127" s="101"/>
      <c r="F127" s="101"/>
      <c r="G127" s="2"/>
    </row>
    <row r="128" spans="2:7" ht="15" hidden="1" customHeight="1" x14ac:dyDescent="0.25">
      <c r="B128" s="1"/>
      <c r="C128" s="115">
        <v>97</v>
      </c>
      <c r="D128" s="14"/>
      <c r="E128" s="101"/>
      <c r="F128" s="101"/>
      <c r="G128" s="2"/>
    </row>
    <row r="129" spans="2:7" ht="15" hidden="1" customHeight="1" x14ac:dyDescent="0.25">
      <c r="B129" s="1"/>
      <c r="C129" s="115">
        <v>98</v>
      </c>
      <c r="D129" s="14"/>
      <c r="E129" s="101"/>
      <c r="F129" s="101"/>
      <c r="G129" s="2"/>
    </row>
    <row r="130" spans="2:7" ht="15" hidden="1" customHeight="1" x14ac:dyDescent="0.25">
      <c r="B130" s="1"/>
      <c r="C130" s="115">
        <v>99</v>
      </c>
      <c r="D130" s="14"/>
      <c r="E130" s="101"/>
      <c r="F130" s="101"/>
      <c r="G130" s="2"/>
    </row>
    <row r="131" spans="2:7" ht="15" hidden="1" customHeight="1" x14ac:dyDescent="0.25">
      <c r="B131" s="1"/>
      <c r="C131" s="115">
        <v>100</v>
      </c>
      <c r="D131" s="14"/>
      <c r="E131" s="101"/>
      <c r="F131" s="101"/>
      <c r="G131" s="2"/>
    </row>
    <row r="132" spans="2:7" ht="15" hidden="1" customHeight="1" x14ac:dyDescent="0.25">
      <c r="B132" s="1"/>
      <c r="C132" s="115">
        <v>101</v>
      </c>
      <c r="D132" s="14"/>
      <c r="E132" s="101"/>
      <c r="F132" s="101"/>
      <c r="G132" s="2"/>
    </row>
    <row r="133" spans="2:7" ht="15" hidden="1" customHeight="1" x14ac:dyDescent="0.25">
      <c r="B133" s="1"/>
      <c r="C133" s="115">
        <v>102</v>
      </c>
      <c r="D133" s="14"/>
      <c r="E133" s="101"/>
      <c r="F133" s="101"/>
      <c r="G133" s="2"/>
    </row>
    <row r="134" spans="2:7" ht="15" hidden="1" customHeight="1" x14ac:dyDescent="0.25">
      <c r="B134" s="1"/>
      <c r="C134" s="115">
        <v>103</v>
      </c>
      <c r="D134" s="14"/>
      <c r="E134" s="101"/>
      <c r="F134" s="101"/>
      <c r="G134" s="2"/>
    </row>
    <row r="135" spans="2:7" ht="15" hidden="1" customHeight="1" x14ac:dyDescent="0.25">
      <c r="B135" s="1"/>
      <c r="C135" s="115">
        <v>104</v>
      </c>
      <c r="D135" s="14"/>
      <c r="E135" s="101"/>
      <c r="F135" s="101"/>
      <c r="G135" s="2"/>
    </row>
    <row r="136" spans="2:7" ht="15" hidden="1" customHeight="1" x14ac:dyDescent="0.25">
      <c r="B136" s="1"/>
      <c r="C136" s="115">
        <v>105</v>
      </c>
      <c r="D136" s="14"/>
      <c r="E136" s="101"/>
      <c r="F136" s="101"/>
      <c r="G136" s="2"/>
    </row>
    <row r="137" spans="2:7" ht="15" hidden="1" customHeight="1" x14ac:dyDescent="0.25">
      <c r="B137" s="1"/>
      <c r="C137" s="115">
        <v>106</v>
      </c>
      <c r="D137" s="14"/>
      <c r="E137" s="101"/>
      <c r="F137" s="101"/>
      <c r="G137" s="2"/>
    </row>
    <row r="138" spans="2:7" ht="15" hidden="1" customHeight="1" x14ac:dyDescent="0.25">
      <c r="B138" s="1"/>
      <c r="C138" s="115">
        <v>107</v>
      </c>
      <c r="D138" s="14"/>
      <c r="E138" s="101"/>
      <c r="F138" s="101"/>
      <c r="G138" s="2"/>
    </row>
    <row r="139" spans="2:7" ht="15" hidden="1" customHeight="1" x14ac:dyDescent="0.25">
      <c r="B139" s="1"/>
      <c r="C139" s="115">
        <v>108</v>
      </c>
      <c r="D139" s="14"/>
      <c r="E139" s="101"/>
      <c r="F139" s="101"/>
      <c r="G139" s="2"/>
    </row>
    <row r="140" spans="2:7" ht="15" hidden="1" customHeight="1" x14ac:dyDescent="0.25">
      <c r="B140" s="1"/>
      <c r="C140" s="115">
        <v>109</v>
      </c>
      <c r="D140" s="14"/>
      <c r="E140" s="101"/>
      <c r="F140" s="101"/>
      <c r="G140" s="2"/>
    </row>
    <row r="141" spans="2:7" ht="15" hidden="1" customHeight="1" x14ac:dyDescent="0.25">
      <c r="B141" s="1"/>
      <c r="C141" s="115">
        <v>110</v>
      </c>
      <c r="D141" s="14"/>
      <c r="E141" s="101"/>
      <c r="F141" s="101"/>
      <c r="G141" s="2"/>
    </row>
    <row r="142" spans="2:7" ht="15" hidden="1" customHeight="1" x14ac:dyDescent="0.25">
      <c r="B142" s="1"/>
      <c r="C142" s="115">
        <v>111</v>
      </c>
      <c r="D142" s="14"/>
      <c r="E142" s="101"/>
      <c r="F142" s="101"/>
      <c r="G142" s="2"/>
    </row>
    <row r="143" spans="2:7" ht="15" hidden="1" customHeight="1" x14ac:dyDescent="0.25">
      <c r="B143" s="1"/>
      <c r="C143" s="115">
        <v>112</v>
      </c>
      <c r="D143" s="14"/>
      <c r="E143" s="101"/>
      <c r="F143" s="101"/>
      <c r="G143" s="2"/>
    </row>
    <row r="144" spans="2:7" ht="15" hidden="1" customHeight="1" x14ac:dyDescent="0.25">
      <c r="B144" s="1"/>
      <c r="C144" s="115">
        <v>113</v>
      </c>
      <c r="D144" s="14"/>
      <c r="E144" s="101"/>
      <c r="F144" s="101"/>
      <c r="G144" s="2"/>
    </row>
    <row r="145" spans="2:7" ht="15" hidden="1" customHeight="1" x14ac:dyDescent="0.25">
      <c r="B145" s="1"/>
      <c r="C145" s="115">
        <v>114</v>
      </c>
      <c r="D145" s="14"/>
      <c r="E145" s="101"/>
      <c r="F145" s="101"/>
      <c r="G145" s="2"/>
    </row>
    <row r="146" spans="2:7" ht="15" hidden="1" customHeight="1" x14ac:dyDescent="0.25">
      <c r="B146" s="1"/>
      <c r="C146" s="115">
        <v>115</v>
      </c>
      <c r="D146" s="14"/>
      <c r="E146" s="101"/>
      <c r="F146" s="101"/>
      <c r="G146" s="2"/>
    </row>
    <row r="147" spans="2:7" ht="15" hidden="1" customHeight="1" x14ac:dyDescent="0.25">
      <c r="B147" s="1"/>
      <c r="C147" s="115">
        <v>116</v>
      </c>
      <c r="D147" s="14"/>
      <c r="E147" s="101"/>
      <c r="F147" s="101"/>
      <c r="G147" s="2"/>
    </row>
    <row r="148" spans="2:7" ht="15" hidden="1" customHeight="1" x14ac:dyDescent="0.25">
      <c r="B148" s="1"/>
      <c r="C148" s="115">
        <v>117</v>
      </c>
      <c r="D148" s="14"/>
      <c r="E148" s="101"/>
      <c r="F148" s="101"/>
      <c r="G148" s="2"/>
    </row>
    <row r="149" spans="2:7" ht="15" hidden="1" customHeight="1" x14ac:dyDescent="0.25">
      <c r="B149" s="1"/>
      <c r="C149" s="115">
        <v>118</v>
      </c>
      <c r="D149" s="14"/>
      <c r="E149" s="101"/>
      <c r="F149" s="101"/>
      <c r="G149" s="2"/>
    </row>
    <row r="150" spans="2:7" ht="15" hidden="1" customHeight="1" x14ac:dyDescent="0.25">
      <c r="B150" s="1"/>
      <c r="C150" s="115">
        <v>119</v>
      </c>
      <c r="D150" s="14"/>
      <c r="E150" s="101"/>
      <c r="F150" s="101"/>
      <c r="G150" s="2"/>
    </row>
    <row r="151" spans="2:7" ht="15" hidden="1" customHeight="1" x14ac:dyDescent="0.25">
      <c r="B151" s="1"/>
      <c r="C151" s="115">
        <v>120</v>
      </c>
      <c r="D151" s="14"/>
      <c r="E151" s="101"/>
      <c r="F151" s="101"/>
      <c r="G151" s="2"/>
    </row>
    <row r="152" spans="2:7" ht="15" hidden="1" customHeight="1" x14ac:dyDescent="0.25">
      <c r="B152" s="1"/>
      <c r="C152" s="115">
        <v>121</v>
      </c>
      <c r="D152" s="14"/>
      <c r="E152" s="101"/>
      <c r="F152" s="101"/>
      <c r="G152" s="2"/>
    </row>
    <row r="153" spans="2:7" ht="15" hidden="1" customHeight="1" x14ac:dyDescent="0.25">
      <c r="B153" s="1"/>
      <c r="C153" s="115">
        <v>122</v>
      </c>
      <c r="D153" s="14"/>
      <c r="E153" s="101"/>
      <c r="F153" s="101"/>
      <c r="G153" s="2"/>
    </row>
    <row r="154" spans="2:7" ht="15" hidden="1" customHeight="1" x14ac:dyDescent="0.25">
      <c r="B154" s="1"/>
      <c r="C154" s="115">
        <v>123</v>
      </c>
      <c r="D154" s="14"/>
      <c r="E154" s="101"/>
      <c r="F154" s="101"/>
      <c r="G154" s="2"/>
    </row>
    <row r="155" spans="2:7" ht="15" hidden="1" customHeight="1" x14ac:dyDescent="0.25">
      <c r="B155" s="1"/>
      <c r="C155" s="115">
        <v>124</v>
      </c>
      <c r="D155" s="14"/>
      <c r="E155" s="101"/>
      <c r="F155" s="101"/>
      <c r="G155" s="2"/>
    </row>
    <row r="156" spans="2:7" ht="15" hidden="1" customHeight="1" x14ac:dyDescent="0.25">
      <c r="B156" s="1"/>
      <c r="C156" s="115">
        <v>125</v>
      </c>
      <c r="D156" s="14"/>
      <c r="E156" s="101"/>
      <c r="F156" s="101"/>
      <c r="G156" s="2"/>
    </row>
    <row r="157" spans="2:7" ht="15" hidden="1" customHeight="1" x14ac:dyDescent="0.25">
      <c r="B157" s="1"/>
      <c r="C157" s="115">
        <v>126</v>
      </c>
      <c r="D157" s="14"/>
      <c r="E157" s="101"/>
      <c r="F157" s="101"/>
      <c r="G157" s="2"/>
    </row>
    <row r="158" spans="2:7" ht="15" hidden="1" customHeight="1" x14ac:dyDescent="0.25">
      <c r="B158" s="1"/>
      <c r="C158" s="115">
        <v>127</v>
      </c>
      <c r="D158" s="14"/>
      <c r="E158" s="101"/>
      <c r="F158" s="101"/>
      <c r="G158" s="2"/>
    </row>
    <row r="159" spans="2:7" ht="15" hidden="1" customHeight="1" x14ac:dyDescent="0.25">
      <c r="B159" s="1"/>
      <c r="C159" s="115">
        <v>128</v>
      </c>
      <c r="D159" s="14"/>
      <c r="E159" s="101"/>
      <c r="F159" s="101"/>
      <c r="G159" s="2"/>
    </row>
    <row r="160" spans="2:7" ht="15" hidden="1" customHeight="1" x14ac:dyDescent="0.25">
      <c r="B160" s="1"/>
      <c r="C160" s="115">
        <v>129</v>
      </c>
      <c r="D160" s="14"/>
      <c r="E160" s="101"/>
      <c r="F160" s="101"/>
      <c r="G160" s="2"/>
    </row>
    <row r="161" spans="2:7" ht="15" hidden="1" customHeight="1" x14ac:dyDescent="0.25">
      <c r="B161" s="1"/>
      <c r="C161" s="115">
        <v>130</v>
      </c>
      <c r="D161" s="14"/>
      <c r="E161" s="101"/>
      <c r="F161" s="101"/>
      <c r="G161" s="2"/>
    </row>
    <row r="162" spans="2:7" ht="15" hidden="1" customHeight="1" x14ac:dyDescent="0.25">
      <c r="B162" s="1"/>
      <c r="C162" s="115">
        <v>131</v>
      </c>
      <c r="D162" s="14"/>
      <c r="E162" s="101"/>
      <c r="F162" s="101"/>
      <c r="G162" s="2"/>
    </row>
    <row r="163" spans="2:7" ht="15" hidden="1" customHeight="1" x14ac:dyDescent="0.25">
      <c r="B163" s="1"/>
      <c r="C163" s="115">
        <v>132</v>
      </c>
      <c r="D163" s="14"/>
      <c r="E163" s="101"/>
      <c r="F163" s="101"/>
      <c r="G163" s="2"/>
    </row>
    <row r="164" spans="2:7" ht="15" hidden="1" customHeight="1" x14ac:dyDescent="0.25">
      <c r="B164" s="1"/>
      <c r="C164" s="115">
        <v>133</v>
      </c>
      <c r="D164" s="14"/>
      <c r="E164" s="101"/>
      <c r="F164" s="101"/>
      <c r="G164" s="2"/>
    </row>
    <row r="165" spans="2:7" ht="15" hidden="1" customHeight="1" x14ac:dyDescent="0.25">
      <c r="B165" s="1"/>
      <c r="C165" s="115">
        <v>134</v>
      </c>
      <c r="D165" s="14"/>
      <c r="E165" s="101"/>
      <c r="F165" s="101"/>
      <c r="G165" s="2"/>
    </row>
    <row r="166" spans="2:7" ht="15" hidden="1" customHeight="1" x14ac:dyDescent="0.25">
      <c r="B166" s="1"/>
      <c r="C166" s="115">
        <v>135</v>
      </c>
      <c r="D166" s="14"/>
      <c r="E166" s="101"/>
      <c r="F166" s="101"/>
      <c r="G166" s="2"/>
    </row>
    <row r="167" spans="2:7" ht="15" hidden="1" customHeight="1" x14ac:dyDescent="0.25">
      <c r="B167" s="1"/>
      <c r="C167" s="115">
        <v>136</v>
      </c>
      <c r="D167" s="14"/>
      <c r="E167" s="101"/>
      <c r="F167" s="101"/>
      <c r="G167" s="2"/>
    </row>
    <row r="168" spans="2:7" ht="15" hidden="1" customHeight="1" x14ac:dyDescent="0.25">
      <c r="B168" s="1"/>
      <c r="C168" s="115">
        <v>137</v>
      </c>
      <c r="D168" s="14"/>
      <c r="E168" s="101"/>
      <c r="F168" s="101"/>
      <c r="G168" s="2"/>
    </row>
    <row r="169" spans="2:7" ht="15" hidden="1" customHeight="1" x14ac:dyDescent="0.25">
      <c r="B169" s="1"/>
      <c r="C169" s="115">
        <v>138</v>
      </c>
      <c r="D169" s="14"/>
      <c r="E169" s="101"/>
      <c r="F169" s="101"/>
      <c r="G169" s="2"/>
    </row>
    <row r="170" spans="2:7" ht="15" hidden="1" customHeight="1" x14ac:dyDescent="0.25">
      <c r="B170" s="1"/>
      <c r="C170" s="115">
        <v>139</v>
      </c>
      <c r="D170" s="14"/>
      <c r="E170" s="101"/>
      <c r="F170" s="101"/>
      <c r="G170" s="2"/>
    </row>
    <row r="171" spans="2:7" ht="15" hidden="1" customHeight="1" x14ac:dyDescent="0.25">
      <c r="B171" s="1"/>
      <c r="C171" s="115">
        <v>140</v>
      </c>
      <c r="D171" s="14"/>
      <c r="E171" s="101"/>
      <c r="F171" s="101"/>
      <c r="G171" s="2"/>
    </row>
    <row r="172" spans="2:7" ht="15" hidden="1" customHeight="1" x14ac:dyDescent="0.25">
      <c r="B172" s="1"/>
      <c r="C172" s="115">
        <v>141</v>
      </c>
      <c r="D172" s="14"/>
      <c r="E172" s="101"/>
      <c r="F172" s="101"/>
      <c r="G172" s="2"/>
    </row>
    <row r="173" spans="2:7" ht="15" hidden="1" customHeight="1" x14ac:dyDescent="0.25">
      <c r="B173" s="1"/>
      <c r="C173" s="115">
        <v>142</v>
      </c>
      <c r="D173" s="14"/>
      <c r="E173" s="101"/>
      <c r="F173" s="101"/>
      <c r="G173" s="2"/>
    </row>
    <row r="174" spans="2:7" ht="15" hidden="1" customHeight="1" x14ac:dyDescent="0.25">
      <c r="B174" s="1"/>
      <c r="C174" s="115">
        <v>143</v>
      </c>
      <c r="D174" s="14"/>
      <c r="E174" s="101"/>
      <c r="F174" s="101"/>
      <c r="G174" s="2"/>
    </row>
    <row r="175" spans="2:7" ht="15" hidden="1" customHeight="1" x14ac:dyDescent="0.25">
      <c r="B175" s="1"/>
      <c r="C175" s="115">
        <v>144</v>
      </c>
      <c r="D175" s="14"/>
      <c r="E175" s="101"/>
      <c r="F175" s="101"/>
      <c r="G175" s="2"/>
    </row>
    <row r="176" spans="2:7" ht="15" hidden="1" customHeight="1" x14ac:dyDescent="0.25">
      <c r="B176" s="1"/>
      <c r="C176" s="115">
        <v>145</v>
      </c>
      <c r="D176" s="14"/>
      <c r="E176" s="101"/>
      <c r="F176" s="101"/>
      <c r="G176" s="2"/>
    </row>
    <row r="177" spans="2:7" ht="15" hidden="1" customHeight="1" x14ac:dyDescent="0.25">
      <c r="B177" s="1"/>
      <c r="C177" s="115">
        <v>146</v>
      </c>
      <c r="D177" s="14"/>
      <c r="E177" s="101"/>
      <c r="F177" s="101"/>
      <c r="G177" s="2"/>
    </row>
    <row r="178" spans="2:7" ht="15" hidden="1" customHeight="1" x14ac:dyDescent="0.25">
      <c r="B178" s="1"/>
      <c r="C178" s="115">
        <v>147</v>
      </c>
      <c r="D178" s="14"/>
      <c r="E178" s="101"/>
      <c r="F178" s="101"/>
      <c r="G178" s="2"/>
    </row>
    <row r="179" spans="2:7" ht="15" hidden="1" customHeight="1" x14ac:dyDescent="0.25">
      <c r="B179" s="1"/>
      <c r="C179" s="115">
        <v>148</v>
      </c>
      <c r="D179" s="14"/>
      <c r="E179" s="101"/>
      <c r="F179" s="101"/>
      <c r="G179" s="2"/>
    </row>
    <row r="180" spans="2:7" ht="15" hidden="1" customHeight="1" x14ac:dyDescent="0.25">
      <c r="B180" s="1"/>
      <c r="C180" s="115">
        <v>149</v>
      </c>
      <c r="D180" s="14"/>
      <c r="E180" s="101"/>
      <c r="F180" s="101"/>
      <c r="G180" s="2"/>
    </row>
    <row r="181" spans="2:7" ht="15" hidden="1" customHeight="1" x14ac:dyDescent="0.25">
      <c r="B181" s="1"/>
      <c r="C181" s="115">
        <v>150</v>
      </c>
      <c r="D181" s="14"/>
      <c r="E181" s="101"/>
      <c r="F181" s="101"/>
      <c r="G181" s="2"/>
    </row>
    <row r="182" spans="2:7" ht="15" hidden="1" customHeight="1" x14ac:dyDescent="0.25">
      <c r="B182" s="1"/>
      <c r="C182" s="115">
        <v>151</v>
      </c>
      <c r="D182" s="14"/>
      <c r="E182" s="101"/>
      <c r="F182" s="101"/>
      <c r="G182" s="2"/>
    </row>
    <row r="183" spans="2:7" ht="15" hidden="1" customHeight="1" x14ac:dyDescent="0.25">
      <c r="B183" s="1"/>
      <c r="C183" s="115">
        <v>152</v>
      </c>
      <c r="D183" s="14"/>
      <c r="E183" s="101"/>
      <c r="F183" s="101"/>
      <c r="G183" s="2"/>
    </row>
    <row r="184" spans="2:7" ht="15" hidden="1" customHeight="1" x14ac:dyDescent="0.25">
      <c r="B184" s="1"/>
      <c r="C184" s="115">
        <v>153</v>
      </c>
      <c r="D184" s="14"/>
      <c r="E184" s="101"/>
      <c r="F184" s="101"/>
      <c r="G184" s="2"/>
    </row>
    <row r="185" spans="2:7" ht="15" hidden="1" customHeight="1" x14ac:dyDescent="0.25">
      <c r="B185" s="1"/>
      <c r="C185" s="115">
        <v>154</v>
      </c>
      <c r="D185" s="14"/>
      <c r="E185" s="101"/>
      <c r="F185" s="101"/>
      <c r="G185" s="2"/>
    </row>
    <row r="186" spans="2:7" ht="15" hidden="1" customHeight="1" x14ac:dyDescent="0.25">
      <c r="B186" s="1"/>
      <c r="C186" s="115">
        <v>155</v>
      </c>
      <c r="D186" s="14"/>
      <c r="E186" s="101"/>
      <c r="F186" s="101"/>
      <c r="G186" s="2"/>
    </row>
    <row r="187" spans="2:7" ht="15" hidden="1" customHeight="1" x14ac:dyDescent="0.25">
      <c r="B187" s="1"/>
      <c r="C187" s="115">
        <v>156</v>
      </c>
      <c r="D187" s="14"/>
      <c r="E187" s="101"/>
      <c r="F187" s="101"/>
      <c r="G187" s="2"/>
    </row>
    <row r="188" spans="2:7" ht="15" hidden="1" customHeight="1" x14ac:dyDescent="0.25">
      <c r="B188" s="1"/>
      <c r="C188" s="115">
        <v>157</v>
      </c>
      <c r="D188" s="14"/>
      <c r="E188" s="101"/>
      <c r="F188" s="101"/>
      <c r="G188" s="2"/>
    </row>
    <row r="189" spans="2:7" ht="15" hidden="1" customHeight="1" x14ac:dyDescent="0.25">
      <c r="B189" s="1"/>
      <c r="C189" s="115">
        <v>158</v>
      </c>
      <c r="D189" s="14"/>
      <c r="E189" s="101"/>
      <c r="F189" s="101"/>
      <c r="G189" s="2"/>
    </row>
    <row r="190" spans="2:7" ht="15" hidden="1" customHeight="1" x14ac:dyDescent="0.25">
      <c r="B190" s="1"/>
      <c r="C190" s="115">
        <v>159</v>
      </c>
      <c r="D190" s="14"/>
      <c r="E190" s="101"/>
      <c r="F190" s="101"/>
      <c r="G190" s="2"/>
    </row>
    <row r="191" spans="2:7" ht="15" hidden="1" customHeight="1" x14ac:dyDescent="0.25">
      <c r="B191" s="1"/>
      <c r="C191" s="115">
        <v>160</v>
      </c>
      <c r="D191" s="14"/>
      <c r="E191" s="101"/>
      <c r="F191" s="101"/>
      <c r="G191" s="2"/>
    </row>
    <row r="192" spans="2:7" ht="15" hidden="1" customHeight="1" x14ac:dyDescent="0.25">
      <c r="B192" s="1"/>
      <c r="C192" s="115">
        <v>161</v>
      </c>
      <c r="D192" s="14"/>
      <c r="E192" s="101"/>
      <c r="F192" s="101"/>
      <c r="G192" s="2"/>
    </row>
    <row r="193" spans="2:7" ht="15" hidden="1" customHeight="1" x14ac:dyDescent="0.25">
      <c r="B193" s="1"/>
      <c r="C193" s="115">
        <v>162</v>
      </c>
      <c r="D193" s="14"/>
      <c r="E193" s="101"/>
      <c r="F193" s="101"/>
      <c r="G193" s="2"/>
    </row>
    <row r="194" spans="2:7" ht="15" hidden="1" customHeight="1" x14ac:dyDescent="0.25">
      <c r="B194" s="1"/>
      <c r="C194" s="115">
        <v>163</v>
      </c>
      <c r="D194" s="14"/>
      <c r="E194" s="101"/>
      <c r="F194" s="101"/>
      <c r="G194" s="2"/>
    </row>
    <row r="195" spans="2:7" ht="15" hidden="1" customHeight="1" x14ac:dyDescent="0.25">
      <c r="B195" s="1"/>
      <c r="C195" s="115">
        <v>164</v>
      </c>
      <c r="D195" s="14"/>
      <c r="E195" s="101"/>
      <c r="F195" s="101"/>
      <c r="G195" s="2"/>
    </row>
    <row r="196" spans="2:7" ht="15" hidden="1" customHeight="1" x14ac:dyDescent="0.25">
      <c r="B196" s="1"/>
      <c r="C196" s="115">
        <v>165</v>
      </c>
      <c r="D196" s="14"/>
      <c r="E196" s="101"/>
      <c r="F196" s="101"/>
      <c r="G196" s="2"/>
    </row>
    <row r="197" spans="2:7" ht="15" hidden="1" customHeight="1" x14ac:dyDescent="0.25">
      <c r="B197" s="1"/>
      <c r="C197" s="115">
        <v>166</v>
      </c>
      <c r="D197" s="14"/>
      <c r="E197" s="101"/>
      <c r="F197" s="101"/>
      <c r="G197" s="2"/>
    </row>
    <row r="198" spans="2:7" ht="15" hidden="1" customHeight="1" x14ac:dyDescent="0.25">
      <c r="B198" s="1"/>
      <c r="C198" s="115">
        <v>167</v>
      </c>
      <c r="D198" s="14"/>
      <c r="E198" s="101"/>
      <c r="F198" s="101"/>
      <c r="G198" s="2"/>
    </row>
    <row r="199" spans="2:7" ht="15" hidden="1" customHeight="1" x14ac:dyDescent="0.25">
      <c r="B199" s="1"/>
      <c r="C199" s="115">
        <v>168</v>
      </c>
      <c r="D199" s="14"/>
      <c r="E199" s="101"/>
      <c r="F199" s="101"/>
      <c r="G199" s="2"/>
    </row>
    <row r="200" spans="2:7" ht="15" hidden="1" customHeight="1" x14ac:dyDescent="0.25">
      <c r="B200" s="1"/>
      <c r="C200" s="115">
        <v>169</v>
      </c>
      <c r="D200" s="14"/>
      <c r="E200" s="101"/>
      <c r="F200" s="101"/>
      <c r="G200" s="2"/>
    </row>
    <row r="201" spans="2:7" ht="15" hidden="1" customHeight="1" x14ac:dyDescent="0.25">
      <c r="B201" s="1"/>
      <c r="C201" s="115">
        <v>170</v>
      </c>
      <c r="D201" s="14"/>
      <c r="E201" s="101"/>
      <c r="F201" s="101"/>
      <c r="G201" s="2"/>
    </row>
    <row r="202" spans="2:7" ht="15" hidden="1" customHeight="1" x14ac:dyDescent="0.25">
      <c r="B202" s="1"/>
      <c r="C202" s="115">
        <v>171</v>
      </c>
      <c r="D202" s="14"/>
      <c r="E202" s="101"/>
      <c r="F202" s="101"/>
      <c r="G202" s="2"/>
    </row>
    <row r="203" spans="2:7" ht="15" hidden="1" customHeight="1" x14ac:dyDescent="0.25">
      <c r="B203" s="1"/>
      <c r="C203" s="115">
        <v>172</v>
      </c>
      <c r="D203" s="14"/>
      <c r="E203" s="101"/>
      <c r="F203" s="101"/>
      <c r="G203" s="2"/>
    </row>
    <row r="204" spans="2:7" ht="15" hidden="1" customHeight="1" x14ac:dyDescent="0.25">
      <c r="B204" s="1"/>
      <c r="C204" s="115">
        <v>173</v>
      </c>
      <c r="D204" s="14"/>
      <c r="E204" s="101"/>
      <c r="F204" s="101"/>
      <c r="G204" s="2"/>
    </row>
    <row r="205" spans="2:7" ht="15" hidden="1" customHeight="1" x14ac:dyDescent="0.25">
      <c r="B205" s="1"/>
      <c r="C205" s="115">
        <v>174</v>
      </c>
      <c r="D205" s="14"/>
      <c r="E205" s="101"/>
      <c r="F205" s="101"/>
      <c r="G205" s="2"/>
    </row>
    <row r="206" spans="2:7" ht="15" hidden="1" customHeight="1" x14ac:dyDescent="0.25">
      <c r="B206" s="1"/>
      <c r="C206" s="115">
        <v>175</v>
      </c>
      <c r="D206" s="14"/>
      <c r="E206" s="101"/>
      <c r="F206" s="101"/>
      <c r="G206" s="2"/>
    </row>
    <row r="207" spans="2:7" ht="15" hidden="1" customHeight="1" x14ac:dyDescent="0.25">
      <c r="B207" s="1"/>
      <c r="C207" s="115">
        <v>176</v>
      </c>
      <c r="D207" s="14"/>
      <c r="E207" s="101"/>
      <c r="F207" s="101"/>
      <c r="G207" s="2"/>
    </row>
    <row r="208" spans="2:7" ht="15" hidden="1" customHeight="1" x14ac:dyDescent="0.25">
      <c r="B208" s="1"/>
      <c r="C208" s="115">
        <v>177</v>
      </c>
      <c r="D208" s="14"/>
      <c r="E208" s="101"/>
      <c r="F208" s="101"/>
      <c r="G208" s="2"/>
    </row>
    <row r="209" spans="2:7" ht="15" hidden="1" customHeight="1" x14ac:dyDescent="0.25">
      <c r="B209" s="1"/>
      <c r="C209" s="115">
        <v>178</v>
      </c>
      <c r="D209" s="14"/>
      <c r="E209" s="101"/>
      <c r="F209" s="101"/>
      <c r="G209" s="2"/>
    </row>
    <row r="210" spans="2:7" ht="15" hidden="1" customHeight="1" x14ac:dyDescent="0.25">
      <c r="B210" s="1"/>
      <c r="C210" s="115">
        <v>179</v>
      </c>
      <c r="D210" s="14"/>
      <c r="E210" s="101"/>
      <c r="F210" s="101"/>
      <c r="G210" s="2"/>
    </row>
    <row r="211" spans="2:7" ht="15" hidden="1" customHeight="1" x14ac:dyDescent="0.25">
      <c r="B211" s="1"/>
      <c r="C211" s="115">
        <v>180</v>
      </c>
      <c r="D211" s="14"/>
      <c r="E211" s="101"/>
      <c r="F211" s="101"/>
      <c r="G211" s="2"/>
    </row>
    <row r="212" spans="2:7" ht="15" hidden="1" customHeight="1" x14ac:dyDescent="0.25">
      <c r="B212" s="1"/>
      <c r="C212" s="115">
        <v>181</v>
      </c>
      <c r="D212" s="14"/>
      <c r="E212" s="101"/>
      <c r="F212" s="101"/>
      <c r="G212" s="2"/>
    </row>
    <row r="213" spans="2:7" ht="15" hidden="1" customHeight="1" x14ac:dyDescent="0.25">
      <c r="B213" s="1"/>
      <c r="C213" s="115">
        <v>182</v>
      </c>
      <c r="D213" s="14"/>
      <c r="E213" s="101"/>
      <c r="F213" s="101"/>
      <c r="G213" s="2"/>
    </row>
    <row r="214" spans="2:7" ht="15" hidden="1" customHeight="1" x14ac:dyDescent="0.25">
      <c r="B214" s="1"/>
      <c r="C214" s="115">
        <v>183</v>
      </c>
      <c r="D214" s="14"/>
      <c r="E214" s="101"/>
      <c r="F214" s="101"/>
      <c r="G214" s="2"/>
    </row>
    <row r="215" spans="2:7" ht="15" hidden="1" customHeight="1" x14ac:dyDescent="0.25">
      <c r="B215" s="1"/>
      <c r="C215" s="115">
        <v>184</v>
      </c>
      <c r="D215" s="14"/>
      <c r="E215" s="101"/>
      <c r="F215" s="101"/>
      <c r="G215" s="2"/>
    </row>
    <row r="216" spans="2:7" ht="15" hidden="1" customHeight="1" x14ac:dyDescent="0.25">
      <c r="B216" s="1"/>
      <c r="C216" s="115">
        <v>185</v>
      </c>
      <c r="D216" s="14"/>
      <c r="E216" s="101"/>
      <c r="F216" s="101"/>
      <c r="G216" s="2"/>
    </row>
    <row r="217" spans="2:7" ht="15" hidden="1" customHeight="1" x14ac:dyDescent="0.25">
      <c r="B217" s="1"/>
      <c r="C217" s="115">
        <v>186</v>
      </c>
      <c r="D217" s="14"/>
      <c r="E217" s="101"/>
      <c r="F217" s="101"/>
      <c r="G217" s="2"/>
    </row>
    <row r="218" spans="2:7" ht="15" hidden="1" customHeight="1" x14ac:dyDescent="0.25">
      <c r="B218" s="1"/>
      <c r="C218" s="115">
        <v>187</v>
      </c>
      <c r="D218" s="14"/>
      <c r="E218" s="101"/>
      <c r="F218" s="101"/>
      <c r="G218" s="2"/>
    </row>
    <row r="219" spans="2:7" ht="15" hidden="1" customHeight="1" x14ac:dyDescent="0.25">
      <c r="B219" s="1"/>
      <c r="C219" s="115">
        <v>188</v>
      </c>
      <c r="D219" s="14"/>
      <c r="E219" s="101"/>
      <c r="F219" s="101"/>
      <c r="G219" s="2"/>
    </row>
    <row r="220" spans="2:7" ht="15" hidden="1" customHeight="1" x14ac:dyDescent="0.25">
      <c r="B220" s="1"/>
      <c r="C220" s="115">
        <v>189</v>
      </c>
      <c r="D220" s="14"/>
      <c r="E220" s="101"/>
      <c r="F220" s="101"/>
      <c r="G220" s="2"/>
    </row>
    <row r="221" spans="2:7" ht="15" hidden="1" customHeight="1" x14ac:dyDescent="0.25">
      <c r="B221" s="1"/>
      <c r="C221" s="115">
        <v>190</v>
      </c>
      <c r="D221" s="14"/>
      <c r="E221" s="101"/>
      <c r="F221" s="101"/>
      <c r="G221" s="2"/>
    </row>
    <row r="222" spans="2:7" ht="15" hidden="1" customHeight="1" x14ac:dyDescent="0.25">
      <c r="B222" s="1"/>
      <c r="C222" s="115">
        <v>191</v>
      </c>
      <c r="D222" s="14"/>
      <c r="E222" s="101"/>
      <c r="F222" s="101"/>
      <c r="G222" s="2"/>
    </row>
    <row r="223" spans="2:7" ht="15" hidden="1" customHeight="1" x14ac:dyDescent="0.25">
      <c r="B223" s="1"/>
      <c r="C223" s="115">
        <v>192</v>
      </c>
      <c r="D223" s="14"/>
      <c r="E223" s="101"/>
      <c r="F223" s="101"/>
      <c r="G223" s="2"/>
    </row>
    <row r="224" spans="2:7" ht="15" hidden="1" customHeight="1" x14ac:dyDescent="0.25">
      <c r="B224" s="1"/>
      <c r="C224" s="115">
        <v>193</v>
      </c>
      <c r="D224" s="14"/>
      <c r="E224" s="101"/>
      <c r="F224" s="101"/>
      <c r="G224" s="2"/>
    </row>
    <row r="225" spans="2:7" ht="15" hidden="1" customHeight="1" x14ac:dyDescent="0.25">
      <c r="B225" s="1"/>
      <c r="C225" s="115">
        <v>194</v>
      </c>
      <c r="D225" s="14"/>
      <c r="E225" s="101"/>
      <c r="F225" s="101"/>
      <c r="G225" s="2"/>
    </row>
    <row r="226" spans="2:7" ht="15" hidden="1" customHeight="1" x14ac:dyDescent="0.25">
      <c r="B226" s="1"/>
      <c r="C226" s="115">
        <v>195</v>
      </c>
      <c r="D226" s="14"/>
      <c r="E226" s="101"/>
      <c r="F226" s="101"/>
      <c r="G226" s="2"/>
    </row>
    <row r="227" spans="2:7" ht="15" hidden="1" customHeight="1" x14ac:dyDescent="0.25">
      <c r="B227" s="1"/>
      <c r="C227" s="115">
        <v>196</v>
      </c>
      <c r="D227" s="14"/>
      <c r="E227" s="101"/>
      <c r="F227" s="101"/>
      <c r="G227" s="2"/>
    </row>
    <row r="228" spans="2:7" ht="15" hidden="1" customHeight="1" x14ac:dyDescent="0.25">
      <c r="B228" s="1"/>
      <c r="C228" s="115">
        <v>197</v>
      </c>
      <c r="D228" s="14"/>
      <c r="E228" s="101"/>
      <c r="F228" s="101"/>
      <c r="G228" s="2"/>
    </row>
    <row r="229" spans="2:7" ht="15" hidden="1" customHeight="1" x14ac:dyDescent="0.25">
      <c r="B229" s="1"/>
      <c r="C229" s="115">
        <v>198</v>
      </c>
      <c r="D229" s="14"/>
      <c r="E229" s="101"/>
      <c r="F229" s="101"/>
      <c r="G229" s="2"/>
    </row>
    <row r="230" spans="2:7" ht="15" hidden="1" customHeight="1" x14ac:dyDescent="0.25">
      <c r="B230" s="1"/>
      <c r="C230" s="115">
        <v>199</v>
      </c>
      <c r="D230" s="14"/>
      <c r="E230" s="101"/>
      <c r="F230" s="101"/>
      <c r="G230" s="2"/>
    </row>
    <row r="231" spans="2:7" ht="15" hidden="1" customHeight="1" x14ac:dyDescent="0.25">
      <c r="B231" s="1"/>
      <c r="C231" s="115">
        <v>200</v>
      </c>
      <c r="D231" s="14"/>
      <c r="E231" s="101"/>
      <c r="F231" s="101"/>
      <c r="G231" s="2"/>
    </row>
    <row r="232" spans="2:7" ht="15" hidden="1" customHeight="1" x14ac:dyDescent="0.25">
      <c r="B232" s="1"/>
      <c r="C232" s="115">
        <v>201</v>
      </c>
      <c r="D232" s="14"/>
      <c r="E232" s="101"/>
      <c r="F232" s="101"/>
      <c r="G232" s="2"/>
    </row>
    <row r="233" spans="2:7" ht="15" hidden="1" customHeight="1" x14ac:dyDescent="0.25">
      <c r="B233" s="1"/>
      <c r="C233" s="115">
        <v>202</v>
      </c>
      <c r="D233" s="14"/>
      <c r="E233" s="101"/>
      <c r="F233" s="101"/>
      <c r="G233" s="2"/>
    </row>
    <row r="234" spans="2:7" ht="15" hidden="1" customHeight="1" x14ac:dyDescent="0.25">
      <c r="B234" s="1"/>
      <c r="C234" s="115">
        <v>203</v>
      </c>
      <c r="D234" s="14"/>
      <c r="E234" s="101"/>
      <c r="F234" s="101"/>
      <c r="G234" s="2"/>
    </row>
    <row r="235" spans="2:7" ht="15" hidden="1" customHeight="1" x14ac:dyDescent="0.25">
      <c r="B235" s="1"/>
      <c r="C235" s="115">
        <v>204</v>
      </c>
      <c r="D235" s="14"/>
      <c r="E235" s="101"/>
      <c r="F235" s="101"/>
      <c r="G235" s="2"/>
    </row>
    <row r="236" spans="2:7" ht="15" hidden="1" customHeight="1" x14ac:dyDescent="0.25">
      <c r="B236" s="1"/>
      <c r="C236" s="115">
        <v>205</v>
      </c>
      <c r="D236" s="14"/>
      <c r="E236" s="101"/>
      <c r="F236" s="101"/>
      <c r="G236" s="2"/>
    </row>
    <row r="237" spans="2:7" ht="15" hidden="1" customHeight="1" x14ac:dyDescent="0.25">
      <c r="B237" s="1"/>
      <c r="C237" s="115">
        <v>206</v>
      </c>
      <c r="D237" s="14"/>
      <c r="E237" s="101"/>
      <c r="F237" s="101"/>
      <c r="G237" s="2"/>
    </row>
    <row r="238" spans="2:7" ht="15" hidden="1" customHeight="1" x14ac:dyDescent="0.25">
      <c r="B238" s="1"/>
      <c r="C238" s="115">
        <v>207</v>
      </c>
      <c r="D238" s="14"/>
      <c r="E238" s="101"/>
      <c r="F238" s="101"/>
      <c r="G238" s="2"/>
    </row>
    <row r="239" spans="2:7" ht="15" hidden="1" customHeight="1" x14ac:dyDescent="0.25">
      <c r="B239" s="1"/>
      <c r="C239" s="115">
        <v>208</v>
      </c>
      <c r="D239" s="14"/>
      <c r="E239" s="101"/>
      <c r="F239" s="101"/>
      <c r="G239" s="2"/>
    </row>
    <row r="240" spans="2:7" ht="15" hidden="1" customHeight="1" x14ac:dyDescent="0.25">
      <c r="B240" s="1"/>
      <c r="C240" s="115">
        <v>209</v>
      </c>
      <c r="D240" s="14"/>
      <c r="E240" s="101"/>
      <c r="F240" s="101"/>
      <c r="G240" s="2"/>
    </row>
    <row r="241" spans="2:7" ht="15" hidden="1" customHeight="1" x14ac:dyDescent="0.25">
      <c r="B241" s="1"/>
      <c r="C241" s="115">
        <v>210</v>
      </c>
      <c r="D241" s="14"/>
      <c r="E241" s="101"/>
      <c r="F241" s="101"/>
      <c r="G241" s="2"/>
    </row>
    <row r="242" spans="2:7" ht="15" hidden="1" customHeight="1" x14ac:dyDescent="0.25">
      <c r="B242" s="1"/>
      <c r="C242" s="115">
        <v>211</v>
      </c>
      <c r="D242" s="14"/>
      <c r="E242" s="101"/>
      <c r="F242" s="101"/>
      <c r="G242" s="2"/>
    </row>
    <row r="243" spans="2:7" ht="15" hidden="1" customHeight="1" x14ac:dyDescent="0.25">
      <c r="B243" s="1"/>
      <c r="C243" s="115">
        <v>212</v>
      </c>
      <c r="D243" s="14"/>
      <c r="E243" s="101"/>
      <c r="F243" s="101"/>
      <c r="G243" s="2"/>
    </row>
    <row r="244" spans="2:7" ht="15" hidden="1" customHeight="1" x14ac:dyDescent="0.25">
      <c r="B244" s="1"/>
      <c r="C244" s="115">
        <v>213</v>
      </c>
      <c r="D244" s="14"/>
      <c r="E244" s="101"/>
      <c r="F244" s="101"/>
      <c r="G244" s="2"/>
    </row>
    <row r="245" spans="2:7" ht="15" hidden="1" customHeight="1" x14ac:dyDescent="0.25">
      <c r="B245" s="1"/>
      <c r="C245" s="115">
        <v>214</v>
      </c>
      <c r="D245" s="14"/>
      <c r="E245" s="101"/>
      <c r="F245" s="101"/>
      <c r="G245" s="2"/>
    </row>
    <row r="246" spans="2:7" ht="15" hidden="1" customHeight="1" x14ac:dyDescent="0.25">
      <c r="B246" s="1"/>
      <c r="C246" s="115">
        <v>215</v>
      </c>
      <c r="D246" s="14"/>
      <c r="E246" s="101"/>
      <c r="F246" s="101"/>
      <c r="G246" s="2"/>
    </row>
    <row r="247" spans="2:7" ht="15" hidden="1" customHeight="1" x14ac:dyDescent="0.25">
      <c r="B247" s="1"/>
      <c r="C247" s="115">
        <v>216</v>
      </c>
      <c r="D247" s="14"/>
      <c r="E247" s="101"/>
      <c r="F247" s="101"/>
      <c r="G247" s="2"/>
    </row>
    <row r="248" spans="2:7" ht="15" hidden="1" customHeight="1" x14ac:dyDescent="0.25">
      <c r="B248" s="1"/>
      <c r="C248" s="115">
        <v>217</v>
      </c>
      <c r="D248" s="14"/>
      <c r="E248" s="101"/>
      <c r="F248" s="101"/>
      <c r="G248" s="2"/>
    </row>
    <row r="249" spans="2:7" ht="15" hidden="1" customHeight="1" x14ac:dyDescent="0.25">
      <c r="B249" s="1"/>
      <c r="C249" s="115">
        <v>218</v>
      </c>
      <c r="D249" s="14"/>
      <c r="E249" s="101"/>
      <c r="F249" s="101"/>
      <c r="G249" s="2"/>
    </row>
    <row r="250" spans="2:7" ht="15" hidden="1" customHeight="1" x14ac:dyDescent="0.25">
      <c r="B250" s="1"/>
      <c r="C250" s="115">
        <v>219</v>
      </c>
      <c r="D250" s="14"/>
      <c r="E250" s="101"/>
      <c r="F250" s="101"/>
      <c r="G250" s="2"/>
    </row>
    <row r="251" spans="2:7" ht="15" hidden="1" customHeight="1" x14ac:dyDescent="0.25">
      <c r="B251" s="1"/>
      <c r="C251" s="115">
        <v>220</v>
      </c>
      <c r="D251" s="14"/>
      <c r="E251" s="101"/>
      <c r="F251" s="101"/>
      <c r="G251" s="2"/>
    </row>
    <row r="252" spans="2:7" ht="15" hidden="1" customHeight="1" x14ac:dyDescent="0.25">
      <c r="B252" s="1"/>
      <c r="C252" s="115">
        <v>221</v>
      </c>
      <c r="D252" s="14"/>
      <c r="E252" s="101"/>
      <c r="F252" s="101"/>
      <c r="G252" s="2"/>
    </row>
    <row r="253" spans="2:7" ht="15" hidden="1" customHeight="1" x14ac:dyDescent="0.25">
      <c r="B253" s="1"/>
      <c r="C253" s="115">
        <v>222</v>
      </c>
      <c r="D253" s="14"/>
      <c r="E253" s="101"/>
      <c r="F253" s="101"/>
      <c r="G253" s="2"/>
    </row>
    <row r="254" spans="2:7" ht="15" hidden="1" customHeight="1" x14ac:dyDescent="0.25">
      <c r="B254" s="1"/>
      <c r="C254" s="115">
        <v>223</v>
      </c>
      <c r="D254" s="14"/>
      <c r="E254" s="101"/>
      <c r="F254" s="101"/>
      <c r="G254" s="2"/>
    </row>
    <row r="255" spans="2:7" ht="15" hidden="1" customHeight="1" x14ac:dyDescent="0.25">
      <c r="B255" s="1"/>
      <c r="C255" s="115">
        <v>224</v>
      </c>
      <c r="D255" s="14"/>
      <c r="E255" s="101"/>
      <c r="F255" s="101"/>
      <c r="G255" s="2"/>
    </row>
    <row r="256" spans="2:7" ht="15" hidden="1" customHeight="1" x14ac:dyDescent="0.25">
      <c r="B256" s="1"/>
      <c r="C256" s="115">
        <v>225</v>
      </c>
      <c r="D256" s="14"/>
      <c r="E256" s="101"/>
      <c r="F256" s="101"/>
      <c r="G256" s="2"/>
    </row>
    <row r="257" spans="2:7" ht="15" hidden="1" customHeight="1" x14ac:dyDescent="0.25">
      <c r="B257" s="1"/>
      <c r="C257" s="115">
        <v>226</v>
      </c>
      <c r="D257" s="14"/>
      <c r="E257" s="101"/>
      <c r="F257" s="101"/>
      <c r="G257" s="2"/>
    </row>
    <row r="258" spans="2:7" ht="15" hidden="1" customHeight="1" x14ac:dyDescent="0.25">
      <c r="B258" s="1"/>
      <c r="C258" s="115">
        <v>227</v>
      </c>
      <c r="D258" s="14"/>
      <c r="E258" s="101"/>
      <c r="F258" s="101"/>
      <c r="G258" s="2"/>
    </row>
    <row r="259" spans="2:7" ht="15" hidden="1" customHeight="1" x14ac:dyDescent="0.25">
      <c r="B259" s="1"/>
      <c r="C259" s="115">
        <v>228</v>
      </c>
      <c r="D259" s="14"/>
      <c r="E259" s="101"/>
      <c r="F259" s="101"/>
      <c r="G259" s="2"/>
    </row>
    <row r="260" spans="2:7" ht="15" hidden="1" customHeight="1" x14ac:dyDescent="0.25">
      <c r="B260" s="1"/>
      <c r="C260" s="115">
        <v>229</v>
      </c>
      <c r="D260" s="14"/>
      <c r="E260" s="101"/>
      <c r="F260" s="101"/>
      <c r="G260" s="2"/>
    </row>
    <row r="261" spans="2:7" ht="15" hidden="1" customHeight="1" x14ac:dyDescent="0.25">
      <c r="B261" s="1"/>
      <c r="C261" s="115">
        <v>230</v>
      </c>
      <c r="D261" s="14"/>
      <c r="E261" s="101"/>
      <c r="F261" s="101"/>
      <c r="G261" s="2"/>
    </row>
    <row r="262" spans="2:7" ht="15" hidden="1" customHeight="1" x14ac:dyDescent="0.25">
      <c r="B262" s="1"/>
      <c r="C262" s="115">
        <v>231</v>
      </c>
      <c r="D262" s="14"/>
      <c r="E262" s="101"/>
      <c r="F262" s="101"/>
      <c r="G262" s="2"/>
    </row>
    <row r="263" spans="2:7" ht="15" hidden="1" customHeight="1" x14ac:dyDescent="0.25">
      <c r="B263" s="1"/>
      <c r="C263" s="115">
        <v>232</v>
      </c>
      <c r="D263" s="14"/>
      <c r="E263" s="101"/>
      <c r="F263" s="101"/>
      <c r="G263" s="2"/>
    </row>
    <row r="264" spans="2:7" ht="15" hidden="1" customHeight="1" x14ac:dyDescent="0.25">
      <c r="B264" s="1"/>
      <c r="C264" s="115">
        <v>233</v>
      </c>
      <c r="D264" s="14"/>
      <c r="E264" s="101"/>
      <c r="F264" s="101"/>
      <c r="G264" s="2"/>
    </row>
    <row r="265" spans="2:7" ht="15" hidden="1" customHeight="1" x14ac:dyDescent="0.25">
      <c r="B265" s="1"/>
      <c r="C265" s="115">
        <v>234</v>
      </c>
      <c r="D265" s="14"/>
      <c r="E265" s="101"/>
      <c r="F265" s="101"/>
      <c r="G265" s="2"/>
    </row>
    <row r="266" spans="2:7" ht="15" hidden="1" customHeight="1" x14ac:dyDescent="0.25">
      <c r="B266" s="1"/>
      <c r="C266" s="115">
        <v>235</v>
      </c>
      <c r="D266" s="14"/>
      <c r="E266" s="101"/>
      <c r="F266" s="101"/>
      <c r="G266" s="2"/>
    </row>
    <row r="267" spans="2:7" ht="15" hidden="1" customHeight="1" x14ac:dyDescent="0.25">
      <c r="B267" s="1"/>
      <c r="C267" s="115">
        <v>236</v>
      </c>
      <c r="D267" s="14"/>
      <c r="E267" s="101"/>
      <c r="F267" s="101"/>
      <c r="G267" s="2"/>
    </row>
    <row r="268" spans="2:7" ht="15" hidden="1" customHeight="1" x14ac:dyDescent="0.25">
      <c r="B268" s="1"/>
      <c r="C268" s="115">
        <v>237</v>
      </c>
      <c r="D268" s="14"/>
      <c r="E268" s="101"/>
      <c r="F268" s="101"/>
      <c r="G268" s="2"/>
    </row>
    <row r="269" spans="2:7" ht="15" hidden="1" customHeight="1" x14ac:dyDescent="0.25">
      <c r="B269" s="1"/>
      <c r="C269" s="115">
        <v>238</v>
      </c>
      <c r="D269" s="14"/>
      <c r="E269" s="101"/>
      <c r="F269" s="101"/>
      <c r="G269" s="2"/>
    </row>
    <row r="270" spans="2:7" ht="15" hidden="1" customHeight="1" x14ac:dyDescent="0.25">
      <c r="B270" s="1"/>
      <c r="C270" s="115">
        <v>239</v>
      </c>
      <c r="D270" s="14"/>
      <c r="E270" s="101"/>
      <c r="F270" s="101"/>
      <c r="G270" s="2"/>
    </row>
    <row r="271" spans="2:7" ht="15" hidden="1" customHeight="1" x14ac:dyDescent="0.25">
      <c r="B271" s="1"/>
      <c r="C271" s="115">
        <v>240</v>
      </c>
      <c r="D271" s="14"/>
      <c r="E271" s="101"/>
      <c r="F271" s="101"/>
      <c r="G271" s="2"/>
    </row>
    <row r="272" spans="2:7" ht="15" hidden="1" customHeight="1" x14ac:dyDescent="0.25">
      <c r="B272" s="1"/>
      <c r="C272" s="115">
        <v>241</v>
      </c>
      <c r="D272" s="14"/>
      <c r="E272" s="101"/>
      <c r="F272" s="101"/>
      <c r="G272" s="2"/>
    </row>
    <row r="273" spans="2:7" ht="15" hidden="1" customHeight="1" x14ac:dyDescent="0.25">
      <c r="B273" s="1"/>
      <c r="C273" s="115">
        <v>242</v>
      </c>
      <c r="D273" s="14"/>
      <c r="E273" s="101"/>
      <c r="F273" s="101"/>
      <c r="G273" s="2"/>
    </row>
    <row r="274" spans="2:7" ht="15" hidden="1" customHeight="1" x14ac:dyDescent="0.25">
      <c r="B274" s="1"/>
      <c r="C274" s="115">
        <v>243</v>
      </c>
      <c r="D274" s="14"/>
      <c r="E274" s="101"/>
      <c r="F274" s="101"/>
      <c r="G274" s="2"/>
    </row>
    <row r="275" spans="2:7" ht="15" hidden="1" customHeight="1" x14ac:dyDescent="0.25">
      <c r="B275" s="1"/>
      <c r="C275" s="115">
        <v>244</v>
      </c>
      <c r="D275" s="14"/>
      <c r="E275" s="101"/>
      <c r="F275" s="101"/>
      <c r="G275" s="2"/>
    </row>
    <row r="276" spans="2:7" ht="15" hidden="1" customHeight="1" x14ac:dyDescent="0.25">
      <c r="B276" s="1"/>
      <c r="C276" s="115">
        <v>245</v>
      </c>
      <c r="D276" s="14"/>
      <c r="E276" s="101"/>
      <c r="F276" s="101"/>
      <c r="G276" s="2"/>
    </row>
    <row r="277" spans="2:7" ht="15" hidden="1" customHeight="1" x14ac:dyDescent="0.25">
      <c r="B277" s="1"/>
      <c r="C277" s="115">
        <v>246</v>
      </c>
      <c r="D277" s="14"/>
      <c r="E277" s="101"/>
      <c r="F277" s="101"/>
      <c r="G277" s="2"/>
    </row>
    <row r="278" spans="2:7" ht="15" hidden="1" customHeight="1" x14ac:dyDescent="0.25">
      <c r="B278" s="1"/>
      <c r="C278" s="115">
        <v>247</v>
      </c>
      <c r="D278" s="14"/>
      <c r="E278" s="101"/>
      <c r="F278" s="101"/>
      <c r="G278" s="2"/>
    </row>
    <row r="279" spans="2:7" ht="15" hidden="1" customHeight="1" x14ac:dyDescent="0.25">
      <c r="B279" s="1"/>
      <c r="C279" s="115">
        <v>248</v>
      </c>
      <c r="D279" s="14"/>
      <c r="E279" s="101"/>
      <c r="F279" s="101"/>
      <c r="G279" s="2"/>
    </row>
    <row r="280" spans="2:7" ht="15" hidden="1" customHeight="1" x14ac:dyDescent="0.25">
      <c r="B280" s="1"/>
      <c r="C280" s="115">
        <v>249</v>
      </c>
      <c r="D280" s="14"/>
      <c r="E280" s="101"/>
      <c r="F280" s="101"/>
      <c r="G280" s="2"/>
    </row>
    <row r="281" spans="2:7" ht="15" hidden="1" customHeight="1" x14ac:dyDescent="0.25">
      <c r="B281" s="1"/>
      <c r="C281" s="115">
        <v>250</v>
      </c>
      <c r="D281" s="14"/>
      <c r="E281" s="101"/>
      <c r="F281" s="101"/>
      <c r="G281" s="2"/>
    </row>
    <row r="282" spans="2:7" ht="15" hidden="1" customHeight="1" x14ac:dyDescent="0.25">
      <c r="B282" s="1"/>
      <c r="C282" s="115">
        <v>251</v>
      </c>
      <c r="D282" s="14"/>
      <c r="E282" s="101"/>
      <c r="F282" s="101"/>
      <c r="G282" s="2"/>
    </row>
    <row r="283" spans="2:7" ht="15" hidden="1" customHeight="1" x14ac:dyDescent="0.25">
      <c r="B283" s="1"/>
      <c r="C283" s="115">
        <v>252</v>
      </c>
      <c r="D283" s="14"/>
      <c r="E283" s="101"/>
      <c r="F283" s="101"/>
      <c r="G283" s="2"/>
    </row>
    <row r="284" spans="2:7" ht="15" hidden="1" customHeight="1" x14ac:dyDescent="0.25">
      <c r="B284" s="1"/>
      <c r="C284" s="115">
        <v>253</v>
      </c>
      <c r="D284" s="14"/>
      <c r="E284" s="101"/>
      <c r="F284" s="101"/>
      <c r="G284" s="2"/>
    </row>
    <row r="285" spans="2:7" ht="15" hidden="1" customHeight="1" x14ac:dyDescent="0.25">
      <c r="B285" s="1"/>
      <c r="C285" s="115">
        <v>254</v>
      </c>
      <c r="D285" s="14"/>
      <c r="E285" s="101"/>
      <c r="F285" s="101"/>
      <c r="G285" s="2"/>
    </row>
    <row r="286" spans="2:7" ht="15" hidden="1" customHeight="1" x14ac:dyDescent="0.25">
      <c r="B286" s="1"/>
      <c r="C286" s="115">
        <v>255</v>
      </c>
      <c r="D286" s="14"/>
      <c r="E286" s="101"/>
      <c r="F286" s="101"/>
      <c r="G286" s="2"/>
    </row>
    <row r="287" spans="2:7" ht="15" hidden="1" customHeight="1" x14ac:dyDescent="0.25">
      <c r="B287" s="1"/>
      <c r="C287" s="115">
        <v>256</v>
      </c>
      <c r="D287" s="14"/>
      <c r="E287" s="101"/>
      <c r="F287" s="101"/>
      <c r="G287" s="2"/>
    </row>
    <row r="288" spans="2:7" ht="15" hidden="1" customHeight="1" x14ac:dyDescent="0.25">
      <c r="B288" s="1"/>
      <c r="C288" s="115">
        <v>257</v>
      </c>
      <c r="D288" s="14"/>
      <c r="E288" s="101"/>
      <c r="F288" s="101"/>
      <c r="G288" s="2"/>
    </row>
    <row r="289" spans="2:7" ht="15" hidden="1" customHeight="1" x14ac:dyDescent="0.25">
      <c r="B289" s="1"/>
      <c r="C289" s="115">
        <v>258</v>
      </c>
      <c r="D289" s="14"/>
      <c r="E289" s="101"/>
      <c r="F289" s="101"/>
      <c r="G289" s="2"/>
    </row>
    <row r="290" spans="2:7" ht="15" hidden="1" customHeight="1" x14ac:dyDescent="0.25">
      <c r="B290" s="1"/>
      <c r="C290" s="115">
        <v>259</v>
      </c>
      <c r="D290" s="14"/>
      <c r="E290" s="101"/>
      <c r="F290" s="101"/>
      <c r="G290" s="2"/>
    </row>
    <row r="291" spans="2:7" ht="15" hidden="1" customHeight="1" x14ac:dyDescent="0.25">
      <c r="B291" s="1"/>
      <c r="C291" s="115">
        <v>260</v>
      </c>
      <c r="D291" s="14"/>
      <c r="E291" s="101"/>
      <c r="F291" s="101"/>
      <c r="G291" s="2"/>
    </row>
    <row r="292" spans="2:7" ht="15" hidden="1" customHeight="1" x14ac:dyDescent="0.25">
      <c r="B292" s="1"/>
      <c r="C292" s="115">
        <v>261</v>
      </c>
      <c r="D292" s="14"/>
      <c r="E292" s="101"/>
      <c r="F292" s="101"/>
      <c r="G292" s="2"/>
    </row>
    <row r="293" spans="2:7" ht="15" hidden="1" customHeight="1" x14ac:dyDescent="0.25">
      <c r="B293" s="1"/>
      <c r="C293" s="115">
        <v>262</v>
      </c>
      <c r="D293" s="14"/>
      <c r="E293" s="101"/>
      <c r="F293" s="101"/>
      <c r="G293" s="2"/>
    </row>
    <row r="294" spans="2:7" ht="15" hidden="1" customHeight="1" x14ac:dyDescent="0.25">
      <c r="B294" s="1"/>
      <c r="C294" s="115">
        <v>263</v>
      </c>
      <c r="D294" s="14"/>
      <c r="E294" s="101"/>
      <c r="F294" s="101"/>
      <c r="G294" s="2"/>
    </row>
    <row r="295" spans="2:7" ht="15" hidden="1" customHeight="1" x14ac:dyDescent="0.25">
      <c r="B295" s="1"/>
      <c r="C295" s="115">
        <v>264</v>
      </c>
      <c r="D295" s="14"/>
      <c r="E295" s="101"/>
      <c r="F295" s="101"/>
      <c r="G295" s="2"/>
    </row>
    <row r="296" spans="2:7" ht="15" hidden="1" customHeight="1" x14ac:dyDescent="0.25">
      <c r="B296" s="1"/>
      <c r="C296" s="115">
        <v>265</v>
      </c>
      <c r="D296" s="14"/>
      <c r="E296" s="101"/>
      <c r="F296" s="101"/>
      <c r="G296" s="2"/>
    </row>
    <row r="297" spans="2:7" ht="15" hidden="1" customHeight="1" x14ac:dyDescent="0.25">
      <c r="B297" s="1"/>
      <c r="C297" s="115">
        <v>266</v>
      </c>
      <c r="D297" s="14"/>
      <c r="E297" s="101"/>
      <c r="F297" s="101"/>
      <c r="G297" s="2"/>
    </row>
    <row r="298" spans="2:7" ht="15" hidden="1" customHeight="1" x14ac:dyDescent="0.25">
      <c r="B298" s="1"/>
      <c r="C298" s="115">
        <v>267</v>
      </c>
      <c r="D298" s="14"/>
      <c r="E298" s="101"/>
      <c r="F298" s="101"/>
      <c r="G298" s="2"/>
    </row>
    <row r="299" spans="2:7" ht="15" hidden="1" customHeight="1" x14ac:dyDescent="0.25">
      <c r="B299" s="1"/>
      <c r="C299" s="115">
        <v>268</v>
      </c>
      <c r="D299" s="14"/>
      <c r="E299" s="101"/>
      <c r="F299" s="101"/>
      <c r="G299" s="2"/>
    </row>
    <row r="300" spans="2:7" ht="15" hidden="1" customHeight="1" x14ac:dyDescent="0.25">
      <c r="B300" s="1"/>
      <c r="C300" s="115">
        <v>269</v>
      </c>
      <c r="D300" s="14"/>
      <c r="E300" s="101"/>
      <c r="F300" s="101"/>
      <c r="G300" s="2"/>
    </row>
    <row r="301" spans="2:7" ht="15" hidden="1" customHeight="1" x14ac:dyDescent="0.25">
      <c r="B301" s="1"/>
      <c r="C301" s="115">
        <v>270</v>
      </c>
      <c r="D301" s="14"/>
      <c r="E301" s="101"/>
      <c r="F301" s="101"/>
      <c r="G301" s="2"/>
    </row>
    <row r="302" spans="2:7" ht="15" hidden="1" customHeight="1" x14ac:dyDescent="0.25">
      <c r="B302" s="1"/>
      <c r="C302" s="115">
        <v>271</v>
      </c>
      <c r="D302" s="14"/>
      <c r="E302" s="101"/>
      <c r="F302" s="101"/>
      <c r="G302" s="2"/>
    </row>
    <row r="303" spans="2:7" ht="15" hidden="1" customHeight="1" x14ac:dyDescent="0.25">
      <c r="B303" s="1"/>
      <c r="C303" s="115">
        <v>272</v>
      </c>
      <c r="D303" s="14"/>
      <c r="E303" s="101"/>
      <c r="F303" s="101"/>
      <c r="G303" s="2"/>
    </row>
    <row r="304" spans="2:7" ht="15" hidden="1" customHeight="1" x14ac:dyDescent="0.25">
      <c r="B304" s="1"/>
      <c r="C304" s="115">
        <v>273</v>
      </c>
      <c r="D304" s="14"/>
      <c r="E304" s="101"/>
      <c r="F304" s="101"/>
      <c r="G304" s="2"/>
    </row>
    <row r="305" spans="2:7" ht="15" hidden="1" customHeight="1" x14ac:dyDescent="0.25">
      <c r="B305" s="1"/>
      <c r="C305" s="115">
        <v>274</v>
      </c>
      <c r="D305" s="14"/>
      <c r="E305" s="101"/>
      <c r="F305" s="101"/>
      <c r="G305" s="2"/>
    </row>
    <row r="306" spans="2:7" ht="15" hidden="1" customHeight="1" x14ac:dyDescent="0.25">
      <c r="B306" s="1"/>
      <c r="C306" s="115">
        <v>275</v>
      </c>
      <c r="D306" s="14"/>
      <c r="E306" s="101"/>
      <c r="F306" s="101"/>
      <c r="G306" s="2"/>
    </row>
    <row r="307" spans="2:7" ht="15" hidden="1" customHeight="1" x14ac:dyDescent="0.25">
      <c r="B307" s="1"/>
      <c r="C307" s="115">
        <v>276</v>
      </c>
      <c r="D307" s="14"/>
      <c r="E307" s="101"/>
      <c r="F307" s="101"/>
      <c r="G307" s="2"/>
    </row>
    <row r="308" spans="2:7" ht="15" hidden="1" customHeight="1" x14ac:dyDescent="0.25">
      <c r="B308" s="1"/>
      <c r="C308" s="115">
        <v>277</v>
      </c>
      <c r="D308" s="14"/>
      <c r="E308" s="101"/>
      <c r="F308" s="101"/>
      <c r="G308" s="2"/>
    </row>
    <row r="309" spans="2:7" ht="15" hidden="1" customHeight="1" x14ac:dyDescent="0.25">
      <c r="B309" s="1"/>
      <c r="C309" s="115">
        <v>278</v>
      </c>
      <c r="D309" s="14"/>
      <c r="E309" s="101"/>
      <c r="F309" s="101"/>
      <c r="G309" s="2"/>
    </row>
    <row r="310" spans="2:7" ht="15" hidden="1" customHeight="1" x14ac:dyDescent="0.25">
      <c r="B310" s="1"/>
      <c r="C310" s="115">
        <v>279</v>
      </c>
      <c r="D310" s="14"/>
      <c r="E310" s="101"/>
      <c r="F310" s="101"/>
      <c r="G310" s="2"/>
    </row>
    <row r="311" spans="2:7" ht="15" hidden="1" customHeight="1" x14ac:dyDescent="0.25">
      <c r="B311" s="1"/>
      <c r="C311" s="115">
        <v>280</v>
      </c>
      <c r="D311" s="14"/>
      <c r="E311" s="101"/>
      <c r="F311" s="101"/>
      <c r="G311" s="2"/>
    </row>
    <row r="312" spans="2:7" ht="15" hidden="1" customHeight="1" x14ac:dyDescent="0.25">
      <c r="B312" s="1"/>
      <c r="C312" s="115">
        <v>281</v>
      </c>
      <c r="D312" s="14"/>
      <c r="E312" s="101"/>
      <c r="F312" s="101"/>
      <c r="G312" s="2"/>
    </row>
    <row r="313" spans="2:7" ht="15" hidden="1" customHeight="1" x14ac:dyDescent="0.25">
      <c r="B313" s="1"/>
      <c r="C313" s="115">
        <v>282</v>
      </c>
      <c r="D313" s="14"/>
      <c r="E313" s="101"/>
      <c r="F313" s="101"/>
      <c r="G313" s="2"/>
    </row>
    <row r="314" spans="2:7" ht="15" hidden="1" customHeight="1" x14ac:dyDescent="0.25">
      <c r="B314" s="1"/>
      <c r="C314" s="115">
        <v>283</v>
      </c>
      <c r="D314" s="14"/>
      <c r="E314" s="101"/>
      <c r="F314" s="101"/>
      <c r="G314" s="2"/>
    </row>
    <row r="315" spans="2:7" ht="15" hidden="1" customHeight="1" x14ac:dyDescent="0.25">
      <c r="B315" s="1"/>
      <c r="C315" s="115">
        <v>284</v>
      </c>
      <c r="D315" s="14"/>
      <c r="E315" s="101"/>
      <c r="F315" s="101"/>
      <c r="G315" s="2"/>
    </row>
    <row r="316" spans="2:7" ht="15" hidden="1" customHeight="1" x14ac:dyDescent="0.25">
      <c r="B316" s="1"/>
      <c r="C316" s="115">
        <v>285</v>
      </c>
      <c r="D316" s="14"/>
      <c r="E316" s="101"/>
      <c r="F316" s="101"/>
      <c r="G316" s="2"/>
    </row>
    <row r="317" spans="2:7" ht="15" hidden="1" customHeight="1" x14ac:dyDescent="0.25">
      <c r="B317" s="1"/>
      <c r="C317" s="115">
        <v>286</v>
      </c>
      <c r="D317" s="14"/>
      <c r="E317" s="101"/>
      <c r="F317" s="101"/>
      <c r="G317" s="2"/>
    </row>
    <row r="318" spans="2:7" ht="15" hidden="1" customHeight="1" x14ac:dyDescent="0.25">
      <c r="B318" s="1"/>
      <c r="C318" s="115">
        <v>287</v>
      </c>
      <c r="D318" s="14"/>
      <c r="E318" s="101"/>
      <c r="F318" s="101"/>
      <c r="G318" s="2"/>
    </row>
    <row r="319" spans="2:7" ht="15" hidden="1" customHeight="1" x14ac:dyDescent="0.25">
      <c r="B319" s="1"/>
      <c r="C319" s="115">
        <v>288</v>
      </c>
      <c r="D319" s="14"/>
      <c r="E319" s="101"/>
      <c r="F319" s="101"/>
      <c r="G319" s="2"/>
    </row>
    <row r="320" spans="2:7" ht="15" hidden="1" customHeight="1" x14ac:dyDescent="0.25">
      <c r="B320" s="1"/>
      <c r="C320" s="115">
        <v>289</v>
      </c>
      <c r="D320" s="14"/>
      <c r="E320" s="101"/>
      <c r="F320" s="101"/>
      <c r="G320" s="2"/>
    </row>
    <row r="321" spans="2:7" ht="15" hidden="1" customHeight="1" x14ac:dyDescent="0.25">
      <c r="B321" s="1"/>
      <c r="C321" s="115">
        <v>290</v>
      </c>
      <c r="D321" s="14"/>
      <c r="E321" s="101"/>
      <c r="F321" s="101"/>
      <c r="G321" s="2"/>
    </row>
    <row r="322" spans="2:7" ht="15" hidden="1" customHeight="1" x14ac:dyDescent="0.25">
      <c r="B322" s="1"/>
      <c r="C322" s="115">
        <v>291</v>
      </c>
      <c r="D322" s="14"/>
      <c r="E322" s="101"/>
      <c r="F322" s="101"/>
      <c r="G322" s="2"/>
    </row>
    <row r="323" spans="2:7" ht="15" hidden="1" customHeight="1" x14ac:dyDescent="0.25">
      <c r="B323" s="1"/>
      <c r="C323" s="115">
        <v>292</v>
      </c>
      <c r="D323" s="14"/>
      <c r="E323" s="101"/>
      <c r="F323" s="101"/>
      <c r="G323" s="2"/>
    </row>
    <row r="324" spans="2:7" ht="15" hidden="1" customHeight="1" x14ac:dyDescent="0.25">
      <c r="B324" s="1"/>
      <c r="C324" s="115">
        <v>293</v>
      </c>
      <c r="D324" s="14"/>
      <c r="E324" s="101"/>
      <c r="F324" s="101"/>
      <c r="G324" s="2"/>
    </row>
    <row r="325" spans="2:7" ht="15" hidden="1" customHeight="1" x14ac:dyDescent="0.25">
      <c r="B325" s="1"/>
      <c r="C325" s="115">
        <v>294</v>
      </c>
      <c r="D325" s="14"/>
      <c r="E325" s="101"/>
      <c r="F325" s="101"/>
      <c r="G325" s="2"/>
    </row>
    <row r="326" spans="2:7" ht="15" hidden="1" customHeight="1" x14ac:dyDescent="0.25">
      <c r="B326" s="1"/>
      <c r="C326" s="115">
        <v>295</v>
      </c>
      <c r="D326" s="14"/>
      <c r="E326" s="101"/>
      <c r="F326" s="101"/>
      <c r="G326" s="2"/>
    </row>
    <row r="327" spans="2:7" ht="15" hidden="1" customHeight="1" x14ac:dyDescent="0.25">
      <c r="B327" s="1"/>
      <c r="C327" s="115">
        <v>296</v>
      </c>
      <c r="D327" s="14"/>
      <c r="E327" s="101"/>
      <c r="F327" s="101"/>
      <c r="G327" s="2"/>
    </row>
    <row r="328" spans="2:7" ht="15" hidden="1" customHeight="1" x14ac:dyDescent="0.25">
      <c r="B328" s="1"/>
      <c r="C328" s="115">
        <v>297</v>
      </c>
      <c r="D328" s="14"/>
      <c r="E328" s="101"/>
      <c r="F328" s="101"/>
      <c r="G328" s="2"/>
    </row>
    <row r="329" spans="2:7" ht="15" hidden="1" customHeight="1" x14ac:dyDescent="0.25">
      <c r="B329" s="1"/>
      <c r="C329" s="115">
        <v>298</v>
      </c>
      <c r="D329" s="14"/>
      <c r="E329" s="101"/>
      <c r="F329" s="101"/>
      <c r="G329" s="2"/>
    </row>
    <row r="330" spans="2:7" ht="15" hidden="1" customHeight="1" x14ac:dyDescent="0.25">
      <c r="B330" s="1"/>
      <c r="C330" s="115">
        <v>299</v>
      </c>
      <c r="D330" s="14"/>
      <c r="E330" s="101"/>
      <c r="F330" s="101"/>
      <c r="G330" s="2"/>
    </row>
    <row r="331" spans="2:7" ht="15" hidden="1" customHeight="1" x14ac:dyDescent="0.25">
      <c r="B331" s="1"/>
      <c r="C331" s="115">
        <v>300</v>
      </c>
      <c r="D331" s="14"/>
      <c r="E331" s="101"/>
      <c r="F331" s="101"/>
      <c r="G331" s="2"/>
    </row>
    <row r="332" spans="2:7" ht="15" hidden="1" customHeight="1" x14ac:dyDescent="0.25">
      <c r="B332" s="1"/>
      <c r="C332" s="115">
        <v>301</v>
      </c>
      <c r="D332" s="14"/>
      <c r="E332" s="101"/>
      <c r="F332" s="101"/>
      <c r="G332" s="2"/>
    </row>
    <row r="333" spans="2:7" ht="15" hidden="1" customHeight="1" x14ac:dyDescent="0.25">
      <c r="B333" s="1"/>
      <c r="C333" s="115">
        <v>302</v>
      </c>
      <c r="D333" s="14"/>
      <c r="E333" s="101"/>
      <c r="F333" s="101"/>
      <c r="G333" s="2"/>
    </row>
    <row r="334" spans="2:7" ht="15" hidden="1" customHeight="1" x14ac:dyDescent="0.25">
      <c r="B334" s="1"/>
      <c r="C334" s="115">
        <v>303</v>
      </c>
      <c r="D334" s="14"/>
      <c r="E334" s="101"/>
      <c r="F334" s="101"/>
      <c r="G334" s="2"/>
    </row>
    <row r="335" spans="2:7" ht="15" hidden="1" customHeight="1" x14ac:dyDescent="0.25">
      <c r="B335" s="1"/>
      <c r="C335" s="115">
        <v>304</v>
      </c>
      <c r="D335" s="14"/>
      <c r="E335" s="101"/>
      <c r="F335" s="101"/>
      <c r="G335" s="2"/>
    </row>
    <row r="336" spans="2:7" ht="15" hidden="1" customHeight="1" x14ac:dyDescent="0.25">
      <c r="B336" s="1"/>
      <c r="C336" s="115">
        <v>305</v>
      </c>
      <c r="D336" s="14"/>
      <c r="E336" s="101"/>
      <c r="F336" s="101"/>
      <c r="G336" s="2"/>
    </row>
    <row r="337" spans="2:7" ht="15" hidden="1" customHeight="1" x14ac:dyDescent="0.25">
      <c r="B337" s="1"/>
      <c r="C337" s="115">
        <v>306</v>
      </c>
      <c r="D337" s="14"/>
      <c r="E337" s="101"/>
      <c r="F337" s="101"/>
      <c r="G337" s="2"/>
    </row>
    <row r="338" spans="2:7" ht="15" hidden="1" customHeight="1" x14ac:dyDescent="0.25">
      <c r="B338" s="1"/>
      <c r="C338" s="115">
        <v>307</v>
      </c>
      <c r="D338" s="14"/>
      <c r="E338" s="101"/>
      <c r="F338" s="101"/>
      <c r="G338" s="2"/>
    </row>
    <row r="339" spans="2:7" ht="15" hidden="1" customHeight="1" x14ac:dyDescent="0.25">
      <c r="B339" s="1"/>
      <c r="C339" s="115">
        <v>308</v>
      </c>
      <c r="D339" s="14"/>
      <c r="E339" s="101"/>
      <c r="F339" s="101"/>
      <c r="G339" s="2"/>
    </row>
    <row r="340" spans="2:7" ht="15" hidden="1" customHeight="1" x14ac:dyDescent="0.25">
      <c r="B340" s="1"/>
      <c r="C340" s="115">
        <v>309</v>
      </c>
      <c r="D340" s="14"/>
      <c r="E340" s="101"/>
      <c r="F340" s="101"/>
      <c r="G340" s="2"/>
    </row>
    <row r="341" spans="2:7" ht="15" hidden="1" customHeight="1" x14ac:dyDescent="0.25">
      <c r="B341" s="1"/>
      <c r="C341" s="115">
        <v>310</v>
      </c>
      <c r="D341" s="14"/>
      <c r="E341" s="101"/>
      <c r="F341" s="101"/>
      <c r="G341" s="2"/>
    </row>
    <row r="342" spans="2:7" ht="15" hidden="1" customHeight="1" x14ac:dyDescent="0.25">
      <c r="B342" s="1"/>
      <c r="C342" s="115">
        <v>311</v>
      </c>
      <c r="D342" s="14"/>
      <c r="E342" s="101"/>
      <c r="F342" s="101"/>
      <c r="G342" s="2"/>
    </row>
    <row r="343" spans="2:7" ht="15" hidden="1" customHeight="1" x14ac:dyDescent="0.25">
      <c r="B343" s="1"/>
      <c r="C343" s="115">
        <v>312</v>
      </c>
      <c r="D343" s="14"/>
      <c r="E343" s="101"/>
      <c r="F343" s="101"/>
      <c r="G343" s="2"/>
    </row>
    <row r="344" spans="2:7" ht="15" hidden="1" customHeight="1" x14ac:dyDescent="0.25">
      <c r="B344" s="1"/>
      <c r="C344" s="115">
        <v>313</v>
      </c>
      <c r="D344" s="14"/>
      <c r="E344" s="101"/>
      <c r="F344" s="101"/>
      <c r="G344" s="2"/>
    </row>
    <row r="345" spans="2:7" ht="15" hidden="1" customHeight="1" x14ac:dyDescent="0.25">
      <c r="B345" s="1"/>
      <c r="C345" s="115">
        <v>314</v>
      </c>
      <c r="D345" s="14"/>
      <c r="E345" s="101"/>
      <c r="F345" s="101"/>
      <c r="G345" s="2"/>
    </row>
    <row r="346" spans="2:7" ht="15" hidden="1" customHeight="1" x14ac:dyDescent="0.25">
      <c r="B346" s="1"/>
      <c r="C346" s="115">
        <v>315</v>
      </c>
      <c r="D346" s="14"/>
      <c r="E346" s="101"/>
      <c r="F346" s="101"/>
      <c r="G346" s="2"/>
    </row>
    <row r="347" spans="2:7" ht="15" hidden="1" customHeight="1" x14ac:dyDescent="0.25">
      <c r="B347" s="1"/>
      <c r="C347" s="115">
        <v>316</v>
      </c>
      <c r="D347" s="14"/>
      <c r="E347" s="101"/>
      <c r="F347" s="101"/>
      <c r="G347" s="2"/>
    </row>
    <row r="348" spans="2:7" ht="15" hidden="1" customHeight="1" x14ac:dyDescent="0.25">
      <c r="B348" s="1"/>
      <c r="C348" s="115">
        <v>317</v>
      </c>
      <c r="D348" s="14"/>
      <c r="E348" s="101"/>
      <c r="F348" s="101"/>
      <c r="G348" s="2"/>
    </row>
    <row r="349" spans="2:7" ht="15" hidden="1" customHeight="1" x14ac:dyDescent="0.25">
      <c r="B349" s="1"/>
      <c r="C349" s="115">
        <v>318</v>
      </c>
      <c r="D349" s="14"/>
      <c r="E349" s="101"/>
      <c r="F349" s="101"/>
      <c r="G349" s="2"/>
    </row>
    <row r="350" spans="2:7" ht="15" hidden="1" customHeight="1" x14ac:dyDescent="0.25">
      <c r="B350" s="1"/>
      <c r="C350" s="115">
        <v>319</v>
      </c>
      <c r="D350" s="14"/>
      <c r="E350" s="101"/>
      <c r="F350" s="101"/>
      <c r="G350" s="2"/>
    </row>
    <row r="351" spans="2:7" ht="15" hidden="1" customHeight="1" x14ac:dyDescent="0.25">
      <c r="B351" s="1"/>
      <c r="C351" s="115">
        <v>320</v>
      </c>
      <c r="D351" s="14"/>
      <c r="E351" s="101"/>
      <c r="F351" s="101"/>
      <c r="G351" s="2"/>
    </row>
    <row r="352" spans="2:7" ht="15" hidden="1" customHeight="1" x14ac:dyDescent="0.25">
      <c r="B352" s="1"/>
      <c r="C352" s="115">
        <v>321</v>
      </c>
      <c r="D352" s="14"/>
      <c r="E352" s="101"/>
      <c r="F352" s="101"/>
      <c r="G352" s="2"/>
    </row>
    <row r="353" spans="2:7" ht="15" hidden="1" customHeight="1" x14ac:dyDescent="0.25">
      <c r="B353" s="1"/>
      <c r="C353" s="115">
        <v>322</v>
      </c>
      <c r="D353" s="14"/>
      <c r="E353" s="101"/>
      <c r="F353" s="101"/>
      <c r="G353" s="2"/>
    </row>
    <row r="354" spans="2:7" ht="15" hidden="1" customHeight="1" x14ac:dyDescent="0.25">
      <c r="B354" s="1"/>
      <c r="C354" s="115">
        <v>323</v>
      </c>
      <c r="D354" s="14"/>
      <c r="E354" s="101"/>
      <c r="F354" s="101"/>
      <c r="G354" s="2"/>
    </row>
    <row r="355" spans="2:7" ht="15" hidden="1" customHeight="1" x14ac:dyDescent="0.25">
      <c r="B355" s="1"/>
      <c r="C355" s="115">
        <v>324</v>
      </c>
      <c r="D355" s="14"/>
      <c r="E355" s="101"/>
      <c r="F355" s="101"/>
      <c r="G355" s="2"/>
    </row>
    <row r="356" spans="2:7" ht="15" hidden="1" customHeight="1" x14ac:dyDescent="0.25">
      <c r="B356" s="1"/>
      <c r="C356" s="115">
        <v>325</v>
      </c>
      <c r="D356" s="14"/>
      <c r="E356" s="101"/>
      <c r="F356" s="101"/>
      <c r="G356" s="2"/>
    </row>
    <row r="357" spans="2:7" ht="15" hidden="1" customHeight="1" x14ac:dyDescent="0.25">
      <c r="B357" s="1"/>
      <c r="C357" s="115">
        <v>326</v>
      </c>
      <c r="D357" s="14"/>
      <c r="E357" s="101"/>
      <c r="F357" s="101"/>
      <c r="G357" s="2"/>
    </row>
    <row r="358" spans="2:7" ht="15" hidden="1" customHeight="1" x14ac:dyDescent="0.25">
      <c r="B358" s="1"/>
      <c r="C358" s="115">
        <v>327</v>
      </c>
      <c r="D358" s="14"/>
      <c r="E358" s="101"/>
      <c r="F358" s="101"/>
      <c r="G358" s="2"/>
    </row>
    <row r="359" spans="2:7" ht="15" hidden="1" customHeight="1" x14ac:dyDescent="0.25">
      <c r="B359" s="1"/>
      <c r="C359" s="115">
        <v>328</v>
      </c>
      <c r="D359" s="14"/>
      <c r="E359" s="101"/>
      <c r="F359" s="101"/>
      <c r="G359" s="2"/>
    </row>
    <row r="360" spans="2:7" ht="15" hidden="1" customHeight="1" x14ac:dyDescent="0.25">
      <c r="B360" s="1"/>
      <c r="C360" s="115">
        <v>329</v>
      </c>
      <c r="D360" s="14"/>
      <c r="E360" s="101"/>
      <c r="F360" s="101"/>
      <c r="G360" s="2"/>
    </row>
    <row r="361" spans="2:7" ht="15" hidden="1" customHeight="1" x14ac:dyDescent="0.25">
      <c r="B361" s="1"/>
      <c r="C361" s="115">
        <v>330</v>
      </c>
      <c r="D361" s="14"/>
      <c r="E361" s="101"/>
      <c r="F361" s="101"/>
      <c r="G361" s="2"/>
    </row>
    <row r="362" spans="2:7" ht="15" hidden="1" customHeight="1" x14ac:dyDescent="0.25">
      <c r="B362" s="1"/>
      <c r="C362" s="115">
        <v>331</v>
      </c>
      <c r="D362" s="14"/>
      <c r="E362" s="101"/>
      <c r="F362" s="101"/>
      <c r="G362" s="2"/>
    </row>
    <row r="363" spans="2:7" ht="15" hidden="1" customHeight="1" x14ac:dyDescent="0.25">
      <c r="B363" s="1"/>
      <c r="C363" s="115">
        <v>332</v>
      </c>
      <c r="D363" s="14"/>
      <c r="E363" s="101"/>
      <c r="F363" s="101"/>
      <c r="G363" s="2"/>
    </row>
    <row r="364" spans="2:7" ht="15" hidden="1" customHeight="1" x14ac:dyDescent="0.25">
      <c r="B364" s="1"/>
      <c r="C364" s="115">
        <v>333</v>
      </c>
      <c r="D364" s="14"/>
      <c r="E364" s="101"/>
      <c r="F364" s="101"/>
      <c r="G364" s="2"/>
    </row>
    <row r="365" spans="2:7" ht="15" hidden="1" customHeight="1" x14ac:dyDescent="0.25">
      <c r="B365" s="1"/>
      <c r="C365" s="115">
        <v>334</v>
      </c>
      <c r="D365" s="14"/>
      <c r="E365" s="101"/>
      <c r="F365" s="101"/>
      <c r="G365" s="2"/>
    </row>
    <row r="366" spans="2:7" ht="15" hidden="1" customHeight="1" x14ac:dyDescent="0.25">
      <c r="B366" s="1"/>
      <c r="C366" s="115">
        <v>335</v>
      </c>
      <c r="D366" s="14"/>
      <c r="E366" s="101"/>
      <c r="F366" s="101"/>
      <c r="G366" s="2"/>
    </row>
    <row r="367" spans="2:7" ht="15" hidden="1" customHeight="1" x14ac:dyDescent="0.25">
      <c r="B367" s="1"/>
      <c r="C367" s="115">
        <v>336</v>
      </c>
      <c r="D367" s="14"/>
      <c r="E367" s="101"/>
      <c r="F367" s="101"/>
      <c r="G367" s="2"/>
    </row>
    <row r="368" spans="2:7" ht="15" hidden="1" customHeight="1" x14ac:dyDescent="0.25">
      <c r="B368" s="1"/>
      <c r="C368" s="115">
        <v>337</v>
      </c>
      <c r="D368" s="14"/>
      <c r="E368" s="101"/>
      <c r="F368" s="101"/>
      <c r="G368" s="2"/>
    </row>
    <row r="369" spans="2:7" ht="15" hidden="1" customHeight="1" x14ac:dyDescent="0.25">
      <c r="B369" s="1"/>
      <c r="C369" s="115">
        <v>338</v>
      </c>
      <c r="D369" s="14"/>
      <c r="E369" s="101"/>
      <c r="F369" s="101"/>
      <c r="G369" s="2"/>
    </row>
    <row r="370" spans="2:7" ht="15" hidden="1" customHeight="1" x14ac:dyDescent="0.25">
      <c r="B370" s="1"/>
      <c r="C370" s="115">
        <v>339</v>
      </c>
      <c r="D370" s="14"/>
      <c r="E370" s="101"/>
      <c r="F370" s="101"/>
      <c r="G370" s="2"/>
    </row>
    <row r="371" spans="2:7" ht="15" hidden="1" customHeight="1" x14ac:dyDescent="0.25">
      <c r="B371" s="1"/>
      <c r="C371" s="115">
        <v>340</v>
      </c>
      <c r="D371" s="14"/>
      <c r="E371" s="101"/>
      <c r="F371" s="101"/>
      <c r="G371" s="2"/>
    </row>
    <row r="372" spans="2:7" ht="15" hidden="1" customHeight="1" x14ac:dyDescent="0.25">
      <c r="B372" s="1"/>
      <c r="C372" s="115">
        <v>341</v>
      </c>
      <c r="D372" s="14"/>
      <c r="E372" s="101"/>
      <c r="F372" s="101"/>
      <c r="G372" s="2"/>
    </row>
    <row r="373" spans="2:7" ht="15" hidden="1" customHeight="1" x14ac:dyDescent="0.25">
      <c r="B373" s="1"/>
      <c r="C373" s="115">
        <v>342</v>
      </c>
      <c r="D373" s="14"/>
      <c r="E373" s="101"/>
      <c r="F373" s="101"/>
      <c r="G373" s="2"/>
    </row>
    <row r="374" spans="2:7" ht="15" hidden="1" customHeight="1" x14ac:dyDescent="0.25">
      <c r="B374" s="1"/>
      <c r="C374" s="115">
        <v>343</v>
      </c>
      <c r="D374" s="14"/>
      <c r="E374" s="101"/>
      <c r="F374" s="101"/>
      <c r="G374" s="2"/>
    </row>
    <row r="375" spans="2:7" ht="15" hidden="1" customHeight="1" x14ac:dyDescent="0.25">
      <c r="B375" s="1"/>
      <c r="C375" s="115">
        <v>344</v>
      </c>
      <c r="D375" s="14"/>
      <c r="E375" s="101"/>
      <c r="F375" s="101"/>
      <c r="G375" s="2"/>
    </row>
    <row r="376" spans="2:7" ht="15" hidden="1" customHeight="1" x14ac:dyDescent="0.25">
      <c r="B376" s="1"/>
      <c r="C376" s="115">
        <v>345</v>
      </c>
      <c r="D376" s="14"/>
      <c r="E376" s="101"/>
      <c r="F376" s="101"/>
      <c r="G376" s="2"/>
    </row>
    <row r="377" spans="2:7" ht="15" hidden="1" customHeight="1" x14ac:dyDescent="0.25">
      <c r="B377" s="1"/>
      <c r="C377" s="115">
        <v>346</v>
      </c>
      <c r="D377" s="14"/>
      <c r="E377" s="101"/>
      <c r="F377" s="101"/>
      <c r="G377" s="2"/>
    </row>
    <row r="378" spans="2:7" ht="15" hidden="1" customHeight="1" x14ac:dyDescent="0.25">
      <c r="B378" s="1"/>
      <c r="C378" s="115">
        <v>347</v>
      </c>
      <c r="D378" s="14"/>
      <c r="E378" s="101"/>
      <c r="F378" s="101"/>
      <c r="G378" s="2"/>
    </row>
    <row r="379" spans="2:7" ht="15" hidden="1" customHeight="1" x14ac:dyDescent="0.25">
      <c r="B379" s="1"/>
      <c r="C379" s="115">
        <v>348</v>
      </c>
      <c r="D379" s="14"/>
      <c r="E379" s="101"/>
      <c r="F379" s="101"/>
      <c r="G379" s="2"/>
    </row>
    <row r="380" spans="2:7" ht="15" hidden="1" customHeight="1" x14ac:dyDescent="0.25">
      <c r="B380" s="1"/>
      <c r="C380" s="115">
        <v>349</v>
      </c>
      <c r="D380" s="14"/>
      <c r="E380" s="101"/>
      <c r="F380" s="101"/>
      <c r="G380" s="2"/>
    </row>
    <row r="381" spans="2:7" ht="15" hidden="1" customHeight="1" x14ac:dyDescent="0.25">
      <c r="B381" s="1"/>
      <c r="C381" s="115">
        <v>350</v>
      </c>
      <c r="D381" s="14"/>
      <c r="E381" s="101"/>
      <c r="F381" s="101"/>
      <c r="G381" s="2"/>
    </row>
    <row r="382" spans="2:7" ht="15" hidden="1" customHeight="1" x14ac:dyDescent="0.25">
      <c r="B382" s="1"/>
      <c r="C382" s="115">
        <v>351</v>
      </c>
      <c r="D382" s="14"/>
      <c r="E382" s="101"/>
      <c r="F382" s="101"/>
      <c r="G382" s="2"/>
    </row>
    <row r="383" spans="2:7" ht="15" hidden="1" customHeight="1" x14ac:dyDescent="0.25">
      <c r="B383" s="1"/>
      <c r="C383" s="115">
        <v>352</v>
      </c>
      <c r="D383" s="14"/>
      <c r="E383" s="101"/>
      <c r="F383" s="101"/>
      <c r="G383" s="2"/>
    </row>
    <row r="384" spans="2:7" ht="15" hidden="1" customHeight="1" x14ac:dyDescent="0.25">
      <c r="B384" s="1"/>
      <c r="C384" s="115">
        <v>353</v>
      </c>
      <c r="D384" s="14"/>
      <c r="E384" s="101"/>
      <c r="F384" s="101"/>
      <c r="G384" s="2"/>
    </row>
    <row r="385" spans="2:7" ht="15" hidden="1" customHeight="1" x14ac:dyDescent="0.25">
      <c r="B385" s="1"/>
      <c r="C385" s="115">
        <v>354</v>
      </c>
      <c r="D385" s="14"/>
      <c r="E385" s="101"/>
      <c r="F385" s="101"/>
      <c r="G385" s="2"/>
    </row>
    <row r="386" spans="2:7" ht="15" hidden="1" customHeight="1" x14ac:dyDescent="0.25">
      <c r="B386" s="1"/>
      <c r="C386" s="115">
        <v>355</v>
      </c>
      <c r="D386" s="14"/>
      <c r="E386" s="101"/>
      <c r="F386" s="101"/>
      <c r="G386" s="2"/>
    </row>
    <row r="387" spans="2:7" ht="15" hidden="1" customHeight="1" x14ac:dyDescent="0.25">
      <c r="B387" s="1"/>
      <c r="C387" s="115">
        <v>356</v>
      </c>
      <c r="D387" s="14"/>
      <c r="E387" s="101"/>
      <c r="F387" s="101"/>
      <c r="G387" s="2"/>
    </row>
    <row r="388" spans="2:7" ht="15" hidden="1" customHeight="1" x14ac:dyDescent="0.25">
      <c r="B388" s="1"/>
      <c r="C388" s="115">
        <v>357</v>
      </c>
      <c r="D388" s="14"/>
      <c r="E388" s="101"/>
      <c r="F388" s="101"/>
      <c r="G388" s="2"/>
    </row>
    <row r="389" spans="2:7" ht="15" hidden="1" customHeight="1" x14ac:dyDescent="0.25">
      <c r="B389" s="1"/>
      <c r="C389" s="115">
        <v>358</v>
      </c>
      <c r="D389" s="14"/>
      <c r="E389" s="101"/>
      <c r="F389" s="101"/>
      <c r="G389" s="2"/>
    </row>
    <row r="390" spans="2:7" ht="15" hidden="1" customHeight="1" x14ac:dyDescent="0.25">
      <c r="B390" s="1"/>
      <c r="C390" s="115">
        <v>359</v>
      </c>
      <c r="D390" s="14"/>
      <c r="E390" s="101"/>
      <c r="F390" s="101"/>
      <c r="G390" s="2"/>
    </row>
    <row r="391" spans="2:7" ht="15" hidden="1" customHeight="1" x14ac:dyDescent="0.25">
      <c r="B391" s="1"/>
      <c r="C391" s="115">
        <v>360</v>
      </c>
      <c r="D391" s="14"/>
      <c r="E391" s="101"/>
      <c r="F391" s="101"/>
      <c r="G391" s="2"/>
    </row>
    <row r="392" spans="2:7" ht="15" hidden="1" customHeight="1" x14ac:dyDescent="0.25">
      <c r="B392" s="1"/>
      <c r="C392" s="115">
        <v>361</v>
      </c>
      <c r="D392" s="14"/>
      <c r="E392" s="101"/>
      <c r="F392" s="101"/>
      <c r="G392" s="2"/>
    </row>
    <row r="393" spans="2:7" ht="15" hidden="1" customHeight="1" x14ac:dyDescent="0.25">
      <c r="B393" s="1"/>
      <c r="C393" s="115">
        <v>362</v>
      </c>
      <c r="D393" s="14"/>
      <c r="E393" s="101"/>
      <c r="F393" s="101"/>
      <c r="G393" s="2"/>
    </row>
    <row r="394" spans="2:7" ht="15" hidden="1" customHeight="1" x14ac:dyDescent="0.25">
      <c r="B394" s="1"/>
      <c r="C394" s="115">
        <v>363</v>
      </c>
      <c r="D394" s="14"/>
      <c r="E394" s="101"/>
      <c r="F394" s="101"/>
      <c r="G394" s="2"/>
    </row>
    <row r="395" spans="2:7" ht="15" hidden="1" customHeight="1" x14ac:dyDescent="0.25">
      <c r="B395" s="1"/>
      <c r="C395" s="115">
        <v>364</v>
      </c>
      <c r="D395" s="14"/>
      <c r="E395" s="101"/>
      <c r="F395" s="101"/>
      <c r="G395" s="2"/>
    </row>
    <row r="396" spans="2:7" ht="15" hidden="1" customHeight="1" x14ac:dyDescent="0.25">
      <c r="B396" s="1"/>
      <c r="C396" s="115">
        <v>365</v>
      </c>
      <c r="D396" s="14"/>
      <c r="E396" s="101"/>
      <c r="F396" s="101"/>
      <c r="G396" s="2"/>
    </row>
    <row r="397" spans="2:7" ht="15" hidden="1" customHeight="1" x14ac:dyDescent="0.25">
      <c r="B397" s="1"/>
      <c r="C397" s="115">
        <v>366</v>
      </c>
      <c r="D397" s="14"/>
      <c r="E397" s="101"/>
      <c r="F397" s="101"/>
      <c r="G397" s="2"/>
    </row>
    <row r="398" spans="2:7" ht="15" hidden="1" customHeight="1" x14ac:dyDescent="0.25">
      <c r="B398" s="1"/>
      <c r="C398" s="115">
        <v>367</v>
      </c>
      <c r="D398" s="14"/>
      <c r="E398" s="101"/>
      <c r="F398" s="101"/>
      <c r="G398" s="2"/>
    </row>
    <row r="399" spans="2:7" ht="15" hidden="1" customHeight="1" x14ac:dyDescent="0.25">
      <c r="B399" s="1"/>
      <c r="C399" s="115">
        <v>368</v>
      </c>
      <c r="D399" s="14"/>
      <c r="E399" s="101"/>
      <c r="F399" s="101"/>
      <c r="G399" s="2"/>
    </row>
    <row r="400" spans="2:7" ht="15" hidden="1" customHeight="1" x14ac:dyDescent="0.25">
      <c r="B400" s="1"/>
      <c r="C400" s="115">
        <v>369</v>
      </c>
      <c r="D400" s="14"/>
      <c r="E400" s="101"/>
      <c r="F400" s="101"/>
      <c r="G400" s="2"/>
    </row>
    <row r="401" spans="2:7" ht="15" hidden="1" customHeight="1" x14ac:dyDescent="0.25">
      <c r="B401" s="1"/>
      <c r="C401" s="115">
        <v>370</v>
      </c>
      <c r="D401" s="14"/>
      <c r="E401" s="101"/>
      <c r="F401" s="101"/>
      <c r="G401" s="2"/>
    </row>
    <row r="402" spans="2:7" ht="15" hidden="1" customHeight="1" x14ac:dyDescent="0.25">
      <c r="B402" s="1"/>
      <c r="C402" s="115">
        <v>371</v>
      </c>
      <c r="D402" s="14"/>
      <c r="E402" s="101"/>
      <c r="F402" s="101"/>
      <c r="G402" s="2"/>
    </row>
    <row r="403" spans="2:7" ht="15" hidden="1" customHeight="1" x14ac:dyDescent="0.25">
      <c r="B403" s="1"/>
      <c r="C403" s="115">
        <v>372</v>
      </c>
      <c r="D403" s="14"/>
      <c r="E403" s="101"/>
      <c r="F403" s="101"/>
      <c r="G403" s="2"/>
    </row>
    <row r="404" spans="2:7" ht="15" hidden="1" customHeight="1" x14ac:dyDescent="0.25">
      <c r="B404" s="1"/>
      <c r="C404" s="115">
        <v>373</v>
      </c>
      <c r="D404" s="14"/>
      <c r="E404" s="101"/>
      <c r="F404" s="101"/>
      <c r="G404" s="2"/>
    </row>
    <row r="405" spans="2:7" ht="15" hidden="1" customHeight="1" x14ac:dyDescent="0.25">
      <c r="B405" s="1"/>
      <c r="C405" s="115">
        <v>374</v>
      </c>
      <c r="D405" s="14"/>
      <c r="E405" s="101"/>
      <c r="F405" s="101"/>
      <c r="G405" s="2"/>
    </row>
    <row r="406" spans="2:7" ht="15" hidden="1" customHeight="1" x14ac:dyDescent="0.25">
      <c r="B406" s="1"/>
      <c r="C406" s="115">
        <v>375</v>
      </c>
      <c r="D406" s="14"/>
      <c r="E406" s="101"/>
      <c r="F406" s="101"/>
      <c r="G406" s="2"/>
    </row>
    <row r="407" spans="2:7" ht="15" hidden="1" customHeight="1" x14ac:dyDescent="0.25">
      <c r="B407" s="1"/>
      <c r="C407" s="115">
        <v>376</v>
      </c>
      <c r="D407" s="14"/>
      <c r="E407" s="101"/>
      <c r="F407" s="101"/>
      <c r="G407" s="2"/>
    </row>
    <row r="408" spans="2:7" ht="15" hidden="1" customHeight="1" x14ac:dyDescent="0.25">
      <c r="B408" s="1"/>
      <c r="C408" s="115">
        <v>377</v>
      </c>
      <c r="D408" s="14"/>
      <c r="E408" s="101"/>
      <c r="F408" s="101"/>
      <c r="G408" s="2"/>
    </row>
    <row r="409" spans="2:7" ht="15" hidden="1" customHeight="1" x14ac:dyDescent="0.25">
      <c r="B409" s="1"/>
      <c r="C409" s="115">
        <v>378</v>
      </c>
      <c r="D409" s="14"/>
      <c r="E409" s="101"/>
      <c r="F409" s="101"/>
      <c r="G409" s="2"/>
    </row>
    <row r="410" spans="2:7" ht="15" hidden="1" customHeight="1" x14ac:dyDescent="0.25">
      <c r="B410" s="1"/>
      <c r="C410" s="115">
        <v>379</v>
      </c>
      <c r="D410" s="14"/>
      <c r="E410" s="101"/>
      <c r="F410" s="101"/>
      <c r="G410" s="2"/>
    </row>
    <row r="411" spans="2:7" ht="15" hidden="1" customHeight="1" x14ac:dyDescent="0.25">
      <c r="B411" s="1"/>
      <c r="C411" s="115">
        <v>380</v>
      </c>
      <c r="D411" s="14"/>
      <c r="E411" s="101"/>
      <c r="F411" s="101"/>
      <c r="G411" s="2"/>
    </row>
    <row r="412" spans="2:7" ht="15" hidden="1" customHeight="1" x14ac:dyDescent="0.25">
      <c r="B412" s="1"/>
      <c r="C412" s="115">
        <v>381</v>
      </c>
      <c r="D412" s="14"/>
      <c r="E412" s="101"/>
      <c r="F412" s="101"/>
      <c r="G412" s="2"/>
    </row>
    <row r="413" spans="2:7" ht="15" hidden="1" customHeight="1" x14ac:dyDescent="0.25">
      <c r="B413" s="1"/>
      <c r="C413" s="115">
        <v>382</v>
      </c>
      <c r="D413" s="14"/>
      <c r="E413" s="101"/>
      <c r="F413" s="101"/>
      <c r="G413" s="2"/>
    </row>
    <row r="414" spans="2:7" ht="15" hidden="1" customHeight="1" x14ac:dyDescent="0.25">
      <c r="B414" s="1"/>
      <c r="C414" s="115">
        <v>383</v>
      </c>
      <c r="D414" s="14"/>
      <c r="E414" s="101"/>
      <c r="F414" s="101"/>
      <c r="G414" s="2"/>
    </row>
    <row r="415" spans="2:7" ht="15" hidden="1" customHeight="1" x14ac:dyDescent="0.25">
      <c r="B415" s="1"/>
      <c r="C415" s="115">
        <v>384</v>
      </c>
      <c r="D415" s="14"/>
      <c r="E415" s="101"/>
      <c r="F415" s="101"/>
      <c r="G415" s="2"/>
    </row>
    <row r="416" spans="2:7" ht="15" hidden="1" customHeight="1" x14ac:dyDescent="0.25">
      <c r="B416" s="1"/>
      <c r="C416" s="115">
        <v>385</v>
      </c>
      <c r="D416" s="14"/>
      <c r="E416" s="101"/>
      <c r="F416" s="101"/>
      <c r="G416" s="2"/>
    </row>
    <row r="417" spans="2:7" ht="15" hidden="1" customHeight="1" x14ac:dyDescent="0.25">
      <c r="B417" s="1"/>
      <c r="C417" s="115">
        <v>386</v>
      </c>
      <c r="D417" s="14"/>
      <c r="E417" s="101"/>
      <c r="F417" s="101"/>
      <c r="G417" s="2"/>
    </row>
    <row r="418" spans="2:7" ht="15" hidden="1" customHeight="1" x14ac:dyDescent="0.25">
      <c r="B418" s="1"/>
      <c r="C418" s="115">
        <v>387</v>
      </c>
      <c r="D418" s="14"/>
      <c r="E418" s="101"/>
      <c r="F418" s="101"/>
      <c r="G418" s="2"/>
    </row>
    <row r="419" spans="2:7" ht="15" hidden="1" customHeight="1" x14ac:dyDescent="0.25">
      <c r="B419" s="1"/>
      <c r="C419" s="115">
        <v>388</v>
      </c>
      <c r="D419" s="14"/>
      <c r="E419" s="101"/>
      <c r="F419" s="101"/>
      <c r="G419" s="2"/>
    </row>
    <row r="420" spans="2:7" ht="15" hidden="1" customHeight="1" x14ac:dyDescent="0.25">
      <c r="B420" s="1"/>
      <c r="C420" s="115">
        <v>389</v>
      </c>
      <c r="D420" s="14"/>
      <c r="E420" s="101"/>
      <c r="F420" s="101"/>
      <c r="G420" s="2"/>
    </row>
    <row r="421" spans="2:7" ht="15" hidden="1" customHeight="1" x14ac:dyDescent="0.25">
      <c r="B421" s="1"/>
      <c r="C421" s="115">
        <v>390</v>
      </c>
      <c r="D421" s="14"/>
      <c r="E421" s="101"/>
      <c r="F421" s="101"/>
      <c r="G421" s="2"/>
    </row>
    <row r="422" spans="2:7" ht="15" hidden="1" customHeight="1" x14ac:dyDescent="0.25">
      <c r="B422" s="1"/>
      <c r="C422" s="115">
        <v>391</v>
      </c>
      <c r="D422" s="14"/>
      <c r="E422" s="101"/>
      <c r="F422" s="101"/>
      <c r="G422" s="2"/>
    </row>
    <row r="423" spans="2:7" ht="15" hidden="1" customHeight="1" x14ac:dyDescent="0.25">
      <c r="B423" s="1"/>
      <c r="C423" s="115">
        <v>392</v>
      </c>
      <c r="D423" s="14"/>
      <c r="E423" s="101"/>
      <c r="F423" s="101"/>
      <c r="G423" s="2"/>
    </row>
    <row r="424" spans="2:7" ht="15" hidden="1" customHeight="1" x14ac:dyDescent="0.25">
      <c r="B424" s="1"/>
      <c r="C424" s="115">
        <v>393</v>
      </c>
      <c r="D424" s="14"/>
      <c r="E424" s="101"/>
      <c r="F424" s="101"/>
      <c r="G424" s="2"/>
    </row>
    <row r="425" spans="2:7" ht="15" hidden="1" customHeight="1" x14ac:dyDescent="0.25">
      <c r="B425" s="1"/>
      <c r="C425" s="115">
        <v>394</v>
      </c>
      <c r="D425" s="14"/>
      <c r="E425" s="101"/>
      <c r="F425" s="101"/>
      <c r="G425" s="2"/>
    </row>
    <row r="426" spans="2:7" ht="15" hidden="1" customHeight="1" x14ac:dyDescent="0.25">
      <c r="B426" s="1"/>
      <c r="C426" s="115">
        <v>395</v>
      </c>
      <c r="D426" s="14"/>
      <c r="E426" s="101"/>
      <c r="F426" s="101"/>
      <c r="G426" s="2"/>
    </row>
    <row r="427" spans="2:7" ht="15" hidden="1" customHeight="1" x14ac:dyDescent="0.25">
      <c r="B427" s="1"/>
      <c r="C427" s="115">
        <v>396</v>
      </c>
      <c r="D427" s="14"/>
      <c r="E427" s="101"/>
      <c r="F427" s="101"/>
      <c r="G427" s="2"/>
    </row>
    <row r="428" spans="2:7" ht="15" hidden="1" customHeight="1" x14ac:dyDescent="0.25">
      <c r="B428" s="1"/>
      <c r="C428" s="115">
        <v>397</v>
      </c>
      <c r="D428" s="14"/>
      <c r="E428" s="101"/>
      <c r="F428" s="101"/>
      <c r="G428" s="2"/>
    </row>
    <row r="429" spans="2:7" ht="15" hidden="1" customHeight="1" x14ac:dyDescent="0.25">
      <c r="B429" s="1"/>
      <c r="C429" s="115">
        <v>398</v>
      </c>
      <c r="D429" s="14"/>
      <c r="E429" s="101"/>
      <c r="F429" s="101"/>
      <c r="G429" s="2"/>
    </row>
    <row r="430" spans="2:7" ht="15" hidden="1" customHeight="1" x14ac:dyDescent="0.25">
      <c r="B430" s="1"/>
      <c r="C430" s="115">
        <v>399</v>
      </c>
      <c r="D430" s="14"/>
      <c r="E430" s="101"/>
      <c r="F430" s="101"/>
      <c r="G430" s="2"/>
    </row>
    <row r="431" spans="2:7" ht="15" hidden="1" customHeight="1" x14ac:dyDescent="0.25">
      <c r="B431" s="1"/>
      <c r="C431" s="115">
        <v>400</v>
      </c>
      <c r="D431" s="14"/>
      <c r="E431" s="101"/>
      <c r="F431" s="101"/>
      <c r="G431" s="2"/>
    </row>
    <row r="432" spans="2:7" ht="15" hidden="1" customHeight="1" x14ac:dyDescent="0.25">
      <c r="B432" s="1"/>
      <c r="C432" s="115">
        <v>401</v>
      </c>
      <c r="D432" s="14"/>
      <c r="E432" s="101"/>
      <c r="F432" s="101"/>
      <c r="G432" s="2"/>
    </row>
    <row r="433" spans="2:7" ht="15" hidden="1" customHeight="1" x14ac:dyDescent="0.25">
      <c r="B433" s="1"/>
      <c r="C433" s="115">
        <v>402</v>
      </c>
      <c r="D433" s="14"/>
      <c r="E433" s="101"/>
      <c r="F433" s="101"/>
      <c r="G433" s="2"/>
    </row>
    <row r="434" spans="2:7" ht="15" hidden="1" customHeight="1" x14ac:dyDescent="0.25">
      <c r="B434" s="1"/>
      <c r="C434" s="115">
        <v>403</v>
      </c>
      <c r="D434" s="14"/>
      <c r="E434" s="101"/>
      <c r="F434" s="101"/>
      <c r="G434" s="2"/>
    </row>
    <row r="435" spans="2:7" ht="15" hidden="1" customHeight="1" x14ac:dyDescent="0.25">
      <c r="B435" s="1"/>
      <c r="C435" s="115">
        <v>404</v>
      </c>
      <c r="D435" s="14"/>
      <c r="E435" s="101"/>
      <c r="F435" s="101"/>
      <c r="G435" s="2"/>
    </row>
    <row r="436" spans="2:7" ht="15" hidden="1" customHeight="1" x14ac:dyDescent="0.25">
      <c r="B436" s="1"/>
      <c r="C436" s="115">
        <v>405</v>
      </c>
      <c r="D436" s="14"/>
      <c r="E436" s="101"/>
      <c r="F436" s="101"/>
      <c r="G436" s="2"/>
    </row>
    <row r="437" spans="2:7" ht="15" hidden="1" customHeight="1" x14ac:dyDescent="0.25">
      <c r="B437" s="1"/>
      <c r="C437" s="115">
        <v>406</v>
      </c>
      <c r="D437" s="14"/>
      <c r="E437" s="101"/>
      <c r="F437" s="101"/>
      <c r="G437" s="2"/>
    </row>
    <row r="438" spans="2:7" ht="15" hidden="1" customHeight="1" x14ac:dyDescent="0.25">
      <c r="B438" s="1"/>
      <c r="C438" s="115">
        <v>407</v>
      </c>
      <c r="D438" s="14"/>
      <c r="E438" s="101"/>
      <c r="F438" s="101"/>
      <c r="G438" s="2"/>
    </row>
    <row r="439" spans="2:7" ht="15" hidden="1" customHeight="1" x14ac:dyDescent="0.25">
      <c r="B439" s="1"/>
      <c r="C439" s="115">
        <v>408</v>
      </c>
      <c r="D439" s="14"/>
      <c r="E439" s="101"/>
      <c r="F439" s="101"/>
      <c r="G439" s="2"/>
    </row>
    <row r="440" spans="2:7" ht="15" hidden="1" customHeight="1" x14ac:dyDescent="0.25">
      <c r="B440" s="1"/>
      <c r="C440" s="115">
        <v>409</v>
      </c>
      <c r="D440" s="14"/>
      <c r="E440" s="101"/>
      <c r="F440" s="101"/>
      <c r="G440" s="2"/>
    </row>
    <row r="441" spans="2:7" ht="15" hidden="1" customHeight="1" x14ac:dyDescent="0.25">
      <c r="B441" s="1"/>
      <c r="C441" s="115">
        <v>410</v>
      </c>
      <c r="D441" s="14"/>
      <c r="E441" s="101"/>
      <c r="F441" s="101"/>
      <c r="G441" s="2"/>
    </row>
    <row r="442" spans="2:7" ht="15" hidden="1" customHeight="1" x14ac:dyDescent="0.25">
      <c r="B442" s="1"/>
      <c r="C442" s="115">
        <v>411</v>
      </c>
      <c r="D442" s="14"/>
      <c r="E442" s="101"/>
      <c r="F442" s="101"/>
      <c r="G442" s="2"/>
    </row>
    <row r="443" spans="2:7" ht="15" hidden="1" customHeight="1" x14ac:dyDescent="0.25">
      <c r="B443" s="1"/>
      <c r="C443" s="115">
        <v>412</v>
      </c>
      <c r="D443" s="14"/>
      <c r="E443" s="101"/>
      <c r="F443" s="101"/>
      <c r="G443" s="2"/>
    </row>
    <row r="444" spans="2:7" ht="15" hidden="1" customHeight="1" x14ac:dyDescent="0.25">
      <c r="B444" s="1"/>
      <c r="C444" s="115">
        <v>413</v>
      </c>
      <c r="D444" s="14"/>
      <c r="E444" s="101"/>
      <c r="F444" s="101"/>
      <c r="G444" s="2"/>
    </row>
    <row r="445" spans="2:7" ht="15" hidden="1" customHeight="1" x14ac:dyDescent="0.25">
      <c r="B445" s="1"/>
      <c r="C445" s="115">
        <v>414</v>
      </c>
      <c r="D445" s="14"/>
      <c r="E445" s="101"/>
      <c r="F445" s="101"/>
      <c r="G445" s="2"/>
    </row>
    <row r="446" spans="2:7" ht="15" hidden="1" customHeight="1" x14ac:dyDescent="0.25">
      <c r="B446" s="1"/>
      <c r="C446" s="115">
        <v>415</v>
      </c>
      <c r="D446" s="14"/>
      <c r="E446" s="101"/>
      <c r="F446" s="101"/>
      <c r="G446" s="2"/>
    </row>
    <row r="447" spans="2:7" ht="15" hidden="1" customHeight="1" x14ac:dyDescent="0.25">
      <c r="B447" s="1"/>
      <c r="C447" s="115">
        <v>416</v>
      </c>
      <c r="D447" s="14"/>
      <c r="E447" s="101"/>
      <c r="F447" s="101"/>
      <c r="G447" s="2"/>
    </row>
    <row r="448" spans="2:7" ht="15" hidden="1" customHeight="1" x14ac:dyDescent="0.25">
      <c r="B448" s="1"/>
      <c r="C448" s="115">
        <v>417</v>
      </c>
      <c r="D448" s="14"/>
      <c r="E448" s="101"/>
      <c r="F448" s="101"/>
      <c r="G448" s="2"/>
    </row>
    <row r="449" spans="2:7" ht="15" hidden="1" customHeight="1" x14ac:dyDescent="0.25">
      <c r="B449" s="1"/>
      <c r="C449" s="115">
        <v>418</v>
      </c>
      <c r="D449" s="14"/>
      <c r="E449" s="101"/>
      <c r="F449" s="101"/>
      <c r="G449" s="2"/>
    </row>
    <row r="450" spans="2:7" ht="15" hidden="1" customHeight="1" x14ac:dyDescent="0.25">
      <c r="B450" s="1"/>
      <c r="C450" s="115">
        <v>419</v>
      </c>
      <c r="D450" s="14"/>
      <c r="E450" s="101"/>
      <c r="F450" s="101"/>
      <c r="G450" s="2"/>
    </row>
    <row r="451" spans="2:7" ht="15" hidden="1" customHeight="1" x14ac:dyDescent="0.25">
      <c r="B451" s="1"/>
      <c r="C451" s="115">
        <v>420</v>
      </c>
      <c r="D451" s="14"/>
      <c r="E451" s="101"/>
      <c r="F451" s="101"/>
      <c r="G451" s="2"/>
    </row>
    <row r="452" spans="2:7" ht="15" hidden="1" customHeight="1" x14ac:dyDescent="0.25">
      <c r="B452" s="1"/>
      <c r="C452" s="115">
        <v>421</v>
      </c>
      <c r="D452" s="14"/>
      <c r="E452" s="101"/>
      <c r="F452" s="101"/>
      <c r="G452" s="2"/>
    </row>
    <row r="453" spans="2:7" ht="15" hidden="1" customHeight="1" x14ac:dyDescent="0.25">
      <c r="B453" s="1"/>
      <c r="C453" s="115">
        <v>422</v>
      </c>
      <c r="D453" s="14"/>
      <c r="E453" s="101"/>
      <c r="F453" s="101"/>
      <c r="G453" s="2"/>
    </row>
    <row r="454" spans="2:7" ht="15" hidden="1" customHeight="1" x14ac:dyDescent="0.25">
      <c r="B454" s="1"/>
      <c r="C454" s="115">
        <v>423</v>
      </c>
      <c r="D454" s="14"/>
      <c r="E454" s="101"/>
      <c r="F454" s="101"/>
      <c r="G454" s="2"/>
    </row>
    <row r="455" spans="2:7" ht="15" hidden="1" customHeight="1" x14ac:dyDescent="0.25">
      <c r="B455" s="1"/>
      <c r="C455" s="115">
        <v>424</v>
      </c>
      <c r="D455" s="14"/>
      <c r="E455" s="101"/>
      <c r="F455" s="101"/>
      <c r="G455" s="2"/>
    </row>
    <row r="456" spans="2:7" ht="15" hidden="1" customHeight="1" x14ac:dyDescent="0.25">
      <c r="B456" s="1"/>
      <c r="C456" s="115">
        <v>425</v>
      </c>
      <c r="D456" s="14"/>
      <c r="E456" s="101"/>
      <c r="F456" s="101"/>
      <c r="G456" s="2"/>
    </row>
    <row r="457" spans="2:7" ht="15" hidden="1" customHeight="1" x14ac:dyDescent="0.25">
      <c r="B457" s="1"/>
      <c r="C457" s="115">
        <v>426</v>
      </c>
      <c r="D457" s="14"/>
      <c r="E457" s="101"/>
      <c r="F457" s="101"/>
      <c r="G457" s="2"/>
    </row>
    <row r="458" spans="2:7" ht="15" hidden="1" customHeight="1" x14ac:dyDescent="0.25">
      <c r="B458" s="1"/>
      <c r="C458" s="115">
        <v>427</v>
      </c>
      <c r="D458" s="14"/>
      <c r="E458" s="101"/>
      <c r="F458" s="101"/>
      <c r="G458" s="2"/>
    </row>
    <row r="459" spans="2:7" ht="15" hidden="1" customHeight="1" x14ac:dyDescent="0.25">
      <c r="B459" s="1"/>
      <c r="C459" s="115">
        <v>428</v>
      </c>
      <c r="D459" s="14"/>
      <c r="E459" s="101"/>
      <c r="F459" s="101"/>
      <c r="G459" s="2"/>
    </row>
    <row r="460" spans="2:7" ht="15" hidden="1" customHeight="1" x14ac:dyDescent="0.25">
      <c r="B460" s="1"/>
      <c r="C460" s="115">
        <v>429</v>
      </c>
      <c r="D460" s="14"/>
      <c r="E460" s="101"/>
      <c r="F460" s="101"/>
      <c r="G460" s="2"/>
    </row>
    <row r="461" spans="2:7" ht="15" hidden="1" customHeight="1" x14ac:dyDescent="0.25">
      <c r="B461" s="1"/>
      <c r="C461" s="115">
        <v>430</v>
      </c>
      <c r="D461" s="14"/>
      <c r="E461" s="101"/>
      <c r="F461" s="101"/>
      <c r="G461" s="2"/>
    </row>
    <row r="462" spans="2:7" ht="15" hidden="1" customHeight="1" x14ac:dyDescent="0.25">
      <c r="B462" s="1"/>
      <c r="C462" s="115">
        <v>431</v>
      </c>
      <c r="D462" s="14"/>
      <c r="E462" s="101"/>
      <c r="F462" s="101"/>
      <c r="G462" s="2"/>
    </row>
    <row r="463" spans="2:7" ht="15" hidden="1" customHeight="1" x14ac:dyDescent="0.25">
      <c r="B463" s="1"/>
      <c r="C463" s="115">
        <v>432</v>
      </c>
      <c r="D463" s="14"/>
      <c r="E463" s="101"/>
      <c r="F463" s="101"/>
      <c r="G463" s="2"/>
    </row>
    <row r="464" spans="2:7" ht="15" hidden="1" customHeight="1" x14ac:dyDescent="0.25">
      <c r="B464" s="1"/>
      <c r="C464" s="115">
        <v>433</v>
      </c>
      <c r="D464" s="14"/>
      <c r="E464" s="101"/>
      <c r="F464" s="101"/>
      <c r="G464" s="2"/>
    </row>
    <row r="465" spans="2:7" ht="15" hidden="1" customHeight="1" x14ac:dyDescent="0.25">
      <c r="B465" s="1"/>
      <c r="C465" s="115">
        <v>434</v>
      </c>
      <c r="D465" s="14"/>
      <c r="E465" s="101"/>
      <c r="F465" s="101"/>
      <c r="G465" s="2"/>
    </row>
    <row r="466" spans="2:7" ht="15" hidden="1" customHeight="1" x14ac:dyDescent="0.25">
      <c r="B466" s="1"/>
      <c r="C466" s="115">
        <v>435</v>
      </c>
      <c r="D466" s="14"/>
      <c r="E466" s="101"/>
      <c r="F466" s="101"/>
      <c r="G466" s="2"/>
    </row>
    <row r="467" spans="2:7" ht="15" hidden="1" customHeight="1" x14ac:dyDescent="0.25">
      <c r="B467" s="1"/>
      <c r="C467" s="115">
        <v>436</v>
      </c>
      <c r="D467" s="14"/>
      <c r="E467" s="101"/>
      <c r="F467" s="101"/>
      <c r="G467" s="2"/>
    </row>
    <row r="468" spans="2:7" ht="15" hidden="1" customHeight="1" x14ac:dyDescent="0.25">
      <c r="B468" s="1"/>
      <c r="C468" s="115">
        <v>437</v>
      </c>
      <c r="D468" s="14"/>
      <c r="E468" s="101"/>
      <c r="F468" s="101"/>
      <c r="G468" s="2"/>
    </row>
    <row r="469" spans="2:7" ht="15" hidden="1" customHeight="1" x14ac:dyDescent="0.25">
      <c r="B469" s="1"/>
      <c r="C469" s="115">
        <v>438</v>
      </c>
      <c r="D469" s="14"/>
      <c r="E469" s="101"/>
      <c r="F469" s="101"/>
      <c r="G469" s="2"/>
    </row>
    <row r="470" spans="2:7" ht="15" hidden="1" customHeight="1" x14ac:dyDescent="0.25">
      <c r="B470" s="1"/>
      <c r="C470" s="115">
        <v>439</v>
      </c>
      <c r="D470" s="14"/>
      <c r="E470" s="101"/>
      <c r="F470" s="101"/>
      <c r="G470" s="2"/>
    </row>
    <row r="471" spans="2:7" ht="15" hidden="1" customHeight="1" x14ac:dyDescent="0.25">
      <c r="B471" s="1"/>
      <c r="C471" s="115">
        <v>440</v>
      </c>
      <c r="D471" s="14"/>
      <c r="E471" s="101"/>
      <c r="F471" s="101"/>
      <c r="G471" s="2"/>
    </row>
    <row r="472" spans="2:7" ht="15" hidden="1" customHeight="1" x14ac:dyDescent="0.25">
      <c r="B472" s="1"/>
      <c r="C472" s="115">
        <v>441</v>
      </c>
      <c r="D472" s="14"/>
      <c r="E472" s="101"/>
      <c r="F472" s="101"/>
      <c r="G472" s="2"/>
    </row>
    <row r="473" spans="2:7" ht="15" hidden="1" customHeight="1" x14ac:dyDescent="0.25">
      <c r="B473" s="1"/>
      <c r="C473" s="115">
        <v>442</v>
      </c>
      <c r="D473" s="14"/>
      <c r="E473" s="101"/>
      <c r="F473" s="101"/>
      <c r="G473" s="2"/>
    </row>
    <row r="474" spans="2:7" ht="15" hidden="1" customHeight="1" x14ac:dyDescent="0.25">
      <c r="B474" s="1"/>
      <c r="C474" s="115">
        <v>443</v>
      </c>
      <c r="D474" s="14"/>
      <c r="E474" s="101"/>
      <c r="F474" s="101"/>
      <c r="G474" s="2"/>
    </row>
    <row r="475" spans="2:7" ht="15" hidden="1" customHeight="1" x14ac:dyDescent="0.25">
      <c r="B475" s="1"/>
      <c r="C475" s="115">
        <v>444</v>
      </c>
      <c r="D475" s="14"/>
      <c r="E475" s="101"/>
      <c r="F475" s="101"/>
      <c r="G475" s="2"/>
    </row>
    <row r="476" spans="2:7" ht="15" hidden="1" customHeight="1" x14ac:dyDescent="0.25">
      <c r="B476" s="1"/>
      <c r="C476" s="115">
        <v>445</v>
      </c>
      <c r="D476" s="14"/>
      <c r="E476" s="101"/>
      <c r="F476" s="101"/>
      <c r="G476" s="2"/>
    </row>
    <row r="477" spans="2:7" ht="15" hidden="1" customHeight="1" x14ac:dyDescent="0.25">
      <c r="B477" s="1"/>
      <c r="C477" s="115">
        <v>446</v>
      </c>
      <c r="D477" s="14"/>
      <c r="E477" s="101"/>
      <c r="F477" s="101"/>
      <c r="G477" s="2"/>
    </row>
    <row r="478" spans="2:7" ht="15" hidden="1" customHeight="1" x14ac:dyDescent="0.25">
      <c r="B478" s="1"/>
      <c r="C478" s="115">
        <v>447</v>
      </c>
      <c r="D478" s="14"/>
      <c r="E478" s="101"/>
      <c r="F478" s="101"/>
      <c r="G478" s="2"/>
    </row>
    <row r="479" spans="2:7" ht="15" hidden="1" customHeight="1" x14ac:dyDescent="0.25">
      <c r="B479" s="1"/>
      <c r="C479" s="115">
        <v>448</v>
      </c>
      <c r="D479" s="14"/>
      <c r="E479" s="101"/>
      <c r="F479" s="101"/>
      <c r="G479" s="2"/>
    </row>
    <row r="480" spans="2:7" ht="15" hidden="1" customHeight="1" x14ac:dyDescent="0.25">
      <c r="B480" s="1"/>
      <c r="C480" s="115">
        <v>449</v>
      </c>
      <c r="D480" s="14"/>
      <c r="E480" s="101"/>
      <c r="F480" s="101"/>
      <c r="G480" s="2"/>
    </row>
    <row r="481" spans="2:7" ht="15" hidden="1" customHeight="1" x14ac:dyDescent="0.25">
      <c r="B481" s="1"/>
      <c r="C481" s="115">
        <v>450</v>
      </c>
      <c r="D481" s="14"/>
      <c r="E481" s="101"/>
      <c r="F481" s="101"/>
      <c r="G481" s="2"/>
    </row>
    <row r="482" spans="2:7" ht="15" hidden="1" customHeight="1" x14ac:dyDescent="0.25">
      <c r="B482" s="1"/>
      <c r="C482" s="115">
        <v>451</v>
      </c>
      <c r="D482" s="14"/>
      <c r="E482" s="101"/>
      <c r="F482" s="101"/>
      <c r="G482" s="2"/>
    </row>
    <row r="483" spans="2:7" ht="15" hidden="1" customHeight="1" x14ac:dyDescent="0.25">
      <c r="B483" s="1"/>
      <c r="C483" s="115">
        <v>452</v>
      </c>
      <c r="D483" s="14"/>
      <c r="E483" s="101"/>
      <c r="F483" s="101"/>
      <c r="G483" s="2"/>
    </row>
    <row r="484" spans="2:7" ht="15" hidden="1" customHeight="1" x14ac:dyDescent="0.25">
      <c r="B484" s="1"/>
      <c r="C484" s="115">
        <v>453</v>
      </c>
      <c r="D484" s="14"/>
      <c r="E484" s="101"/>
      <c r="F484" s="101"/>
      <c r="G484" s="2"/>
    </row>
    <row r="485" spans="2:7" ht="15" hidden="1" customHeight="1" x14ac:dyDescent="0.25">
      <c r="B485" s="1"/>
      <c r="C485" s="115">
        <v>454</v>
      </c>
      <c r="D485" s="14"/>
      <c r="E485" s="101"/>
      <c r="F485" s="101"/>
      <c r="G485" s="2"/>
    </row>
    <row r="486" spans="2:7" ht="15" hidden="1" customHeight="1" x14ac:dyDescent="0.25">
      <c r="B486" s="1"/>
      <c r="C486" s="115">
        <v>455</v>
      </c>
      <c r="D486" s="14"/>
      <c r="E486" s="101"/>
      <c r="F486" s="101"/>
      <c r="G486" s="2"/>
    </row>
    <row r="487" spans="2:7" ht="15" hidden="1" customHeight="1" x14ac:dyDescent="0.25">
      <c r="B487" s="1"/>
      <c r="C487" s="115">
        <v>456</v>
      </c>
      <c r="D487" s="14"/>
      <c r="E487" s="101"/>
      <c r="F487" s="101"/>
      <c r="G487" s="2"/>
    </row>
    <row r="488" spans="2:7" ht="15" hidden="1" customHeight="1" x14ac:dyDescent="0.25">
      <c r="B488" s="1"/>
      <c r="C488" s="115">
        <v>457</v>
      </c>
      <c r="D488" s="14"/>
      <c r="E488" s="101"/>
      <c r="F488" s="101"/>
      <c r="G488" s="2"/>
    </row>
    <row r="489" spans="2:7" ht="15" hidden="1" customHeight="1" x14ac:dyDescent="0.25">
      <c r="B489" s="1"/>
      <c r="C489" s="115">
        <v>458</v>
      </c>
      <c r="D489" s="14"/>
      <c r="E489" s="101"/>
      <c r="F489" s="101"/>
      <c r="G489" s="2"/>
    </row>
    <row r="490" spans="2:7" ht="15" hidden="1" customHeight="1" x14ac:dyDescent="0.25">
      <c r="B490" s="1"/>
      <c r="C490" s="115">
        <v>459</v>
      </c>
      <c r="D490" s="14"/>
      <c r="E490" s="101"/>
      <c r="F490" s="101"/>
      <c r="G490" s="2"/>
    </row>
    <row r="491" spans="2:7" ht="15" hidden="1" customHeight="1" x14ac:dyDescent="0.25">
      <c r="B491" s="1"/>
      <c r="C491" s="115">
        <v>460</v>
      </c>
      <c r="D491" s="14"/>
      <c r="E491" s="101"/>
      <c r="F491" s="101"/>
      <c r="G491" s="2"/>
    </row>
    <row r="492" spans="2:7" ht="15" hidden="1" customHeight="1" x14ac:dyDescent="0.25">
      <c r="B492" s="1"/>
      <c r="C492" s="115">
        <v>461</v>
      </c>
      <c r="D492" s="14"/>
      <c r="E492" s="101"/>
      <c r="F492" s="101"/>
      <c r="G492" s="2"/>
    </row>
    <row r="493" spans="2:7" ht="15" hidden="1" customHeight="1" x14ac:dyDescent="0.25">
      <c r="B493" s="1"/>
      <c r="C493" s="115">
        <v>462</v>
      </c>
      <c r="D493" s="14"/>
      <c r="E493" s="101"/>
      <c r="F493" s="101"/>
      <c r="G493" s="2"/>
    </row>
    <row r="494" spans="2:7" ht="15" hidden="1" customHeight="1" x14ac:dyDescent="0.25">
      <c r="B494" s="1"/>
      <c r="C494" s="115">
        <v>463</v>
      </c>
      <c r="D494" s="14"/>
      <c r="E494" s="101"/>
      <c r="F494" s="101"/>
      <c r="G494" s="2"/>
    </row>
    <row r="495" spans="2:7" ht="15" hidden="1" customHeight="1" x14ac:dyDescent="0.25">
      <c r="B495" s="1"/>
      <c r="C495" s="115">
        <v>464</v>
      </c>
      <c r="D495" s="14"/>
      <c r="E495" s="101"/>
      <c r="F495" s="101"/>
      <c r="G495" s="2"/>
    </row>
    <row r="496" spans="2:7" ht="15" hidden="1" customHeight="1" x14ac:dyDescent="0.25">
      <c r="B496" s="1"/>
      <c r="C496" s="115">
        <v>465</v>
      </c>
      <c r="D496" s="14"/>
      <c r="E496" s="101"/>
      <c r="F496" s="101"/>
      <c r="G496" s="2"/>
    </row>
    <row r="497" spans="2:7" ht="15" hidden="1" customHeight="1" x14ac:dyDescent="0.25">
      <c r="B497" s="1"/>
      <c r="C497" s="115">
        <v>466</v>
      </c>
      <c r="D497" s="14"/>
      <c r="E497" s="101"/>
      <c r="F497" s="101"/>
      <c r="G497" s="2"/>
    </row>
    <row r="498" spans="2:7" ht="15" hidden="1" customHeight="1" x14ac:dyDescent="0.25">
      <c r="B498" s="1"/>
      <c r="C498" s="115">
        <v>467</v>
      </c>
      <c r="D498" s="14"/>
      <c r="E498" s="101"/>
      <c r="F498" s="101"/>
      <c r="G498" s="2"/>
    </row>
    <row r="499" spans="2:7" ht="15" hidden="1" customHeight="1" x14ac:dyDescent="0.25">
      <c r="B499" s="1"/>
      <c r="C499" s="115">
        <v>468</v>
      </c>
      <c r="D499" s="14"/>
      <c r="E499" s="101"/>
      <c r="F499" s="101"/>
      <c r="G499" s="2"/>
    </row>
    <row r="500" spans="2:7" ht="15" hidden="1" customHeight="1" x14ac:dyDescent="0.25">
      <c r="B500" s="1"/>
      <c r="C500" s="115">
        <v>469</v>
      </c>
      <c r="D500" s="14"/>
      <c r="E500" s="101"/>
      <c r="F500" s="101"/>
      <c r="G500" s="2"/>
    </row>
    <row r="501" spans="2:7" ht="15" hidden="1" customHeight="1" x14ac:dyDescent="0.25">
      <c r="B501" s="1"/>
      <c r="C501" s="115">
        <v>470</v>
      </c>
      <c r="D501" s="14"/>
      <c r="E501" s="101"/>
      <c r="F501" s="101"/>
      <c r="G501" s="2"/>
    </row>
    <row r="502" spans="2:7" ht="15" hidden="1" customHeight="1" x14ac:dyDescent="0.25">
      <c r="B502" s="1"/>
      <c r="C502" s="115">
        <v>471</v>
      </c>
      <c r="D502" s="14"/>
      <c r="E502" s="101"/>
      <c r="F502" s="101"/>
      <c r="G502" s="2"/>
    </row>
    <row r="503" spans="2:7" ht="15" hidden="1" customHeight="1" x14ac:dyDescent="0.25">
      <c r="B503" s="1"/>
      <c r="C503" s="115">
        <v>472</v>
      </c>
      <c r="D503" s="14"/>
      <c r="E503" s="101"/>
      <c r="F503" s="101"/>
      <c r="G503" s="2"/>
    </row>
    <row r="504" spans="2:7" ht="15" hidden="1" customHeight="1" x14ac:dyDescent="0.25">
      <c r="B504" s="1"/>
      <c r="C504" s="115">
        <v>473</v>
      </c>
      <c r="D504" s="14"/>
      <c r="E504" s="101"/>
      <c r="F504" s="101"/>
      <c r="G504" s="2"/>
    </row>
    <row r="505" spans="2:7" ht="15" hidden="1" customHeight="1" x14ac:dyDescent="0.25">
      <c r="B505" s="1"/>
      <c r="C505" s="115">
        <v>474</v>
      </c>
      <c r="D505" s="14"/>
      <c r="E505" s="101"/>
      <c r="F505" s="101"/>
      <c r="G505" s="2"/>
    </row>
    <row r="506" spans="2:7" ht="15" hidden="1" customHeight="1" x14ac:dyDescent="0.25">
      <c r="B506" s="1"/>
      <c r="C506" s="115">
        <v>475</v>
      </c>
      <c r="D506" s="14"/>
      <c r="E506" s="101"/>
      <c r="F506" s="101"/>
      <c r="G506" s="2"/>
    </row>
    <row r="507" spans="2:7" ht="15" hidden="1" customHeight="1" x14ac:dyDescent="0.25">
      <c r="B507" s="1"/>
      <c r="C507" s="115">
        <v>476</v>
      </c>
      <c r="D507" s="14"/>
      <c r="E507" s="101"/>
      <c r="F507" s="101"/>
      <c r="G507" s="2"/>
    </row>
    <row r="508" spans="2:7" ht="15" hidden="1" customHeight="1" x14ac:dyDescent="0.25">
      <c r="B508" s="1"/>
      <c r="C508" s="115">
        <v>477</v>
      </c>
      <c r="D508" s="14"/>
      <c r="E508" s="101"/>
      <c r="F508" s="101"/>
      <c r="G508" s="2"/>
    </row>
    <row r="509" spans="2:7" ht="15" hidden="1" customHeight="1" x14ac:dyDescent="0.25">
      <c r="B509" s="1"/>
      <c r="C509" s="115">
        <v>478</v>
      </c>
      <c r="D509" s="14"/>
      <c r="E509" s="101"/>
      <c r="F509" s="101"/>
      <c r="G509" s="2"/>
    </row>
    <row r="510" spans="2:7" ht="15" hidden="1" customHeight="1" x14ac:dyDescent="0.25">
      <c r="B510" s="1"/>
      <c r="C510" s="115">
        <v>479</v>
      </c>
      <c r="D510" s="14"/>
      <c r="E510" s="101"/>
      <c r="F510" s="101"/>
      <c r="G510" s="2"/>
    </row>
    <row r="511" spans="2:7" ht="15" hidden="1" customHeight="1" x14ac:dyDescent="0.25">
      <c r="B511" s="1"/>
      <c r="C511" s="115">
        <v>480</v>
      </c>
      <c r="D511" s="14"/>
      <c r="E511" s="101"/>
      <c r="F511" s="101"/>
      <c r="G511" s="2"/>
    </row>
    <row r="512" spans="2:7" ht="15" hidden="1" customHeight="1" x14ac:dyDescent="0.25">
      <c r="B512" s="1"/>
      <c r="C512" s="115">
        <v>481</v>
      </c>
      <c r="D512" s="14"/>
      <c r="E512" s="101"/>
      <c r="F512" s="101"/>
      <c r="G512" s="2"/>
    </row>
    <row r="513" spans="2:7" ht="15" hidden="1" customHeight="1" x14ac:dyDescent="0.25">
      <c r="B513" s="1"/>
      <c r="C513" s="115">
        <v>482</v>
      </c>
      <c r="D513" s="14"/>
      <c r="E513" s="101"/>
      <c r="F513" s="101"/>
      <c r="G513" s="2"/>
    </row>
    <row r="514" spans="2:7" ht="15" hidden="1" customHeight="1" x14ac:dyDescent="0.25">
      <c r="B514" s="1"/>
      <c r="C514" s="115">
        <v>483</v>
      </c>
      <c r="D514" s="14"/>
      <c r="E514" s="101"/>
      <c r="F514" s="101"/>
      <c r="G514" s="2"/>
    </row>
    <row r="515" spans="2:7" ht="15" hidden="1" customHeight="1" x14ac:dyDescent="0.25">
      <c r="B515" s="1"/>
      <c r="C515" s="115">
        <v>484</v>
      </c>
      <c r="D515" s="14"/>
      <c r="E515" s="101"/>
      <c r="F515" s="101"/>
      <c r="G515" s="2"/>
    </row>
    <row r="516" spans="2:7" ht="15" hidden="1" customHeight="1" x14ac:dyDescent="0.25">
      <c r="B516" s="1"/>
      <c r="C516" s="115">
        <v>485</v>
      </c>
      <c r="D516" s="14"/>
      <c r="E516" s="101"/>
      <c r="F516" s="101"/>
      <c r="G516" s="2"/>
    </row>
    <row r="517" spans="2:7" ht="15" hidden="1" customHeight="1" x14ac:dyDescent="0.25">
      <c r="B517" s="1"/>
      <c r="C517" s="115">
        <v>486</v>
      </c>
      <c r="D517" s="14"/>
      <c r="E517" s="101"/>
      <c r="F517" s="101"/>
      <c r="G517" s="2"/>
    </row>
    <row r="518" spans="2:7" ht="15" hidden="1" customHeight="1" x14ac:dyDescent="0.25">
      <c r="B518" s="1"/>
      <c r="C518" s="115">
        <v>487</v>
      </c>
      <c r="D518" s="14"/>
      <c r="E518" s="101"/>
      <c r="F518" s="101"/>
      <c r="G518" s="2"/>
    </row>
    <row r="519" spans="2:7" ht="15" hidden="1" customHeight="1" x14ac:dyDescent="0.25">
      <c r="B519" s="1"/>
      <c r="C519" s="115">
        <v>488</v>
      </c>
      <c r="D519" s="14"/>
      <c r="E519" s="101"/>
      <c r="F519" s="101"/>
      <c r="G519" s="2"/>
    </row>
    <row r="520" spans="2:7" ht="15" hidden="1" customHeight="1" x14ac:dyDescent="0.25">
      <c r="B520" s="1"/>
      <c r="C520" s="115">
        <v>489</v>
      </c>
      <c r="D520" s="14"/>
      <c r="E520" s="101"/>
      <c r="F520" s="101"/>
      <c r="G520" s="2"/>
    </row>
    <row r="521" spans="2:7" ht="15" hidden="1" customHeight="1" x14ac:dyDescent="0.25">
      <c r="B521" s="1"/>
      <c r="C521" s="115">
        <v>490</v>
      </c>
      <c r="D521" s="14"/>
      <c r="E521" s="101"/>
      <c r="F521" s="101"/>
      <c r="G521" s="2"/>
    </row>
    <row r="522" spans="2:7" ht="15" hidden="1" customHeight="1" x14ac:dyDescent="0.25">
      <c r="B522" s="1"/>
      <c r="C522" s="115">
        <v>491</v>
      </c>
      <c r="D522" s="14"/>
      <c r="E522" s="101"/>
      <c r="F522" s="101"/>
      <c r="G522" s="2"/>
    </row>
    <row r="523" spans="2:7" ht="15" hidden="1" customHeight="1" x14ac:dyDescent="0.25">
      <c r="B523" s="1"/>
      <c r="C523" s="115">
        <v>492</v>
      </c>
      <c r="D523" s="14"/>
      <c r="E523" s="101"/>
      <c r="F523" s="101"/>
      <c r="G523" s="2"/>
    </row>
    <row r="524" spans="2:7" ht="15" hidden="1" customHeight="1" x14ac:dyDescent="0.25">
      <c r="B524" s="1"/>
      <c r="C524" s="115">
        <v>493</v>
      </c>
      <c r="D524" s="14"/>
      <c r="E524" s="101"/>
      <c r="F524" s="101"/>
      <c r="G524" s="2"/>
    </row>
    <row r="525" spans="2:7" ht="15" hidden="1" customHeight="1" x14ac:dyDescent="0.25">
      <c r="B525" s="1"/>
      <c r="C525" s="115">
        <v>494</v>
      </c>
      <c r="D525" s="14"/>
      <c r="E525" s="101"/>
      <c r="F525" s="101"/>
      <c r="G525" s="2"/>
    </row>
    <row r="526" spans="2:7" ht="15" hidden="1" customHeight="1" x14ac:dyDescent="0.25">
      <c r="B526" s="1"/>
      <c r="C526" s="115">
        <v>495</v>
      </c>
      <c r="D526" s="14"/>
      <c r="E526" s="101"/>
      <c r="F526" s="101"/>
      <c r="G526" s="2"/>
    </row>
    <row r="527" spans="2:7" ht="15" hidden="1" customHeight="1" x14ac:dyDescent="0.25">
      <c r="B527" s="1"/>
      <c r="C527" s="115">
        <v>496</v>
      </c>
      <c r="D527" s="14"/>
      <c r="E527" s="101"/>
      <c r="F527" s="101"/>
      <c r="G527" s="2"/>
    </row>
    <row r="528" spans="2:7" ht="15" hidden="1" customHeight="1" x14ac:dyDescent="0.25">
      <c r="B528" s="1"/>
      <c r="C528" s="115">
        <v>497</v>
      </c>
      <c r="D528" s="14"/>
      <c r="E528" s="101"/>
      <c r="F528" s="101"/>
      <c r="G528" s="2"/>
    </row>
    <row r="529" spans="2:7" ht="15" hidden="1" customHeight="1" x14ac:dyDescent="0.25">
      <c r="B529" s="1"/>
      <c r="C529" s="115">
        <v>498</v>
      </c>
      <c r="D529" s="14"/>
      <c r="E529" s="101"/>
      <c r="F529" s="101"/>
      <c r="G529" s="2"/>
    </row>
    <row r="530" spans="2:7" ht="15" hidden="1" customHeight="1" x14ac:dyDescent="0.25">
      <c r="B530" s="1"/>
      <c r="C530" s="115">
        <v>499</v>
      </c>
      <c r="D530" s="14"/>
      <c r="E530" s="101"/>
      <c r="F530" s="101"/>
      <c r="G530" s="2"/>
    </row>
    <row r="531" spans="2:7" ht="15" hidden="1" customHeight="1" x14ac:dyDescent="0.25">
      <c r="B531" s="1"/>
      <c r="C531" s="115">
        <v>500</v>
      </c>
      <c r="D531" s="14"/>
      <c r="E531" s="101"/>
      <c r="F531" s="101"/>
      <c r="G531" s="2"/>
    </row>
    <row r="532" spans="2:7" ht="15" customHeight="1" x14ac:dyDescent="0.25">
      <c r="B532" s="1"/>
      <c r="C532" s="101"/>
      <c r="D532" s="101"/>
      <c r="E532" s="101"/>
      <c r="F532" s="101"/>
      <c r="G532" s="2"/>
    </row>
    <row r="533" spans="2:7" ht="15" customHeight="1" x14ac:dyDescent="0.25">
      <c r="B533" s="1"/>
      <c r="C533" s="125"/>
      <c r="D533" s="125"/>
      <c r="E533" s="101"/>
      <c r="F533" s="101"/>
      <c r="G533" s="2"/>
    </row>
    <row r="534" spans="2:7" ht="15" customHeight="1" x14ac:dyDescent="0.25">
      <c r="B534" s="1"/>
      <c r="C534" s="101"/>
      <c r="D534" s="101"/>
      <c r="E534" s="101"/>
      <c r="F534" s="101"/>
      <c r="G534" s="2"/>
    </row>
    <row r="535" spans="2:7" ht="15" customHeight="1" x14ac:dyDescent="0.25">
      <c r="B535" s="3"/>
      <c r="C535" s="126">
        <f>R.Instructions.VersionNumber</f>
        <v>5</v>
      </c>
      <c r="D535" s="126"/>
      <c r="E535" s="4"/>
      <c r="F535" s="9">
        <f>R.Instructions.VersionDate</f>
        <v>45691</v>
      </c>
      <c r="G535" s="5"/>
    </row>
    <row r="537" spans="2:7" ht="15" customHeight="1" x14ac:dyDescent="0.25">
      <c r="C537" s="127" t="str">
        <f>IFERROR(VLOOKUP("Incomplete",Developer!H4:I512,2,FALSE),"Sheet complete.")</f>
        <v>Enter the regulated emitter name.</v>
      </c>
      <c r="D537" s="127"/>
      <c r="E537" s="127"/>
      <c r="F537" s="127"/>
    </row>
    <row r="538" spans="2:7" ht="15" customHeight="1" x14ac:dyDescent="0.25">
      <c r="C538" s="127"/>
      <c r="D538" s="127"/>
      <c r="E538" s="127"/>
      <c r="F538" s="127"/>
    </row>
    <row r="539" spans="2:7" ht="15" customHeight="1" x14ac:dyDescent="0.25">
      <c r="C539" s="127"/>
      <c r="D539" s="127"/>
      <c r="E539" s="127"/>
      <c r="F539" s="127"/>
    </row>
  </sheetData>
  <sheetProtection algorithmName="SHA-512" hashValue="xFtZrvCr3Kilj1rFNkCMPBGVy3t0je5faFA8LxLQbpgAxcS3KVX0acKXm+z6cA8wLhdUhc0YZ7CF9svZdkLxOw==" saltValue="AobuezEA8RT/mn8oK0+BnQ==" spinCount="100000" sheet="1" objects="1" scenarios="1" selectLockedCells="1"/>
  <mergeCells count="18">
    <mergeCell ref="C27:F27"/>
    <mergeCell ref="C25:D25"/>
    <mergeCell ref="C24:F24"/>
    <mergeCell ref="C4:F4"/>
    <mergeCell ref="C10:D10"/>
    <mergeCell ref="C13:D13"/>
    <mergeCell ref="C22:D22"/>
    <mergeCell ref="C19:D19"/>
    <mergeCell ref="C21:F21"/>
    <mergeCell ref="C18:F18"/>
    <mergeCell ref="C16:D16"/>
    <mergeCell ref="C15:F15"/>
    <mergeCell ref="C7:D7"/>
    <mergeCell ref="C30:F30"/>
    <mergeCell ref="C533:D533"/>
    <mergeCell ref="C535:D535"/>
    <mergeCell ref="C537:F539"/>
    <mergeCell ref="C28:D28"/>
  </mergeCells>
  <conditionalFormatting sqref="C537">
    <cfRule type="cellIs" dxfId="7" priority="1" stopIfTrue="1" operator="equal">
      <formula>"Sheet complete."</formula>
    </cfRule>
  </conditionalFormatting>
  <dataValidations count="4">
    <dataValidation type="list" allowBlank="1" showInputMessage="1" showErrorMessage="1" errorTitle="Facility Information" error="The compliance year must be between 2023 and 2030." sqref="C13" xr:uid="{CDA30AE1-6708-4ABF-8193-F6DF6B3B3285}">
      <formula1>"2023,2024,2025,2026,2027,2028,2029,2030"</formula1>
    </dataValidation>
    <dataValidation type="list" allowBlank="1" showInputMessage="1" showErrorMessage="1" errorTitle="Facility Information" error="The number of products must be between 1 and 5." sqref="C16" xr:uid="{B29874B1-2DEC-43A3-8D40-20A132AE7108}">
      <formula1>"1,2,3,4,5"</formula1>
    </dataValidation>
    <dataValidation type="list" allowBlank="1" showInputMessage="1" showErrorMessage="1" errorTitle="Facility Information" error="The answer to this question must be Yes or No." sqref="C22 C19 C25" xr:uid="{E030FFCC-9AB2-46F0-88EE-19331C8729B7}">
      <formula1>"Yes,No"</formula1>
    </dataValidation>
    <dataValidation type="list" allowBlank="1" showInputMessage="1" showErrorMessage="1" errorTitle="Facility Information" error="The number of individual facilities must be between 1 and 500." sqref="C28" xr:uid="{21EFA879-9052-4F5B-9FAE-FAC4F18CC6C8}">
      <formula1>R.Facility.IDNumberRowNumber</formula1>
    </dataValidation>
  </dataValidations>
  <printOptions horizontalCentered="1"/>
  <pageMargins left="0.25" right="0.25" top="0.25" bottom="0.25" header="0" footer="0"/>
  <pageSetup scale="85" fitToHeight="0"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153A8-869D-4996-8C0C-0DBA534DD1CF}">
  <sheetPr codeName="Sheet3">
    <tabColor rgb="FF046A38"/>
    <pageSetUpPr fitToPage="1"/>
  </sheetPr>
  <dimension ref="B1:F121"/>
  <sheetViews>
    <sheetView showGridLines="0" showRowColHeaders="0" zoomScaleNormal="100" workbookViewId="0">
      <selection activeCell="C8" sqref="C8"/>
    </sheetView>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5"/>
      <c r="C4" s="119" t="s">
        <v>1</v>
      </c>
      <c r="D4" s="119"/>
      <c r="E4" s="119"/>
      <c r="F4" s="16"/>
    </row>
    <row r="5" spans="2:6" ht="20.100000000000001" customHeight="1" x14ac:dyDescent="0.25">
      <c r="B5" s="12"/>
      <c r="C5" s="121" t="s">
        <v>30</v>
      </c>
      <c r="D5" s="121"/>
      <c r="E5" s="121"/>
      <c r="F5" s="13"/>
    </row>
    <row r="6" spans="2:6" ht="15" customHeight="1" x14ac:dyDescent="0.25">
      <c r="B6" s="1"/>
      <c r="C6" s="101"/>
      <c r="D6" s="101"/>
      <c r="E6" s="101"/>
      <c r="F6" s="2"/>
    </row>
    <row r="7" spans="2:6" ht="15" customHeight="1" x14ac:dyDescent="0.25">
      <c r="B7" s="1"/>
      <c r="C7" s="101" t="s">
        <v>29</v>
      </c>
      <c r="D7" s="101"/>
      <c r="E7" s="101"/>
      <c r="F7" s="2"/>
    </row>
    <row r="8" spans="2:6" ht="15" customHeight="1" x14ac:dyDescent="0.25">
      <c r="B8" s="1"/>
      <c r="C8" s="10"/>
      <c r="D8" s="101"/>
      <c r="E8" s="101"/>
      <c r="F8" s="2"/>
    </row>
    <row r="9" spans="2:6" ht="15" customHeight="1" x14ac:dyDescent="0.25">
      <c r="B9" s="1"/>
      <c r="C9" s="101"/>
      <c r="D9" s="101"/>
      <c r="E9" s="101"/>
      <c r="F9" s="2"/>
    </row>
    <row r="10" spans="2:6" ht="15" customHeight="1" x14ac:dyDescent="0.25">
      <c r="B10" s="1"/>
      <c r="C10" s="101" t="s">
        <v>35</v>
      </c>
      <c r="D10" s="101"/>
      <c r="E10" s="101" t="s">
        <v>36</v>
      </c>
      <c r="F10" s="2"/>
    </row>
    <row r="11" spans="2:6" ht="15" customHeight="1" x14ac:dyDescent="0.25">
      <c r="B11" s="1"/>
      <c r="C11" s="10"/>
      <c r="D11" s="101"/>
      <c r="E11" s="14"/>
      <c r="F11" s="2"/>
    </row>
    <row r="12" spans="2:6" ht="15" customHeight="1" x14ac:dyDescent="0.25">
      <c r="B12" s="1"/>
      <c r="C12" s="101"/>
      <c r="D12" s="101"/>
      <c r="E12" s="101"/>
      <c r="F12" s="2"/>
    </row>
    <row r="13" spans="2:6" ht="15" customHeight="1" x14ac:dyDescent="0.25">
      <c r="B13" s="1"/>
      <c r="C13" s="122" t="s">
        <v>1699</v>
      </c>
      <c r="D13" s="122"/>
      <c r="E13" s="122"/>
      <c r="F13" s="2"/>
    </row>
    <row r="14" spans="2:6" ht="15" customHeight="1" x14ac:dyDescent="0.25">
      <c r="B14" s="1"/>
      <c r="C14" s="101"/>
      <c r="D14" s="101"/>
      <c r="E14" s="101"/>
      <c r="F14" s="2"/>
    </row>
    <row r="15" spans="2:6" ht="15" customHeight="1" x14ac:dyDescent="0.25">
      <c r="B15" s="1"/>
      <c r="C15" s="101"/>
      <c r="D15" s="101"/>
      <c r="E15" s="101"/>
      <c r="F15" s="2"/>
    </row>
    <row r="16" spans="2:6" ht="15" customHeight="1" x14ac:dyDescent="0.25">
      <c r="B16" s="1"/>
      <c r="C16" s="101"/>
      <c r="D16" s="101"/>
      <c r="E16" s="101"/>
      <c r="F16" s="2"/>
    </row>
    <row r="17" spans="2:6" ht="15" customHeight="1" x14ac:dyDescent="0.25">
      <c r="B17" s="1"/>
      <c r="C17" s="101"/>
      <c r="D17" s="101"/>
      <c r="E17" s="101"/>
      <c r="F17" s="2"/>
    </row>
    <row r="18" spans="2:6" ht="15" customHeight="1" x14ac:dyDescent="0.25">
      <c r="B18" s="1"/>
      <c r="C18" s="101"/>
      <c r="D18" s="101"/>
      <c r="E18" s="101"/>
      <c r="F18" s="2"/>
    </row>
    <row r="19" spans="2:6" ht="15" customHeight="1" x14ac:dyDescent="0.25">
      <c r="B19" s="1"/>
      <c r="C19" s="101"/>
      <c r="D19" s="101"/>
      <c r="E19" s="101"/>
      <c r="F19" s="2"/>
    </row>
    <row r="20" spans="2:6" ht="15" customHeight="1" x14ac:dyDescent="0.25">
      <c r="B20" s="1"/>
      <c r="C20" s="101"/>
      <c r="D20" s="101"/>
      <c r="E20" s="101"/>
      <c r="F20" s="2"/>
    </row>
    <row r="21" spans="2:6" ht="15" customHeight="1" x14ac:dyDescent="0.25">
      <c r="B21" s="1"/>
      <c r="C21" s="101"/>
      <c r="D21" s="101"/>
      <c r="E21" s="101"/>
      <c r="F21" s="2"/>
    </row>
    <row r="22" spans="2:6" ht="15" customHeight="1" x14ac:dyDescent="0.25">
      <c r="B22" s="1"/>
      <c r="C22" s="101"/>
      <c r="D22" s="101"/>
      <c r="E22" s="101"/>
      <c r="F22" s="2"/>
    </row>
    <row r="23" spans="2:6" ht="15" customHeight="1" x14ac:dyDescent="0.25">
      <c r="B23" s="1"/>
      <c r="C23" s="101"/>
      <c r="D23" s="101"/>
      <c r="E23" s="101"/>
      <c r="F23" s="2"/>
    </row>
    <row r="24" spans="2:6" ht="15" customHeight="1" x14ac:dyDescent="0.25">
      <c r="B24" s="1"/>
      <c r="C24" s="122" t="s">
        <v>1700</v>
      </c>
      <c r="D24" s="122"/>
      <c r="E24" s="122"/>
      <c r="F24" s="2"/>
    </row>
    <row r="25" spans="2:6" ht="15" customHeight="1" x14ac:dyDescent="0.25">
      <c r="B25" s="1"/>
      <c r="C25" s="10"/>
      <c r="D25" s="101"/>
      <c r="E25" s="101"/>
      <c r="F25" s="2"/>
    </row>
    <row r="26" spans="2:6" ht="15" customHeight="1" x14ac:dyDescent="0.25">
      <c r="B26" s="1"/>
      <c r="C26" s="101"/>
      <c r="D26" s="101"/>
      <c r="E26" s="101"/>
      <c r="F26" s="2"/>
    </row>
    <row r="27" spans="2:6" ht="20.100000000000001" hidden="1" customHeight="1" x14ac:dyDescent="0.25">
      <c r="B27" s="12"/>
      <c r="C27" s="121" t="s">
        <v>31</v>
      </c>
      <c r="D27" s="121"/>
      <c r="E27" s="121"/>
      <c r="F27" s="13"/>
    </row>
    <row r="28" spans="2:6" ht="15" hidden="1" customHeight="1" x14ac:dyDescent="0.25">
      <c r="B28" s="1"/>
      <c r="C28" s="101"/>
      <c r="D28" s="101"/>
      <c r="E28" s="101"/>
      <c r="F28" s="2"/>
    </row>
    <row r="29" spans="2:6" ht="15" hidden="1" customHeight="1" x14ac:dyDescent="0.25">
      <c r="B29" s="1"/>
      <c r="C29" s="101" t="s">
        <v>29</v>
      </c>
      <c r="D29" s="101"/>
      <c r="E29" s="101"/>
      <c r="F29" s="2"/>
    </row>
    <row r="30" spans="2:6" ht="15" hidden="1" customHeight="1" x14ac:dyDescent="0.25">
      <c r="B30" s="1"/>
      <c r="C30" s="14"/>
      <c r="D30" s="101"/>
      <c r="E30" s="101"/>
      <c r="F30" s="2"/>
    </row>
    <row r="31" spans="2:6" ht="15" hidden="1" customHeight="1" x14ac:dyDescent="0.25">
      <c r="B31" s="1"/>
      <c r="C31" s="101"/>
      <c r="D31" s="101"/>
      <c r="E31" s="101"/>
      <c r="F31" s="2"/>
    </row>
    <row r="32" spans="2:6" ht="15" hidden="1" customHeight="1" x14ac:dyDescent="0.25">
      <c r="B32" s="1"/>
      <c r="C32" s="101" t="s">
        <v>35</v>
      </c>
      <c r="D32" s="101"/>
      <c r="E32" s="101" t="s">
        <v>36</v>
      </c>
      <c r="F32" s="2"/>
    </row>
    <row r="33" spans="2:6" ht="15" hidden="1" customHeight="1" x14ac:dyDescent="0.25">
      <c r="B33" s="1"/>
      <c r="C33" s="14"/>
      <c r="D33" s="101"/>
      <c r="E33" s="14"/>
      <c r="F33" s="2"/>
    </row>
    <row r="34" spans="2:6" ht="15" hidden="1" customHeight="1" x14ac:dyDescent="0.25">
      <c r="B34" s="1"/>
      <c r="C34" s="101"/>
      <c r="D34" s="101"/>
      <c r="E34" s="101"/>
      <c r="F34" s="2"/>
    </row>
    <row r="35" spans="2:6" ht="15" hidden="1" customHeight="1" x14ac:dyDescent="0.25">
      <c r="B35" s="1"/>
      <c r="C35" s="122" t="s">
        <v>1699</v>
      </c>
      <c r="D35" s="122"/>
      <c r="E35" s="122"/>
      <c r="F35" s="2"/>
    </row>
    <row r="36" spans="2:6" ht="15" hidden="1" customHeight="1" x14ac:dyDescent="0.25">
      <c r="B36" s="1"/>
      <c r="C36" s="101"/>
      <c r="D36" s="101"/>
      <c r="E36" s="101"/>
      <c r="F36" s="2"/>
    </row>
    <row r="37" spans="2:6" ht="15" hidden="1" customHeight="1" x14ac:dyDescent="0.25">
      <c r="B37" s="1"/>
      <c r="C37" s="101"/>
      <c r="D37" s="101"/>
      <c r="E37" s="101"/>
      <c r="F37" s="2"/>
    </row>
    <row r="38" spans="2:6" ht="15" hidden="1" customHeight="1" x14ac:dyDescent="0.25">
      <c r="B38" s="1"/>
      <c r="C38" s="101"/>
      <c r="D38" s="101"/>
      <c r="E38" s="101"/>
      <c r="F38" s="2"/>
    </row>
    <row r="39" spans="2:6" ht="15" hidden="1" customHeight="1" x14ac:dyDescent="0.25">
      <c r="B39" s="1"/>
      <c r="C39" s="101"/>
      <c r="D39" s="101"/>
      <c r="E39" s="101"/>
      <c r="F39" s="2"/>
    </row>
    <row r="40" spans="2:6" ht="15" hidden="1" customHeight="1" x14ac:dyDescent="0.25">
      <c r="B40" s="1"/>
      <c r="C40" s="101"/>
      <c r="D40" s="101"/>
      <c r="E40" s="101"/>
      <c r="F40" s="2"/>
    </row>
    <row r="41" spans="2:6" ht="15" hidden="1" customHeight="1" x14ac:dyDescent="0.25">
      <c r="B41" s="1"/>
      <c r="C41" s="101"/>
      <c r="D41" s="101"/>
      <c r="E41" s="101"/>
      <c r="F41" s="2"/>
    </row>
    <row r="42" spans="2:6" ht="15" hidden="1" customHeight="1" x14ac:dyDescent="0.25">
      <c r="B42" s="1"/>
      <c r="C42" s="101"/>
      <c r="D42" s="101"/>
      <c r="E42" s="101"/>
      <c r="F42" s="2"/>
    </row>
    <row r="43" spans="2:6" ht="15" hidden="1" customHeight="1" x14ac:dyDescent="0.25">
      <c r="B43" s="1"/>
      <c r="C43" s="101"/>
      <c r="D43" s="101"/>
      <c r="E43" s="101"/>
      <c r="F43" s="2"/>
    </row>
    <row r="44" spans="2:6" ht="15" hidden="1" customHeight="1" x14ac:dyDescent="0.25">
      <c r="B44" s="1"/>
      <c r="C44" s="101"/>
      <c r="D44" s="101"/>
      <c r="E44" s="101"/>
      <c r="F44" s="2"/>
    </row>
    <row r="45" spans="2:6" ht="15" hidden="1" customHeight="1" x14ac:dyDescent="0.25">
      <c r="B45" s="1"/>
      <c r="C45" s="101"/>
      <c r="D45" s="101"/>
      <c r="E45" s="101"/>
      <c r="F45" s="2"/>
    </row>
    <row r="46" spans="2:6" ht="15" hidden="1" customHeight="1" x14ac:dyDescent="0.25">
      <c r="B46" s="1"/>
      <c r="C46" s="122" t="s">
        <v>1700</v>
      </c>
      <c r="D46" s="122"/>
      <c r="E46" s="122"/>
      <c r="F46" s="2"/>
    </row>
    <row r="47" spans="2:6" ht="15" hidden="1" customHeight="1" x14ac:dyDescent="0.25">
      <c r="B47" s="1"/>
      <c r="C47" s="14"/>
      <c r="D47" s="101"/>
      <c r="E47" s="101"/>
      <c r="F47" s="2"/>
    </row>
    <row r="48" spans="2:6" ht="15" hidden="1" customHeight="1" x14ac:dyDescent="0.25">
      <c r="B48" s="1"/>
      <c r="C48" s="101"/>
      <c r="D48" s="101"/>
      <c r="E48" s="101"/>
      <c r="F48" s="2"/>
    </row>
    <row r="49" spans="2:6" ht="20.100000000000001" hidden="1" customHeight="1" x14ac:dyDescent="0.25">
      <c r="B49" s="12"/>
      <c r="C49" s="121" t="s">
        <v>32</v>
      </c>
      <c r="D49" s="121"/>
      <c r="E49" s="121"/>
      <c r="F49" s="13"/>
    </row>
    <row r="50" spans="2:6" ht="15" hidden="1" customHeight="1" x14ac:dyDescent="0.25">
      <c r="B50" s="1"/>
      <c r="C50" s="101"/>
      <c r="D50" s="101"/>
      <c r="E50" s="101"/>
      <c r="F50" s="2"/>
    </row>
    <row r="51" spans="2:6" ht="15" hidden="1" customHeight="1" x14ac:dyDescent="0.25">
      <c r="B51" s="1"/>
      <c r="C51" s="101" t="s">
        <v>29</v>
      </c>
      <c r="D51" s="101"/>
      <c r="E51" s="101"/>
      <c r="F51" s="2"/>
    </row>
    <row r="52" spans="2:6" ht="15" hidden="1" customHeight="1" x14ac:dyDescent="0.25">
      <c r="B52" s="1"/>
      <c r="C52" s="14"/>
      <c r="D52" s="101"/>
      <c r="E52" s="101"/>
      <c r="F52" s="2"/>
    </row>
    <row r="53" spans="2:6" ht="15" hidden="1" customHeight="1" x14ac:dyDescent="0.25">
      <c r="B53" s="1"/>
      <c r="C53" s="101"/>
      <c r="D53" s="101"/>
      <c r="E53" s="101"/>
      <c r="F53" s="2"/>
    </row>
    <row r="54" spans="2:6" ht="15" hidden="1" customHeight="1" x14ac:dyDescent="0.25">
      <c r="B54" s="1"/>
      <c r="C54" s="101" t="s">
        <v>35</v>
      </c>
      <c r="D54" s="101"/>
      <c r="E54" s="101" t="s">
        <v>36</v>
      </c>
      <c r="F54" s="2"/>
    </row>
    <row r="55" spans="2:6" ht="15" hidden="1" customHeight="1" x14ac:dyDescent="0.25">
      <c r="B55" s="1"/>
      <c r="C55" s="14"/>
      <c r="D55" s="101"/>
      <c r="E55" s="14"/>
      <c r="F55" s="2"/>
    </row>
    <row r="56" spans="2:6" ht="15" hidden="1" customHeight="1" x14ac:dyDescent="0.25">
      <c r="B56" s="1"/>
      <c r="C56" s="101"/>
      <c r="D56" s="101"/>
      <c r="E56" s="101"/>
      <c r="F56" s="2"/>
    </row>
    <row r="57" spans="2:6" ht="15" hidden="1" customHeight="1" x14ac:dyDescent="0.25">
      <c r="B57" s="1"/>
      <c r="C57" s="122" t="s">
        <v>1699</v>
      </c>
      <c r="D57" s="122"/>
      <c r="E57" s="122"/>
      <c r="F57" s="2"/>
    </row>
    <row r="58" spans="2:6" ht="15" hidden="1" customHeight="1" x14ac:dyDescent="0.25">
      <c r="B58" s="1"/>
      <c r="C58" s="101"/>
      <c r="D58" s="101"/>
      <c r="E58" s="101"/>
      <c r="F58" s="2"/>
    </row>
    <row r="59" spans="2:6" ht="15" hidden="1" customHeight="1" x14ac:dyDescent="0.25">
      <c r="B59" s="1"/>
      <c r="C59" s="101"/>
      <c r="D59" s="101"/>
      <c r="E59" s="101"/>
      <c r="F59" s="2"/>
    </row>
    <row r="60" spans="2:6" ht="15" hidden="1" customHeight="1" x14ac:dyDescent="0.25">
      <c r="B60" s="1"/>
      <c r="C60" s="101"/>
      <c r="D60" s="101"/>
      <c r="E60" s="101"/>
      <c r="F60" s="2"/>
    </row>
    <row r="61" spans="2:6" ht="15" hidden="1" customHeight="1" x14ac:dyDescent="0.25">
      <c r="B61" s="1"/>
      <c r="C61" s="101"/>
      <c r="D61" s="101"/>
      <c r="E61" s="101"/>
      <c r="F61" s="2"/>
    </row>
    <row r="62" spans="2:6" ht="15" hidden="1" customHeight="1" x14ac:dyDescent="0.25">
      <c r="B62" s="1"/>
      <c r="C62" s="101"/>
      <c r="D62" s="101"/>
      <c r="E62" s="101"/>
      <c r="F62" s="2"/>
    </row>
    <row r="63" spans="2:6" ht="15" hidden="1" customHeight="1" x14ac:dyDescent="0.25">
      <c r="B63" s="1"/>
      <c r="C63" s="101"/>
      <c r="D63" s="101"/>
      <c r="E63" s="101"/>
      <c r="F63" s="2"/>
    </row>
    <row r="64" spans="2:6" ht="15" hidden="1" customHeight="1" x14ac:dyDescent="0.25">
      <c r="B64" s="1"/>
      <c r="C64" s="101"/>
      <c r="D64" s="101"/>
      <c r="E64" s="101"/>
      <c r="F64" s="2"/>
    </row>
    <row r="65" spans="2:6" ht="15" hidden="1" customHeight="1" x14ac:dyDescent="0.25">
      <c r="B65" s="1"/>
      <c r="C65" s="101"/>
      <c r="D65" s="101"/>
      <c r="E65" s="101"/>
      <c r="F65" s="2"/>
    </row>
    <row r="66" spans="2:6" ht="15" hidden="1" customHeight="1" x14ac:dyDescent="0.25">
      <c r="B66" s="1"/>
      <c r="C66" s="101"/>
      <c r="D66" s="101"/>
      <c r="E66" s="101"/>
      <c r="F66" s="2"/>
    </row>
    <row r="67" spans="2:6" ht="15" hidden="1" customHeight="1" x14ac:dyDescent="0.25">
      <c r="B67" s="1"/>
      <c r="C67" s="101"/>
      <c r="D67" s="101"/>
      <c r="E67" s="101"/>
      <c r="F67" s="2"/>
    </row>
    <row r="68" spans="2:6" ht="15" hidden="1" customHeight="1" x14ac:dyDescent="0.25">
      <c r="B68" s="1"/>
      <c r="C68" s="122" t="s">
        <v>1700</v>
      </c>
      <c r="D68" s="122"/>
      <c r="E68" s="122"/>
      <c r="F68" s="2"/>
    </row>
    <row r="69" spans="2:6" ht="15" hidden="1" customHeight="1" x14ac:dyDescent="0.25">
      <c r="B69" s="1"/>
      <c r="C69" s="14"/>
      <c r="D69" s="101"/>
      <c r="E69" s="101"/>
      <c r="F69" s="2"/>
    </row>
    <row r="70" spans="2:6" ht="15" hidden="1" customHeight="1" x14ac:dyDescent="0.25">
      <c r="B70" s="1"/>
      <c r="C70" s="101"/>
      <c r="D70" s="101"/>
      <c r="E70" s="101"/>
      <c r="F70" s="2"/>
    </row>
    <row r="71" spans="2:6" ht="20.100000000000001" hidden="1" customHeight="1" x14ac:dyDescent="0.25">
      <c r="B71" s="12"/>
      <c r="C71" s="121" t="s">
        <v>33</v>
      </c>
      <c r="D71" s="121"/>
      <c r="E71" s="121"/>
      <c r="F71" s="13"/>
    </row>
    <row r="72" spans="2:6" ht="15" hidden="1" customHeight="1" x14ac:dyDescent="0.25">
      <c r="B72" s="1"/>
      <c r="C72" s="101"/>
      <c r="D72" s="101"/>
      <c r="E72" s="101"/>
      <c r="F72" s="2"/>
    </row>
    <row r="73" spans="2:6" ht="15" hidden="1" customHeight="1" x14ac:dyDescent="0.25">
      <c r="B73" s="1"/>
      <c r="C73" s="101" t="s">
        <v>29</v>
      </c>
      <c r="D73" s="101"/>
      <c r="E73" s="101"/>
      <c r="F73" s="2"/>
    </row>
    <row r="74" spans="2:6" ht="15" hidden="1" customHeight="1" x14ac:dyDescent="0.25">
      <c r="B74" s="1"/>
      <c r="C74" s="14"/>
      <c r="D74" s="101"/>
      <c r="E74" s="101"/>
      <c r="F74" s="2"/>
    </row>
    <row r="75" spans="2:6" ht="15" hidden="1" customHeight="1" x14ac:dyDescent="0.25">
      <c r="B75" s="1"/>
      <c r="C75" s="101"/>
      <c r="D75" s="101"/>
      <c r="E75" s="101"/>
      <c r="F75" s="2"/>
    </row>
    <row r="76" spans="2:6" ht="15" hidden="1" customHeight="1" x14ac:dyDescent="0.25">
      <c r="B76" s="1"/>
      <c r="C76" s="101" t="s">
        <v>35</v>
      </c>
      <c r="D76" s="101"/>
      <c r="E76" s="101" t="s">
        <v>36</v>
      </c>
      <c r="F76" s="2"/>
    </row>
    <row r="77" spans="2:6" ht="15" hidden="1" customHeight="1" x14ac:dyDescent="0.25">
      <c r="B77" s="1"/>
      <c r="C77" s="14"/>
      <c r="D77" s="101"/>
      <c r="E77" s="14"/>
      <c r="F77" s="2"/>
    </row>
    <row r="78" spans="2:6" ht="15" hidden="1" customHeight="1" x14ac:dyDescent="0.25">
      <c r="B78" s="1"/>
      <c r="C78" s="101"/>
      <c r="D78" s="101"/>
      <c r="E78" s="101"/>
      <c r="F78" s="2"/>
    </row>
    <row r="79" spans="2:6" ht="15" hidden="1" customHeight="1" x14ac:dyDescent="0.25">
      <c r="B79" s="1"/>
      <c r="C79" s="122" t="s">
        <v>1699</v>
      </c>
      <c r="D79" s="122"/>
      <c r="E79" s="122"/>
      <c r="F79" s="2"/>
    </row>
    <row r="80" spans="2:6" ht="15" hidden="1" customHeight="1" x14ac:dyDescent="0.25">
      <c r="B80" s="1"/>
      <c r="C80" s="101"/>
      <c r="D80" s="101"/>
      <c r="E80" s="101"/>
      <c r="F80" s="2"/>
    </row>
    <row r="81" spans="2:6" ht="15" hidden="1" customHeight="1" x14ac:dyDescent="0.25">
      <c r="B81" s="1"/>
      <c r="C81" s="101"/>
      <c r="D81" s="101"/>
      <c r="E81" s="101"/>
      <c r="F81" s="2"/>
    </row>
    <row r="82" spans="2:6" ht="15" hidden="1" customHeight="1" x14ac:dyDescent="0.25">
      <c r="B82" s="1"/>
      <c r="C82" s="101"/>
      <c r="D82" s="101"/>
      <c r="E82" s="101"/>
      <c r="F82" s="2"/>
    </row>
    <row r="83" spans="2:6" ht="15" hidden="1" customHeight="1" x14ac:dyDescent="0.25">
      <c r="B83" s="1"/>
      <c r="C83" s="101"/>
      <c r="D83" s="101"/>
      <c r="E83" s="101"/>
      <c r="F83" s="2"/>
    </row>
    <row r="84" spans="2:6" ht="15" hidden="1" customHeight="1" x14ac:dyDescent="0.25">
      <c r="B84" s="1"/>
      <c r="C84" s="101"/>
      <c r="D84" s="101"/>
      <c r="E84" s="101"/>
      <c r="F84" s="2"/>
    </row>
    <row r="85" spans="2:6" ht="15" hidden="1" customHeight="1" x14ac:dyDescent="0.25">
      <c r="B85" s="1"/>
      <c r="C85" s="101"/>
      <c r="D85" s="101"/>
      <c r="E85" s="101"/>
      <c r="F85" s="2"/>
    </row>
    <row r="86" spans="2:6" ht="15" hidden="1" customHeight="1" x14ac:dyDescent="0.25">
      <c r="B86" s="1"/>
      <c r="C86" s="101"/>
      <c r="D86" s="101"/>
      <c r="E86" s="101"/>
      <c r="F86" s="2"/>
    </row>
    <row r="87" spans="2:6" ht="15" hidden="1" customHeight="1" x14ac:dyDescent="0.25">
      <c r="B87" s="1"/>
      <c r="C87" s="101"/>
      <c r="D87" s="101"/>
      <c r="E87" s="101"/>
      <c r="F87" s="2"/>
    </row>
    <row r="88" spans="2:6" ht="15" hidden="1" customHeight="1" x14ac:dyDescent="0.25">
      <c r="B88" s="1"/>
      <c r="C88" s="101"/>
      <c r="D88" s="101"/>
      <c r="E88" s="101"/>
      <c r="F88" s="2"/>
    </row>
    <row r="89" spans="2:6" ht="15" hidden="1" customHeight="1" x14ac:dyDescent="0.25">
      <c r="B89" s="1"/>
      <c r="C89" s="101"/>
      <c r="D89" s="101"/>
      <c r="E89" s="101"/>
      <c r="F89" s="2"/>
    </row>
    <row r="90" spans="2:6" ht="15" hidden="1" customHeight="1" x14ac:dyDescent="0.25">
      <c r="B90" s="1"/>
      <c r="C90" s="122" t="s">
        <v>1700</v>
      </c>
      <c r="D90" s="122"/>
      <c r="E90" s="122"/>
      <c r="F90" s="2"/>
    </row>
    <row r="91" spans="2:6" ht="15" hidden="1" customHeight="1" x14ac:dyDescent="0.25">
      <c r="B91" s="1"/>
      <c r="C91" s="14"/>
      <c r="D91" s="101"/>
      <c r="E91" s="101"/>
      <c r="F91" s="2"/>
    </row>
    <row r="92" spans="2:6" ht="15" hidden="1" customHeight="1" x14ac:dyDescent="0.25">
      <c r="B92" s="1"/>
      <c r="C92" s="101"/>
      <c r="D92" s="101"/>
      <c r="E92" s="101"/>
      <c r="F92" s="2"/>
    </row>
    <row r="93" spans="2:6" ht="20.100000000000001" hidden="1" customHeight="1" x14ac:dyDescent="0.25">
      <c r="B93" s="12"/>
      <c r="C93" s="121" t="s">
        <v>34</v>
      </c>
      <c r="D93" s="121"/>
      <c r="E93" s="121"/>
      <c r="F93" s="13"/>
    </row>
    <row r="94" spans="2:6" ht="15" hidden="1" customHeight="1" x14ac:dyDescent="0.25">
      <c r="B94" s="1"/>
      <c r="C94" s="101"/>
      <c r="D94" s="101"/>
      <c r="E94" s="101"/>
      <c r="F94" s="2"/>
    </row>
    <row r="95" spans="2:6" ht="15" hidden="1" customHeight="1" x14ac:dyDescent="0.25">
      <c r="B95" s="1"/>
      <c r="C95" s="101" t="s">
        <v>29</v>
      </c>
      <c r="D95" s="101"/>
      <c r="E95" s="101"/>
      <c r="F95" s="2"/>
    </row>
    <row r="96" spans="2:6" ht="15" hidden="1" customHeight="1" x14ac:dyDescent="0.25">
      <c r="B96" s="1"/>
      <c r="C96" s="14"/>
      <c r="D96" s="101"/>
      <c r="E96" s="101"/>
      <c r="F96" s="2"/>
    </row>
    <row r="97" spans="2:6" ht="15" hidden="1" customHeight="1" x14ac:dyDescent="0.25">
      <c r="B97" s="1"/>
      <c r="C97" s="101"/>
      <c r="D97" s="101"/>
      <c r="E97" s="101"/>
      <c r="F97" s="2"/>
    </row>
    <row r="98" spans="2:6" ht="15" hidden="1" customHeight="1" x14ac:dyDescent="0.25">
      <c r="B98" s="1"/>
      <c r="C98" s="101" t="s">
        <v>35</v>
      </c>
      <c r="D98" s="101"/>
      <c r="E98" s="101" t="s">
        <v>36</v>
      </c>
      <c r="F98" s="2"/>
    </row>
    <row r="99" spans="2:6" ht="15" hidden="1" customHeight="1" x14ac:dyDescent="0.25">
      <c r="B99" s="1"/>
      <c r="C99" s="14"/>
      <c r="D99" s="101"/>
      <c r="E99" s="14"/>
      <c r="F99" s="2"/>
    </row>
    <row r="100" spans="2:6" ht="15" hidden="1" customHeight="1" x14ac:dyDescent="0.25">
      <c r="B100" s="1"/>
      <c r="C100" s="101"/>
      <c r="D100" s="101"/>
      <c r="E100" s="101"/>
      <c r="F100" s="2"/>
    </row>
    <row r="101" spans="2:6" ht="15" hidden="1" customHeight="1" x14ac:dyDescent="0.25">
      <c r="B101" s="1"/>
      <c r="C101" s="122" t="s">
        <v>1699</v>
      </c>
      <c r="D101" s="122"/>
      <c r="E101" s="122"/>
      <c r="F101" s="2"/>
    </row>
    <row r="102" spans="2:6" ht="15" hidden="1" customHeight="1" x14ac:dyDescent="0.25">
      <c r="B102" s="1"/>
      <c r="C102" s="101"/>
      <c r="D102" s="101"/>
      <c r="E102" s="101"/>
      <c r="F102" s="2"/>
    </row>
    <row r="103" spans="2:6" ht="15" hidden="1" customHeight="1" x14ac:dyDescent="0.25">
      <c r="B103" s="1"/>
      <c r="C103" s="101"/>
      <c r="D103" s="101"/>
      <c r="E103" s="101"/>
      <c r="F103" s="2"/>
    </row>
    <row r="104" spans="2:6" ht="15" hidden="1" customHeight="1" x14ac:dyDescent="0.25">
      <c r="B104" s="1"/>
      <c r="C104" s="101"/>
      <c r="D104" s="101"/>
      <c r="E104" s="101"/>
      <c r="F104" s="2"/>
    </row>
    <row r="105" spans="2:6" ht="15" hidden="1" customHeight="1" x14ac:dyDescent="0.25">
      <c r="B105" s="1"/>
      <c r="C105" s="101"/>
      <c r="D105" s="101"/>
      <c r="E105" s="101"/>
      <c r="F105" s="2"/>
    </row>
    <row r="106" spans="2:6" ht="15" hidden="1" customHeight="1" x14ac:dyDescent="0.25">
      <c r="B106" s="1"/>
      <c r="C106" s="101"/>
      <c r="D106" s="101"/>
      <c r="E106" s="101"/>
      <c r="F106" s="2"/>
    </row>
    <row r="107" spans="2:6" ht="15" hidden="1" customHeight="1" x14ac:dyDescent="0.25">
      <c r="B107" s="1"/>
      <c r="C107" s="101"/>
      <c r="D107" s="101"/>
      <c r="E107" s="101"/>
      <c r="F107" s="2"/>
    </row>
    <row r="108" spans="2:6" ht="15" hidden="1" customHeight="1" x14ac:dyDescent="0.25">
      <c r="B108" s="1"/>
      <c r="C108" s="101"/>
      <c r="D108" s="101"/>
      <c r="E108" s="101"/>
      <c r="F108" s="2"/>
    </row>
    <row r="109" spans="2:6" ht="15" hidden="1" customHeight="1" x14ac:dyDescent="0.25">
      <c r="B109" s="1"/>
      <c r="C109" s="101"/>
      <c r="D109" s="101"/>
      <c r="E109" s="101"/>
      <c r="F109" s="2"/>
    </row>
    <row r="110" spans="2:6" ht="15" hidden="1" customHeight="1" x14ac:dyDescent="0.25">
      <c r="B110" s="1"/>
      <c r="C110" s="101"/>
      <c r="D110" s="101"/>
      <c r="E110" s="101"/>
      <c r="F110" s="2"/>
    </row>
    <row r="111" spans="2:6" ht="15" hidden="1" customHeight="1" x14ac:dyDescent="0.25">
      <c r="B111" s="1"/>
      <c r="C111" s="101"/>
      <c r="D111" s="101"/>
      <c r="E111" s="101"/>
      <c r="F111" s="2"/>
    </row>
    <row r="112" spans="2:6" ht="15" hidden="1" customHeight="1" x14ac:dyDescent="0.25">
      <c r="B112" s="1"/>
      <c r="C112" s="122" t="s">
        <v>1700</v>
      </c>
      <c r="D112" s="122"/>
      <c r="E112" s="122"/>
      <c r="F112" s="2"/>
    </row>
    <row r="113" spans="2:6" ht="15" hidden="1" customHeight="1" x14ac:dyDescent="0.25">
      <c r="B113" s="1"/>
      <c r="C113" s="14"/>
      <c r="D113" s="101"/>
      <c r="E113" s="101"/>
      <c r="F113" s="2"/>
    </row>
    <row r="114" spans="2:6" ht="15" hidden="1" customHeight="1" x14ac:dyDescent="0.25">
      <c r="B114" s="1"/>
      <c r="C114" s="101"/>
      <c r="D114" s="101"/>
      <c r="E114" s="101"/>
      <c r="F114" s="2"/>
    </row>
    <row r="115" spans="2:6" ht="15" customHeight="1" x14ac:dyDescent="0.25">
      <c r="B115" s="1"/>
      <c r="C115" s="113"/>
      <c r="D115" s="101"/>
      <c r="E115" s="101"/>
      <c r="F115" s="2"/>
    </row>
    <row r="116" spans="2:6" ht="15" customHeight="1" x14ac:dyDescent="0.25">
      <c r="B116" s="1"/>
      <c r="C116" s="101"/>
      <c r="D116" s="101"/>
      <c r="E116" s="101"/>
      <c r="F116" s="2"/>
    </row>
    <row r="117" spans="2:6" ht="15" customHeight="1" x14ac:dyDescent="0.25">
      <c r="B117" s="3"/>
      <c r="C117" s="8">
        <f>R.Instructions.VersionNumber</f>
        <v>5</v>
      </c>
      <c r="D117" s="4"/>
      <c r="E117" s="9">
        <f>R.Instructions.VersionDate</f>
        <v>45691</v>
      </c>
      <c r="F117" s="5"/>
    </row>
    <row r="119" spans="2:6" ht="15" customHeight="1" x14ac:dyDescent="0.25">
      <c r="C119" s="127" t="str">
        <f>IFERROR(VLOOKUP("Incomplete",Developer!H513:I543,2,FALSE),"Sheet complete.")</f>
        <v>Enter the name of product 1.</v>
      </c>
      <c r="D119" s="127"/>
      <c r="E119" s="127"/>
    </row>
    <row r="120" spans="2:6" ht="15" customHeight="1" x14ac:dyDescent="0.25">
      <c r="C120" s="127"/>
      <c r="D120" s="127"/>
      <c r="E120" s="127"/>
    </row>
    <row r="121" spans="2:6" ht="15" customHeight="1" x14ac:dyDescent="0.25">
      <c r="C121" s="127"/>
      <c r="D121" s="127"/>
      <c r="E121" s="127"/>
    </row>
  </sheetData>
  <sheetProtection algorithmName="SHA-512" hashValue="0icU5ey4Vf2NrrS1ve8Oq1MmMZgsHIGYPpamHhzBNlr4kBGJ89bXMarU6PU3gwcNlF7hTABkIRpFd30ProvhwA==" saltValue="r8jGjCFbSPA/YizLw/nh1A==" spinCount="100000" sheet="1" objects="1" scenarios="1" selectLockedCells="1"/>
  <mergeCells count="17">
    <mergeCell ref="C4:E4"/>
    <mergeCell ref="C5:E5"/>
    <mergeCell ref="C27:E27"/>
    <mergeCell ref="C49:E49"/>
    <mergeCell ref="C13:E13"/>
    <mergeCell ref="C24:E24"/>
    <mergeCell ref="C35:E35"/>
    <mergeCell ref="C46:E46"/>
    <mergeCell ref="C57:E57"/>
    <mergeCell ref="C68:E68"/>
    <mergeCell ref="C101:E101"/>
    <mergeCell ref="C112:E112"/>
    <mergeCell ref="C119:E121"/>
    <mergeCell ref="C71:E71"/>
    <mergeCell ref="C93:E93"/>
    <mergeCell ref="C79:E79"/>
    <mergeCell ref="C90:E90"/>
  </mergeCells>
  <conditionalFormatting sqref="C119">
    <cfRule type="cellIs" dxfId="6" priority="1" stopIfTrue="1" operator="equal">
      <formula>"Sheet complete."</formula>
    </cfRule>
  </conditionalFormatting>
  <dataValidations count="2">
    <dataValidation type="list" allowBlank="1" showInputMessage="1" showErrorMessage="1" errorTitle="Product Information" error="The sector must be a regulated sector." sqref="C11 C33 C55 C77 C99" xr:uid="{46B0DB1A-DF7D-4255-9F62-420E07BCB8D5}">
      <formula1>R.Product.Dropdown</formula1>
    </dataValidation>
    <dataValidation type="list" allowBlank="1" showInputMessage="1" showErrorMessage="1" errorTitle="Product Information" error="The answer to this question must be Yes or No." sqref="C25 C47 C69 C91 C113" xr:uid="{725159A4-F20A-440D-AF46-68EEA4FF56DE}">
      <formula1>"Yes,No"</formula1>
    </dataValidation>
  </dataValidations>
  <printOptions horizontalCentered="1"/>
  <pageMargins left="0.25" right="0.25" top="0.25" bottom="0.25" header="0" footer="0"/>
  <pageSetup scale="85"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P1C1">
              <controlPr defaultSize="0" autoFill="0" autoLine="0" autoPict="0" macro="[0]!SourceCategory1357">
                <anchor moveWithCells="1" sizeWithCells="1">
                  <from>
                    <xdr:col>2</xdr:col>
                    <xdr:colOff>0</xdr:colOff>
                    <xdr:row>13</xdr:row>
                    <xdr:rowOff>0</xdr:rowOff>
                  </from>
                  <to>
                    <xdr:col>2</xdr:col>
                    <xdr:colOff>219075</xdr:colOff>
                    <xdr:row>14</xdr:row>
                    <xdr:rowOff>0</xdr:rowOff>
                  </to>
                </anchor>
              </controlPr>
            </control>
          </mc:Choice>
        </mc:AlternateContent>
        <mc:AlternateContent xmlns:mc="http://schemas.openxmlformats.org/markup-compatibility/2006">
          <mc:Choice Requires="x14">
            <control shapeId="3074" r:id="rId5" name="Check Box P1C2">
              <controlPr defaultSize="0" autoFill="0" autoLine="0" autoPict="0" macro="[0]!SourceCategory289">
                <anchor moveWithCells="1" sizeWithCells="1">
                  <from>
                    <xdr:col>2</xdr:col>
                    <xdr:colOff>0</xdr:colOff>
                    <xdr:row>14</xdr:row>
                    <xdr:rowOff>0</xdr:rowOff>
                  </from>
                  <to>
                    <xdr:col>2</xdr:col>
                    <xdr:colOff>219075</xdr:colOff>
                    <xdr:row>15</xdr:row>
                    <xdr:rowOff>0</xdr:rowOff>
                  </to>
                </anchor>
              </controlPr>
            </control>
          </mc:Choice>
        </mc:AlternateContent>
        <mc:AlternateContent xmlns:mc="http://schemas.openxmlformats.org/markup-compatibility/2006">
          <mc:Choice Requires="x14">
            <control shapeId="3075" r:id="rId6" name="Check Box P1C3">
              <controlPr defaultSize="0" autoFill="0" autoLine="0" autoPict="0" macro="[0]!SourceCategory1357">
                <anchor moveWithCells="1" sizeWithCells="1">
                  <from>
                    <xdr:col>2</xdr:col>
                    <xdr:colOff>0</xdr:colOff>
                    <xdr:row>15</xdr:row>
                    <xdr:rowOff>0</xdr:rowOff>
                  </from>
                  <to>
                    <xdr:col>2</xdr:col>
                    <xdr:colOff>219075</xdr:colOff>
                    <xdr:row>16</xdr:row>
                    <xdr:rowOff>0</xdr:rowOff>
                  </to>
                </anchor>
              </controlPr>
            </control>
          </mc:Choice>
        </mc:AlternateContent>
        <mc:AlternateContent xmlns:mc="http://schemas.openxmlformats.org/markup-compatibility/2006">
          <mc:Choice Requires="x14">
            <control shapeId="3076" r:id="rId7" name="Check Box P1C4">
              <controlPr defaultSize="0" autoFill="0" autoLine="0" autoPict="0" macro="[0]!SourceCategory46">
                <anchor moveWithCells="1" sizeWithCells="1">
                  <from>
                    <xdr:col>2</xdr:col>
                    <xdr:colOff>0</xdr:colOff>
                    <xdr:row>16</xdr:row>
                    <xdr:rowOff>0</xdr:rowOff>
                  </from>
                  <to>
                    <xdr:col>2</xdr:col>
                    <xdr:colOff>219075</xdr:colOff>
                    <xdr:row>17</xdr:row>
                    <xdr:rowOff>0</xdr:rowOff>
                  </to>
                </anchor>
              </controlPr>
            </control>
          </mc:Choice>
        </mc:AlternateContent>
        <mc:AlternateContent xmlns:mc="http://schemas.openxmlformats.org/markup-compatibility/2006">
          <mc:Choice Requires="x14">
            <control shapeId="3077" r:id="rId8" name="Check Box P1C5">
              <controlPr defaultSize="0" autoFill="0" autoLine="0" autoPict="0" macro="[0]!SourceCategory1357">
                <anchor moveWithCells="1" sizeWithCells="1">
                  <from>
                    <xdr:col>2</xdr:col>
                    <xdr:colOff>0</xdr:colOff>
                    <xdr:row>17</xdr:row>
                    <xdr:rowOff>0</xdr:rowOff>
                  </from>
                  <to>
                    <xdr:col>2</xdr:col>
                    <xdr:colOff>219075</xdr:colOff>
                    <xdr:row>18</xdr:row>
                    <xdr:rowOff>0</xdr:rowOff>
                  </to>
                </anchor>
              </controlPr>
            </control>
          </mc:Choice>
        </mc:AlternateContent>
        <mc:AlternateContent xmlns:mc="http://schemas.openxmlformats.org/markup-compatibility/2006">
          <mc:Choice Requires="x14">
            <control shapeId="3078" r:id="rId9" name="Check Box P1C6">
              <controlPr defaultSize="0" autoFill="0" autoLine="0" autoPict="0" macro="[0]!SourceCategory46">
                <anchor moveWithCells="1" sizeWithCells="1">
                  <from>
                    <xdr:col>2</xdr:col>
                    <xdr:colOff>0</xdr:colOff>
                    <xdr:row>18</xdr:row>
                    <xdr:rowOff>0</xdr:rowOff>
                  </from>
                  <to>
                    <xdr:col>2</xdr:col>
                    <xdr:colOff>219075</xdr:colOff>
                    <xdr:row>19</xdr:row>
                    <xdr:rowOff>0</xdr:rowOff>
                  </to>
                </anchor>
              </controlPr>
            </control>
          </mc:Choice>
        </mc:AlternateContent>
        <mc:AlternateContent xmlns:mc="http://schemas.openxmlformats.org/markup-compatibility/2006">
          <mc:Choice Requires="x14">
            <control shapeId="3079" r:id="rId10" name="Check Box P1C7">
              <controlPr defaultSize="0" autoFill="0" autoLine="0" autoPict="0" macro="[0]!SourceCategory1357">
                <anchor moveWithCells="1" sizeWithCells="1">
                  <from>
                    <xdr:col>2</xdr:col>
                    <xdr:colOff>0</xdr:colOff>
                    <xdr:row>19</xdr:row>
                    <xdr:rowOff>0</xdr:rowOff>
                  </from>
                  <to>
                    <xdr:col>2</xdr:col>
                    <xdr:colOff>219075</xdr:colOff>
                    <xdr:row>20</xdr:row>
                    <xdr:rowOff>0</xdr:rowOff>
                  </to>
                </anchor>
              </controlPr>
            </control>
          </mc:Choice>
        </mc:AlternateContent>
        <mc:AlternateContent xmlns:mc="http://schemas.openxmlformats.org/markup-compatibility/2006">
          <mc:Choice Requires="x14">
            <control shapeId="3080" r:id="rId11" name="Check Box P1C8">
              <controlPr defaultSize="0" autoFill="0" autoLine="0" autoPict="0" macro="[0]!SourceCategory289">
                <anchor moveWithCells="1" sizeWithCells="1">
                  <from>
                    <xdr:col>2</xdr:col>
                    <xdr:colOff>0</xdr:colOff>
                    <xdr:row>20</xdr:row>
                    <xdr:rowOff>0</xdr:rowOff>
                  </from>
                  <to>
                    <xdr:col>2</xdr:col>
                    <xdr:colOff>219075</xdr:colOff>
                    <xdr:row>21</xdr:row>
                    <xdr:rowOff>0</xdr:rowOff>
                  </to>
                </anchor>
              </controlPr>
            </control>
          </mc:Choice>
        </mc:AlternateContent>
        <mc:AlternateContent xmlns:mc="http://schemas.openxmlformats.org/markup-compatibility/2006">
          <mc:Choice Requires="x14">
            <control shapeId="3082" r:id="rId12" name="Check Box P1C9">
              <controlPr defaultSize="0" autoFill="0" autoLine="0" autoPict="0" macro="[0]!SourceCategory289">
                <anchor moveWithCells="1" sizeWithCells="1">
                  <from>
                    <xdr:col>2</xdr:col>
                    <xdr:colOff>0</xdr:colOff>
                    <xdr:row>21</xdr:row>
                    <xdr:rowOff>0</xdr:rowOff>
                  </from>
                  <to>
                    <xdr:col>2</xdr:col>
                    <xdr:colOff>219075</xdr:colOff>
                    <xdr:row>22</xdr:row>
                    <xdr:rowOff>0</xdr:rowOff>
                  </to>
                </anchor>
              </controlPr>
            </control>
          </mc:Choice>
        </mc:AlternateContent>
        <mc:AlternateContent xmlns:mc="http://schemas.openxmlformats.org/markup-compatibility/2006">
          <mc:Choice Requires="x14">
            <control shapeId="3083" r:id="rId13" name="Check Box P2C1">
              <controlPr defaultSize="0" autoFill="0" autoLine="0" autoPict="0" macro="[0]!SourceCategory1357">
                <anchor moveWithCells="1" sizeWithCells="1">
                  <from>
                    <xdr:col>2</xdr:col>
                    <xdr:colOff>0</xdr:colOff>
                    <xdr:row>35</xdr:row>
                    <xdr:rowOff>0</xdr:rowOff>
                  </from>
                  <to>
                    <xdr:col>2</xdr:col>
                    <xdr:colOff>219075</xdr:colOff>
                    <xdr:row>36</xdr:row>
                    <xdr:rowOff>0</xdr:rowOff>
                  </to>
                </anchor>
              </controlPr>
            </control>
          </mc:Choice>
        </mc:AlternateContent>
        <mc:AlternateContent xmlns:mc="http://schemas.openxmlformats.org/markup-compatibility/2006">
          <mc:Choice Requires="x14">
            <control shapeId="3084" r:id="rId14" name="Check Box P2C2">
              <controlPr defaultSize="0" autoFill="0" autoLine="0" autoPict="0" macro="[0]!SourceCategory289">
                <anchor moveWithCells="1" sizeWithCells="1">
                  <from>
                    <xdr:col>2</xdr:col>
                    <xdr:colOff>0</xdr:colOff>
                    <xdr:row>36</xdr:row>
                    <xdr:rowOff>0</xdr:rowOff>
                  </from>
                  <to>
                    <xdr:col>2</xdr:col>
                    <xdr:colOff>219075</xdr:colOff>
                    <xdr:row>37</xdr:row>
                    <xdr:rowOff>0</xdr:rowOff>
                  </to>
                </anchor>
              </controlPr>
            </control>
          </mc:Choice>
        </mc:AlternateContent>
        <mc:AlternateContent xmlns:mc="http://schemas.openxmlformats.org/markup-compatibility/2006">
          <mc:Choice Requires="x14">
            <control shapeId="3085" r:id="rId15" name="Check Box P2C3">
              <controlPr defaultSize="0" autoFill="0" autoLine="0" autoPict="0" macro="[0]!SourceCategory1357">
                <anchor moveWithCells="1" sizeWithCells="1">
                  <from>
                    <xdr:col>2</xdr:col>
                    <xdr:colOff>0</xdr:colOff>
                    <xdr:row>37</xdr:row>
                    <xdr:rowOff>0</xdr:rowOff>
                  </from>
                  <to>
                    <xdr:col>2</xdr:col>
                    <xdr:colOff>219075</xdr:colOff>
                    <xdr:row>38</xdr:row>
                    <xdr:rowOff>0</xdr:rowOff>
                  </to>
                </anchor>
              </controlPr>
            </control>
          </mc:Choice>
        </mc:AlternateContent>
        <mc:AlternateContent xmlns:mc="http://schemas.openxmlformats.org/markup-compatibility/2006">
          <mc:Choice Requires="x14">
            <control shapeId="3086" r:id="rId16" name="Check Box P2C4">
              <controlPr defaultSize="0" autoFill="0" autoLine="0" autoPict="0" macro="[0]!SourceCategory46">
                <anchor moveWithCells="1" sizeWithCells="1">
                  <from>
                    <xdr:col>2</xdr:col>
                    <xdr:colOff>0</xdr:colOff>
                    <xdr:row>38</xdr:row>
                    <xdr:rowOff>0</xdr:rowOff>
                  </from>
                  <to>
                    <xdr:col>2</xdr:col>
                    <xdr:colOff>219075</xdr:colOff>
                    <xdr:row>39</xdr:row>
                    <xdr:rowOff>0</xdr:rowOff>
                  </to>
                </anchor>
              </controlPr>
            </control>
          </mc:Choice>
        </mc:AlternateContent>
        <mc:AlternateContent xmlns:mc="http://schemas.openxmlformats.org/markup-compatibility/2006">
          <mc:Choice Requires="x14">
            <control shapeId="3087" r:id="rId17" name="Check Box P2C5">
              <controlPr defaultSize="0" autoFill="0" autoLine="0" autoPict="0" macro="[0]!SourceCategory1357">
                <anchor moveWithCells="1" sizeWithCells="1">
                  <from>
                    <xdr:col>2</xdr:col>
                    <xdr:colOff>0</xdr:colOff>
                    <xdr:row>39</xdr:row>
                    <xdr:rowOff>0</xdr:rowOff>
                  </from>
                  <to>
                    <xdr:col>2</xdr:col>
                    <xdr:colOff>219075</xdr:colOff>
                    <xdr:row>40</xdr:row>
                    <xdr:rowOff>0</xdr:rowOff>
                  </to>
                </anchor>
              </controlPr>
            </control>
          </mc:Choice>
        </mc:AlternateContent>
        <mc:AlternateContent xmlns:mc="http://schemas.openxmlformats.org/markup-compatibility/2006">
          <mc:Choice Requires="x14">
            <control shapeId="3088" r:id="rId18" name="Check Box P2C6">
              <controlPr defaultSize="0" autoFill="0" autoLine="0" autoPict="0" macro="[0]!SourceCategory46">
                <anchor moveWithCells="1" sizeWithCells="1">
                  <from>
                    <xdr:col>2</xdr:col>
                    <xdr:colOff>0</xdr:colOff>
                    <xdr:row>40</xdr:row>
                    <xdr:rowOff>0</xdr:rowOff>
                  </from>
                  <to>
                    <xdr:col>2</xdr:col>
                    <xdr:colOff>219075</xdr:colOff>
                    <xdr:row>41</xdr:row>
                    <xdr:rowOff>0</xdr:rowOff>
                  </to>
                </anchor>
              </controlPr>
            </control>
          </mc:Choice>
        </mc:AlternateContent>
        <mc:AlternateContent xmlns:mc="http://schemas.openxmlformats.org/markup-compatibility/2006">
          <mc:Choice Requires="x14">
            <control shapeId="3090" r:id="rId19" name="Check Box P2C7">
              <controlPr defaultSize="0" autoFill="0" autoLine="0" autoPict="0" macro="[0]!SourceCategory1357">
                <anchor moveWithCells="1" sizeWithCells="1">
                  <from>
                    <xdr:col>2</xdr:col>
                    <xdr:colOff>0</xdr:colOff>
                    <xdr:row>41</xdr:row>
                    <xdr:rowOff>0</xdr:rowOff>
                  </from>
                  <to>
                    <xdr:col>2</xdr:col>
                    <xdr:colOff>219075</xdr:colOff>
                    <xdr:row>42</xdr:row>
                    <xdr:rowOff>0</xdr:rowOff>
                  </to>
                </anchor>
              </controlPr>
            </control>
          </mc:Choice>
        </mc:AlternateContent>
        <mc:AlternateContent xmlns:mc="http://schemas.openxmlformats.org/markup-compatibility/2006">
          <mc:Choice Requires="x14">
            <control shapeId="3091" r:id="rId20" name="Check Box P2C8">
              <controlPr defaultSize="0" autoFill="0" autoLine="0" autoPict="0" macro="[0]!SourceCategory289">
                <anchor moveWithCells="1" sizeWithCells="1">
                  <from>
                    <xdr:col>2</xdr:col>
                    <xdr:colOff>0</xdr:colOff>
                    <xdr:row>42</xdr:row>
                    <xdr:rowOff>0</xdr:rowOff>
                  </from>
                  <to>
                    <xdr:col>2</xdr:col>
                    <xdr:colOff>219075</xdr:colOff>
                    <xdr:row>43</xdr:row>
                    <xdr:rowOff>0</xdr:rowOff>
                  </to>
                </anchor>
              </controlPr>
            </control>
          </mc:Choice>
        </mc:AlternateContent>
        <mc:AlternateContent xmlns:mc="http://schemas.openxmlformats.org/markup-compatibility/2006">
          <mc:Choice Requires="x14">
            <control shapeId="3092" r:id="rId21" name="Check Box P2C9">
              <controlPr defaultSize="0" autoFill="0" autoLine="0" autoPict="0" macro="[0]!SourceCategory289">
                <anchor moveWithCells="1" sizeWithCells="1">
                  <from>
                    <xdr:col>2</xdr:col>
                    <xdr:colOff>0</xdr:colOff>
                    <xdr:row>43</xdr:row>
                    <xdr:rowOff>0</xdr:rowOff>
                  </from>
                  <to>
                    <xdr:col>2</xdr:col>
                    <xdr:colOff>219075</xdr:colOff>
                    <xdr:row>44</xdr:row>
                    <xdr:rowOff>0</xdr:rowOff>
                  </to>
                </anchor>
              </controlPr>
            </control>
          </mc:Choice>
        </mc:AlternateContent>
        <mc:AlternateContent xmlns:mc="http://schemas.openxmlformats.org/markup-compatibility/2006">
          <mc:Choice Requires="x14">
            <control shapeId="3094" r:id="rId22" name="Check Box P3C1">
              <controlPr defaultSize="0" autoFill="0" autoLine="0" autoPict="0" macro="[0]!SourceCategory1357">
                <anchor moveWithCells="1" sizeWithCells="1">
                  <from>
                    <xdr:col>2</xdr:col>
                    <xdr:colOff>0</xdr:colOff>
                    <xdr:row>57</xdr:row>
                    <xdr:rowOff>0</xdr:rowOff>
                  </from>
                  <to>
                    <xdr:col>2</xdr:col>
                    <xdr:colOff>219075</xdr:colOff>
                    <xdr:row>58</xdr:row>
                    <xdr:rowOff>0</xdr:rowOff>
                  </to>
                </anchor>
              </controlPr>
            </control>
          </mc:Choice>
        </mc:AlternateContent>
        <mc:AlternateContent xmlns:mc="http://schemas.openxmlformats.org/markup-compatibility/2006">
          <mc:Choice Requires="x14">
            <control shapeId="3095" r:id="rId23" name="Check Box P3C2">
              <controlPr defaultSize="0" autoFill="0" autoLine="0" autoPict="0" macro="[0]!SourceCategory289">
                <anchor moveWithCells="1" sizeWithCells="1">
                  <from>
                    <xdr:col>2</xdr:col>
                    <xdr:colOff>0</xdr:colOff>
                    <xdr:row>58</xdr:row>
                    <xdr:rowOff>0</xdr:rowOff>
                  </from>
                  <to>
                    <xdr:col>2</xdr:col>
                    <xdr:colOff>219075</xdr:colOff>
                    <xdr:row>59</xdr:row>
                    <xdr:rowOff>0</xdr:rowOff>
                  </to>
                </anchor>
              </controlPr>
            </control>
          </mc:Choice>
        </mc:AlternateContent>
        <mc:AlternateContent xmlns:mc="http://schemas.openxmlformats.org/markup-compatibility/2006">
          <mc:Choice Requires="x14">
            <control shapeId="3097" r:id="rId24" name="Check Box P3C3">
              <controlPr defaultSize="0" autoFill="0" autoLine="0" autoPict="0" macro="[0]!SourceCategory1357">
                <anchor moveWithCells="1" sizeWithCells="1">
                  <from>
                    <xdr:col>2</xdr:col>
                    <xdr:colOff>0</xdr:colOff>
                    <xdr:row>59</xdr:row>
                    <xdr:rowOff>0</xdr:rowOff>
                  </from>
                  <to>
                    <xdr:col>2</xdr:col>
                    <xdr:colOff>219075</xdr:colOff>
                    <xdr:row>60</xdr:row>
                    <xdr:rowOff>0</xdr:rowOff>
                  </to>
                </anchor>
              </controlPr>
            </control>
          </mc:Choice>
        </mc:AlternateContent>
        <mc:AlternateContent xmlns:mc="http://schemas.openxmlformats.org/markup-compatibility/2006">
          <mc:Choice Requires="x14">
            <control shapeId="3098" r:id="rId25" name="Check Box P3C4">
              <controlPr defaultSize="0" autoFill="0" autoLine="0" autoPict="0" macro="[0]!SourceCategory46">
                <anchor moveWithCells="1" sizeWithCells="1">
                  <from>
                    <xdr:col>2</xdr:col>
                    <xdr:colOff>0</xdr:colOff>
                    <xdr:row>60</xdr:row>
                    <xdr:rowOff>0</xdr:rowOff>
                  </from>
                  <to>
                    <xdr:col>2</xdr:col>
                    <xdr:colOff>219075</xdr:colOff>
                    <xdr:row>61</xdr:row>
                    <xdr:rowOff>0</xdr:rowOff>
                  </to>
                </anchor>
              </controlPr>
            </control>
          </mc:Choice>
        </mc:AlternateContent>
        <mc:AlternateContent xmlns:mc="http://schemas.openxmlformats.org/markup-compatibility/2006">
          <mc:Choice Requires="x14">
            <control shapeId="3099" r:id="rId26" name="Check Box P3C5">
              <controlPr defaultSize="0" autoFill="0" autoLine="0" autoPict="0" macro="[0]!SourceCategory1357">
                <anchor moveWithCells="1" sizeWithCells="1">
                  <from>
                    <xdr:col>2</xdr:col>
                    <xdr:colOff>0</xdr:colOff>
                    <xdr:row>61</xdr:row>
                    <xdr:rowOff>0</xdr:rowOff>
                  </from>
                  <to>
                    <xdr:col>2</xdr:col>
                    <xdr:colOff>219075</xdr:colOff>
                    <xdr:row>62</xdr:row>
                    <xdr:rowOff>0</xdr:rowOff>
                  </to>
                </anchor>
              </controlPr>
            </control>
          </mc:Choice>
        </mc:AlternateContent>
        <mc:AlternateContent xmlns:mc="http://schemas.openxmlformats.org/markup-compatibility/2006">
          <mc:Choice Requires="x14">
            <control shapeId="3100" r:id="rId27" name="Check Box P3C6">
              <controlPr defaultSize="0" autoFill="0" autoLine="0" autoPict="0" macro="[0]!SourceCategory46">
                <anchor moveWithCells="1" sizeWithCells="1">
                  <from>
                    <xdr:col>2</xdr:col>
                    <xdr:colOff>0</xdr:colOff>
                    <xdr:row>62</xdr:row>
                    <xdr:rowOff>0</xdr:rowOff>
                  </from>
                  <to>
                    <xdr:col>2</xdr:col>
                    <xdr:colOff>219075</xdr:colOff>
                    <xdr:row>63</xdr:row>
                    <xdr:rowOff>0</xdr:rowOff>
                  </to>
                </anchor>
              </controlPr>
            </control>
          </mc:Choice>
        </mc:AlternateContent>
        <mc:AlternateContent xmlns:mc="http://schemas.openxmlformats.org/markup-compatibility/2006">
          <mc:Choice Requires="x14">
            <control shapeId="3101" r:id="rId28" name="Check Box P3C7">
              <controlPr defaultSize="0" autoFill="0" autoLine="0" autoPict="0" macro="[0]!SourceCategory1357">
                <anchor moveWithCells="1" sizeWithCells="1">
                  <from>
                    <xdr:col>2</xdr:col>
                    <xdr:colOff>0</xdr:colOff>
                    <xdr:row>63</xdr:row>
                    <xdr:rowOff>0</xdr:rowOff>
                  </from>
                  <to>
                    <xdr:col>2</xdr:col>
                    <xdr:colOff>219075</xdr:colOff>
                    <xdr:row>64</xdr:row>
                    <xdr:rowOff>0</xdr:rowOff>
                  </to>
                </anchor>
              </controlPr>
            </control>
          </mc:Choice>
        </mc:AlternateContent>
        <mc:AlternateContent xmlns:mc="http://schemas.openxmlformats.org/markup-compatibility/2006">
          <mc:Choice Requires="x14">
            <control shapeId="3102" r:id="rId29" name="Check Box P3C8">
              <controlPr defaultSize="0" autoFill="0" autoLine="0" autoPict="0" macro="[0]!SourceCategory289">
                <anchor moveWithCells="1" sizeWithCells="1">
                  <from>
                    <xdr:col>2</xdr:col>
                    <xdr:colOff>0</xdr:colOff>
                    <xdr:row>64</xdr:row>
                    <xdr:rowOff>0</xdr:rowOff>
                  </from>
                  <to>
                    <xdr:col>2</xdr:col>
                    <xdr:colOff>219075</xdr:colOff>
                    <xdr:row>65</xdr:row>
                    <xdr:rowOff>0</xdr:rowOff>
                  </to>
                </anchor>
              </controlPr>
            </control>
          </mc:Choice>
        </mc:AlternateContent>
        <mc:AlternateContent xmlns:mc="http://schemas.openxmlformats.org/markup-compatibility/2006">
          <mc:Choice Requires="x14">
            <control shapeId="3103" r:id="rId30" name="Check Box P3C9">
              <controlPr defaultSize="0" autoFill="0" autoLine="0" autoPict="0" macro="[0]!SourceCategory289">
                <anchor moveWithCells="1" sizeWithCells="1">
                  <from>
                    <xdr:col>2</xdr:col>
                    <xdr:colOff>0</xdr:colOff>
                    <xdr:row>65</xdr:row>
                    <xdr:rowOff>0</xdr:rowOff>
                  </from>
                  <to>
                    <xdr:col>2</xdr:col>
                    <xdr:colOff>219075</xdr:colOff>
                    <xdr:row>66</xdr:row>
                    <xdr:rowOff>0</xdr:rowOff>
                  </to>
                </anchor>
              </controlPr>
            </control>
          </mc:Choice>
        </mc:AlternateContent>
        <mc:AlternateContent xmlns:mc="http://schemas.openxmlformats.org/markup-compatibility/2006">
          <mc:Choice Requires="x14">
            <control shapeId="3104" r:id="rId31" name="Check Box P4C1">
              <controlPr defaultSize="0" autoFill="0" autoLine="0" autoPict="0" macro="[0]!SourceCategory1357">
                <anchor moveWithCells="1" sizeWithCells="1">
                  <from>
                    <xdr:col>2</xdr:col>
                    <xdr:colOff>0</xdr:colOff>
                    <xdr:row>79</xdr:row>
                    <xdr:rowOff>0</xdr:rowOff>
                  </from>
                  <to>
                    <xdr:col>2</xdr:col>
                    <xdr:colOff>219075</xdr:colOff>
                    <xdr:row>80</xdr:row>
                    <xdr:rowOff>0</xdr:rowOff>
                  </to>
                </anchor>
              </controlPr>
            </control>
          </mc:Choice>
        </mc:AlternateContent>
        <mc:AlternateContent xmlns:mc="http://schemas.openxmlformats.org/markup-compatibility/2006">
          <mc:Choice Requires="x14">
            <control shapeId="3105" r:id="rId32" name="Check Box P4C2">
              <controlPr defaultSize="0" autoFill="0" autoLine="0" autoPict="0" macro="[0]!SourceCategory289">
                <anchor moveWithCells="1" sizeWithCells="1">
                  <from>
                    <xdr:col>2</xdr:col>
                    <xdr:colOff>0</xdr:colOff>
                    <xdr:row>80</xdr:row>
                    <xdr:rowOff>0</xdr:rowOff>
                  </from>
                  <to>
                    <xdr:col>2</xdr:col>
                    <xdr:colOff>219075</xdr:colOff>
                    <xdr:row>81</xdr:row>
                    <xdr:rowOff>0</xdr:rowOff>
                  </to>
                </anchor>
              </controlPr>
            </control>
          </mc:Choice>
        </mc:AlternateContent>
        <mc:AlternateContent xmlns:mc="http://schemas.openxmlformats.org/markup-compatibility/2006">
          <mc:Choice Requires="x14">
            <control shapeId="3106" r:id="rId33" name="Check Box P4C3">
              <controlPr defaultSize="0" autoFill="0" autoLine="0" autoPict="0" macro="[0]!SourceCategory1357">
                <anchor moveWithCells="1" sizeWithCells="1">
                  <from>
                    <xdr:col>2</xdr:col>
                    <xdr:colOff>0</xdr:colOff>
                    <xdr:row>81</xdr:row>
                    <xdr:rowOff>0</xdr:rowOff>
                  </from>
                  <to>
                    <xdr:col>2</xdr:col>
                    <xdr:colOff>219075</xdr:colOff>
                    <xdr:row>82</xdr:row>
                    <xdr:rowOff>0</xdr:rowOff>
                  </to>
                </anchor>
              </controlPr>
            </control>
          </mc:Choice>
        </mc:AlternateContent>
        <mc:AlternateContent xmlns:mc="http://schemas.openxmlformats.org/markup-compatibility/2006">
          <mc:Choice Requires="x14">
            <control shapeId="3107" r:id="rId34" name="Check Box P4C4">
              <controlPr defaultSize="0" autoFill="0" autoLine="0" autoPict="0" macro="[0]!SourceCategory46">
                <anchor moveWithCells="1" sizeWithCells="1">
                  <from>
                    <xdr:col>2</xdr:col>
                    <xdr:colOff>0</xdr:colOff>
                    <xdr:row>82</xdr:row>
                    <xdr:rowOff>0</xdr:rowOff>
                  </from>
                  <to>
                    <xdr:col>2</xdr:col>
                    <xdr:colOff>219075</xdr:colOff>
                    <xdr:row>83</xdr:row>
                    <xdr:rowOff>0</xdr:rowOff>
                  </to>
                </anchor>
              </controlPr>
            </control>
          </mc:Choice>
        </mc:AlternateContent>
        <mc:AlternateContent xmlns:mc="http://schemas.openxmlformats.org/markup-compatibility/2006">
          <mc:Choice Requires="x14">
            <control shapeId="3108" r:id="rId35" name="Check Box P4C5">
              <controlPr defaultSize="0" autoFill="0" autoLine="0" autoPict="0" macro="[0]!SourceCategory1357">
                <anchor moveWithCells="1" sizeWithCells="1">
                  <from>
                    <xdr:col>2</xdr:col>
                    <xdr:colOff>0</xdr:colOff>
                    <xdr:row>83</xdr:row>
                    <xdr:rowOff>0</xdr:rowOff>
                  </from>
                  <to>
                    <xdr:col>2</xdr:col>
                    <xdr:colOff>219075</xdr:colOff>
                    <xdr:row>84</xdr:row>
                    <xdr:rowOff>0</xdr:rowOff>
                  </to>
                </anchor>
              </controlPr>
            </control>
          </mc:Choice>
        </mc:AlternateContent>
        <mc:AlternateContent xmlns:mc="http://schemas.openxmlformats.org/markup-compatibility/2006">
          <mc:Choice Requires="x14">
            <control shapeId="3109" r:id="rId36" name="Check Box P4C6">
              <controlPr defaultSize="0" autoFill="0" autoLine="0" autoPict="0" macro="[0]!SourceCategory46">
                <anchor moveWithCells="1" sizeWithCells="1">
                  <from>
                    <xdr:col>2</xdr:col>
                    <xdr:colOff>0</xdr:colOff>
                    <xdr:row>84</xdr:row>
                    <xdr:rowOff>0</xdr:rowOff>
                  </from>
                  <to>
                    <xdr:col>2</xdr:col>
                    <xdr:colOff>219075</xdr:colOff>
                    <xdr:row>85</xdr:row>
                    <xdr:rowOff>0</xdr:rowOff>
                  </to>
                </anchor>
              </controlPr>
            </control>
          </mc:Choice>
        </mc:AlternateContent>
        <mc:AlternateContent xmlns:mc="http://schemas.openxmlformats.org/markup-compatibility/2006">
          <mc:Choice Requires="x14">
            <control shapeId="3110" r:id="rId37" name="Check Box P4C7">
              <controlPr defaultSize="0" autoFill="0" autoLine="0" autoPict="0" macro="[0]!SourceCategory1357">
                <anchor moveWithCells="1" sizeWithCells="1">
                  <from>
                    <xdr:col>2</xdr:col>
                    <xdr:colOff>0</xdr:colOff>
                    <xdr:row>85</xdr:row>
                    <xdr:rowOff>0</xdr:rowOff>
                  </from>
                  <to>
                    <xdr:col>2</xdr:col>
                    <xdr:colOff>219075</xdr:colOff>
                    <xdr:row>86</xdr:row>
                    <xdr:rowOff>0</xdr:rowOff>
                  </to>
                </anchor>
              </controlPr>
            </control>
          </mc:Choice>
        </mc:AlternateContent>
        <mc:AlternateContent xmlns:mc="http://schemas.openxmlformats.org/markup-compatibility/2006">
          <mc:Choice Requires="x14">
            <control shapeId="3111" r:id="rId38" name="Check Box P4C8">
              <controlPr defaultSize="0" autoFill="0" autoLine="0" autoPict="0" macro="[0]!SourceCategory289">
                <anchor moveWithCells="1" sizeWithCells="1">
                  <from>
                    <xdr:col>2</xdr:col>
                    <xdr:colOff>0</xdr:colOff>
                    <xdr:row>86</xdr:row>
                    <xdr:rowOff>0</xdr:rowOff>
                  </from>
                  <to>
                    <xdr:col>2</xdr:col>
                    <xdr:colOff>219075</xdr:colOff>
                    <xdr:row>87</xdr:row>
                    <xdr:rowOff>0</xdr:rowOff>
                  </to>
                </anchor>
              </controlPr>
            </control>
          </mc:Choice>
        </mc:AlternateContent>
        <mc:AlternateContent xmlns:mc="http://schemas.openxmlformats.org/markup-compatibility/2006">
          <mc:Choice Requires="x14">
            <control shapeId="3112" r:id="rId39" name="Check Box P4C9">
              <controlPr defaultSize="0" autoFill="0" autoLine="0" autoPict="0" macro="[0]!SourceCategory289">
                <anchor moveWithCells="1" sizeWithCells="1">
                  <from>
                    <xdr:col>2</xdr:col>
                    <xdr:colOff>0</xdr:colOff>
                    <xdr:row>87</xdr:row>
                    <xdr:rowOff>0</xdr:rowOff>
                  </from>
                  <to>
                    <xdr:col>2</xdr:col>
                    <xdr:colOff>219075</xdr:colOff>
                    <xdr:row>88</xdr:row>
                    <xdr:rowOff>0</xdr:rowOff>
                  </to>
                </anchor>
              </controlPr>
            </control>
          </mc:Choice>
        </mc:AlternateContent>
        <mc:AlternateContent xmlns:mc="http://schemas.openxmlformats.org/markup-compatibility/2006">
          <mc:Choice Requires="x14">
            <control shapeId="3113" r:id="rId40" name="Check Box P5C1">
              <controlPr defaultSize="0" autoFill="0" autoLine="0" autoPict="0" macro="[0]!SourceCategory1357">
                <anchor moveWithCells="1" sizeWithCells="1">
                  <from>
                    <xdr:col>2</xdr:col>
                    <xdr:colOff>0</xdr:colOff>
                    <xdr:row>101</xdr:row>
                    <xdr:rowOff>0</xdr:rowOff>
                  </from>
                  <to>
                    <xdr:col>2</xdr:col>
                    <xdr:colOff>219075</xdr:colOff>
                    <xdr:row>102</xdr:row>
                    <xdr:rowOff>0</xdr:rowOff>
                  </to>
                </anchor>
              </controlPr>
            </control>
          </mc:Choice>
        </mc:AlternateContent>
        <mc:AlternateContent xmlns:mc="http://schemas.openxmlformats.org/markup-compatibility/2006">
          <mc:Choice Requires="x14">
            <control shapeId="3114" r:id="rId41" name="Check Box P5C2">
              <controlPr defaultSize="0" autoFill="0" autoLine="0" autoPict="0" macro="[0]!SourceCategory289">
                <anchor moveWithCells="1" sizeWithCells="1">
                  <from>
                    <xdr:col>2</xdr:col>
                    <xdr:colOff>0</xdr:colOff>
                    <xdr:row>102</xdr:row>
                    <xdr:rowOff>0</xdr:rowOff>
                  </from>
                  <to>
                    <xdr:col>2</xdr:col>
                    <xdr:colOff>219075</xdr:colOff>
                    <xdr:row>103</xdr:row>
                    <xdr:rowOff>0</xdr:rowOff>
                  </to>
                </anchor>
              </controlPr>
            </control>
          </mc:Choice>
        </mc:AlternateContent>
        <mc:AlternateContent xmlns:mc="http://schemas.openxmlformats.org/markup-compatibility/2006">
          <mc:Choice Requires="x14">
            <control shapeId="3115" r:id="rId42" name="Check Box P5C3">
              <controlPr defaultSize="0" autoFill="0" autoLine="0" autoPict="0" macro="[0]!SourceCategory1357">
                <anchor moveWithCells="1" sizeWithCells="1">
                  <from>
                    <xdr:col>2</xdr:col>
                    <xdr:colOff>0</xdr:colOff>
                    <xdr:row>103</xdr:row>
                    <xdr:rowOff>0</xdr:rowOff>
                  </from>
                  <to>
                    <xdr:col>2</xdr:col>
                    <xdr:colOff>219075</xdr:colOff>
                    <xdr:row>104</xdr:row>
                    <xdr:rowOff>0</xdr:rowOff>
                  </to>
                </anchor>
              </controlPr>
            </control>
          </mc:Choice>
        </mc:AlternateContent>
        <mc:AlternateContent xmlns:mc="http://schemas.openxmlformats.org/markup-compatibility/2006">
          <mc:Choice Requires="x14">
            <control shapeId="3116" r:id="rId43" name="Check Box P5C4">
              <controlPr defaultSize="0" autoFill="0" autoLine="0" autoPict="0" macro="[0]!SourceCategory46">
                <anchor moveWithCells="1" sizeWithCells="1">
                  <from>
                    <xdr:col>2</xdr:col>
                    <xdr:colOff>0</xdr:colOff>
                    <xdr:row>104</xdr:row>
                    <xdr:rowOff>0</xdr:rowOff>
                  </from>
                  <to>
                    <xdr:col>2</xdr:col>
                    <xdr:colOff>219075</xdr:colOff>
                    <xdr:row>105</xdr:row>
                    <xdr:rowOff>0</xdr:rowOff>
                  </to>
                </anchor>
              </controlPr>
            </control>
          </mc:Choice>
        </mc:AlternateContent>
        <mc:AlternateContent xmlns:mc="http://schemas.openxmlformats.org/markup-compatibility/2006">
          <mc:Choice Requires="x14">
            <control shapeId="3117" r:id="rId44" name="Check Box P5C5">
              <controlPr defaultSize="0" autoFill="0" autoLine="0" autoPict="0" macro="[0]!SourceCategory1357">
                <anchor moveWithCells="1" sizeWithCells="1">
                  <from>
                    <xdr:col>2</xdr:col>
                    <xdr:colOff>0</xdr:colOff>
                    <xdr:row>105</xdr:row>
                    <xdr:rowOff>0</xdr:rowOff>
                  </from>
                  <to>
                    <xdr:col>2</xdr:col>
                    <xdr:colOff>219075</xdr:colOff>
                    <xdr:row>106</xdr:row>
                    <xdr:rowOff>0</xdr:rowOff>
                  </to>
                </anchor>
              </controlPr>
            </control>
          </mc:Choice>
        </mc:AlternateContent>
        <mc:AlternateContent xmlns:mc="http://schemas.openxmlformats.org/markup-compatibility/2006">
          <mc:Choice Requires="x14">
            <control shapeId="3118" r:id="rId45" name="Check Box P5C6">
              <controlPr defaultSize="0" autoFill="0" autoLine="0" autoPict="0" macro="[0]!SourceCategory46">
                <anchor moveWithCells="1" sizeWithCells="1">
                  <from>
                    <xdr:col>2</xdr:col>
                    <xdr:colOff>0</xdr:colOff>
                    <xdr:row>106</xdr:row>
                    <xdr:rowOff>0</xdr:rowOff>
                  </from>
                  <to>
                    <xdr:col>2</xdr:col>
                    <xdr:colOff>219075</xdr:colOff>
                    <xdr:row>107</xdr:row>
                    <xdr:rowOff>0</xdr:rowOff>
                  </to>
                </anchor>
              </controlPr>
            </control>
          </mc:Choice>
        </mc:AlternateContent>
        <mc:AlternateContent xmlns:mc="http://schemas.openxmlformats.org/markup-compatibility/2006">
          <mc:Choice Requires="x14">
            <control shapeId="3119" r:id="rId46" name="Check Box P5C7">
              <controlPr defaultSize="0" autoFill="0" autoLine="0" autoPict="0" macro="[0]!SourceCategory1357">
                <anchor moveWithCells="1" sizeWithCells="1">
                  <from>
                    <xdr:col>2</xdr:col>
                    <xdr:colOff>0</xdr:colOff>
                    <xdr:row>107</xdr:row>
                    <xdr:rowOff>0</xdr:rowOff>
                  </from>
                  <to>
                    <xdr:col>2</xdr:col>
                    <xdr:colOff>219075</xdr:colOff>
                    <xdr:row>108</xdr:row>
                    <xdr:rowOff>0</xdr:rowOff>
                  </to>
                </anchor>
              </controlPr>
            </control>
          </mc:Choice>
        </mc:AlternateContent>
        <mc:AlternateContent xmlns:mc="http://schemas.openxmlformats.org/markup-compatibility/2006">
          <mc:Choice Requires="x14">
            <control shapeId="3121" r:id="rId47" name="Check Box P5C8">
              <controlPr defaultSize="0" autoFill="0" autoLine="0" autoPict="0" macro="[0]!SourceCategory289">
                <anchor moveWithCells="1" sizeWithCells="1">
                  <from>
                    <xdr:col>2</xdr:col>
                    <xdr:colOff>0</xdr:colOff>
                    <xdr:row>108</xdr:row>
                    <xdr:rowOff>0</xdr:rowOff>
                  </from>
                  <to>
                    <xdr:col>2</xdr:col>
                    <xdr:colOff>219075</xdr:colOff>
                    <xdr:row>109</xdr:row>
                    <xdr:rowOff>0</xdr:rowOff>
                  </to>
                </anchor>
              </controlPr>
            </control>
          </mc:Choice>
        </mc:AlternateContent>
        <mc:AlternateContent xmlns:mc="http://schemas.openxmlformats.org/markup-compatibility/2006">
          <mc:Choice Requires="x14">
            <control shapeId="3122" r:id="rId48" name="Check Box P5C9">
              <controlPr defaultSize="0" autoFill="0" autoLine="0" autoPict="0" macro="[0]!SourceCategory289">
                <anchor moveWithCells="1" sizeWithCells="1">
                  <from>
                    <xdr:col>2</xdr:col>
                    <xdr:colOff>0</xdr:colOff>
                    <xdr:row>109</xdr:row>
                    <xdr:rowOff>0</xdr:rowOff>
                  </from>
                  <to>
                    <xdr:col>2</xdr:col>
                    <xdr:colOff>219075</xdr:colOff>
                    <xdr:row>110</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2D8E0-88C0-483F-8A80-8D54BE0A011F}">
  <sheetPr codeName="Sheet4">
    <tabColor rgb="FF046A38"/>
    <pageSetUpPr fitToPage="1"/>
  </sheetPr>
  <dimension ref="B1:F521"/>
  <sheetViews>
    <sheetView showGridLines="0" showRowColHeaders="0" zoomScaleNormal="100" workbookViewId="0">
      <selection activeCell="D12" sqref="D12"/>
    </sheetView>
  </sheetViews>
  <sheetFormatPr defaultColWidth="9.140625"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15"/>
      <c r="C4" s="119" t="s">
        <v>2</v>
      </c>
      <c r="D4" s="119"/>
      <c r="E4" s="119"/>
      <c r="F4" s="16"/>
    </row>
    <row r="5" spans="2:6" ht="20.100000000000001" customHeight="1" x14ac:dyDescent="0.25">
      <c r="B5" s="12"/>
      <c r="C5" s="121" t="s">
        <v>30</v>
      </c>
      <c r="D5" s="121"/>
      <c r="E5" s="121"/>
      <c r="F5" s="13"/>
    </row>
    <row r="6" spans="2:6" ht="15" customHeight="1" x14ac:dyDescent="0.25">
      <c r="B6" s="1"/>
      <c r="C6" s="101"/>
      <c r="D6" s="101"/>
      <c r="E6" s="101"/>
      <c r="F6" s="2"/>
    </row>
    <row r="7" spans="2:6" ht="15" customHeight="1" x14ac:dyDescent="0.25">
      <c r="B7" s="1"/>
      <c r="C7" s="101" t="s">
        <v>29</v>
      </c>
      <c r="D7" s="101"/>
      <c r="E7" s="101"/>
      <c r="F7" s="2"/>
    </row>
    <row r="8" spans="2:6" ht="15" customHeight="1" x14ac:dyDescent="0.25">
      <c r="B8" s="1"/>
      <c r="C8" s="102" t="str">
        <f>IF(I.Product.P1Name="","",I.Product.P1Name)</f>
        <v/>
      </c>
      <c r="D8" s="101"/>
      <c r="E8" s="101"/>
      <c r="F8" s="2"/>
    </row>
    <row r="9" spans="2:6" ht="15" customHeight="1" x14ac:dyDescent="0.25">
      <c r="B9" s="1"/>
      <c r="C9" s="101"/>
      <c r="D9" s="101"/>
      <c r="E9" s="101"/>
      <c r="F9" s="2"/>
    </row>
    <row r="10" spans="2:6" ht="15" customHeight="1" x14ac:dyDescent="0.25">
      <c r="B10" s="1"/>
      <c r="C10" s="101" t="s">
        <v>37</v>
      </c>
      <c r="D10" s="101"/>
      <c r="E10" s="101"/>
      <c r="F10" s="2"/>
    </row>
    <row r="11" spans="2:6" ht="15" customHeight="1" x14ac:dyDescent="0.25">
      <c r="B11" s="1"/>
      <c r="C11" s="104" t="s">
        <v>38</v>
      </c>
      <c r="D11" s="107" t="str">
        <f>IF(I.Facility.ComplianceYear="","Compliance year",I.Facility.ComplianceYear)</f>
        <v>Compliance year</v>
      </c>
      <c r="E11" s="103" t="s">
        <v>39</v>
      </c>
      <c r="F11" s="2"/>
    </row>
    <row r="12" spans="2:6" ht="15" customHeight="1" x14ac:dyDescent="0.25">
      <c r="B12" s="1"/>
      <c r="C12" s="105" t="s">
        <v>105</v>
      </c>
      <c r="D12" s="20"/>
      <c r="E12" s="10"/>
      <c r="F12" s="2"/>
    </row>
    <row r="13" spans="2:6" ht="15" customHeight="1" x14ac:dyDescent="0.25">
      <c r="B13" s="1"/>
      <c r="C13" s="101"/>
      <c r="D13" s="101"/>
      <c r="E13" s="101"/>
      <c r="F13" s="2"/>
    </row>
    <row r="14" spans="2:6" ht="15" hidden="1" customHeight="1" x14ac:dyDescent="0.25">
      <c r="B14" s="1"/>
      <c r="C14" s="101" t="s">
        <v>40</v>
      </c>
      <c r="D14" s="101"/>
      <c r="E14" s="101"/>
      <c r="F14" s="2"/>
    </row>
    <row r="15" spans="2:6" ht="15" hidden="1" customHeight="1" x14ac:dyDescent="0.25">
      <c r="B15" s="1"/>
      <c r="C15" s="104" t="s">
        <v>38</v>
      </c>
      <c r="D15" s="107" t="str">
        <f>IF(I.Facility.ComplianceYear="","Compliance year",I.Facility.ComplianceYear)</f>
        <v>Compliance year</v>
      </c>
      <c r="E15" s="103" t="s">
        <v>39</v>
      </c>
      <c r="F15" s="2"/>
    </row>
    <row r="16" spans="2:6" ht="15" hidden="1" customHeight="1" x14ac:dyDescent="0.35">
      <c r="B16" s="1"/>
      <c r="C16" s="105" t="s">
        <v>49</v>
      </c>
      <c r="D16" s="108"/>
      <c r="E16" s="110" t="s">
        <v>1660</v>
      </c>
      <c r="F16" s="2"/>
    </row>
    <row r="17" spans="2:6" ht="15" hidden="1" customHeight="1" x14ac:dyDescent="0.35">
      <c r="B17" s="1"/>
      <c r="C17" s="105" t="s">
        <v>50</v>
      </c>
      <c r="D17" s="108"/>
      <c r="E17" s="110" t="s">
        <v>1661</v>
      </c>
      <c r="F17" s="2"/>
    </row>
    <row r="18" spans="2:6" ht="15" hidden="1" customHeight="1" x14ac:dyDescent="0.35">
      <c r="B18" s="1"/>
      <c r="C18" s="105" t="s">
        <v>51</v>
      </c>
      <c r="D18" s="108"/>
      <c r="E18" s="110" t="s">
        <v>1662</v>
      </c>
      <c r="F18" s="2"/>
    </row>
    <row r="19" spans="2:6" ht="15" hidden="1" customHeight="1" x14ac:dyDescent="0.25">
      <c r="B19" s="1"/>
      <c r="C19" s="101"/>
      <c r="D19" s="101"/>
      <c r="E19" s="101"/>
      <c r="F19" s="2"/>
    </row>
    <row r="20" spans="2:6" ht="15" hidden="1" customHeight="1" x14ac:dyDescent="0.25">
      <c r="B20" s="1"/>
      <c r="C20" s="101" t="s">
        <v>41</v>
      </c>
      <c r="D20" s="101"/>
      <c r="E20" s="101"/>
      <c r="F20" s="2"/>
    </row>
    <row r="21" spans="2:6" ht="15" hidden="1" customHeight="1" x14ac:dyDescent="0.25">
      <c r="B21" s="1"/>
      <c r="C21" s="104" t="s">
        <v>38</v>
      </c>
      <c r="D21" s="107" t="str">
        <f>IF(I.Facility.ComplianceYear="","Compliance year",I.Facility.ComplianceYear)</f>
        <v>Compliance year</v>
      </c>
      <c r="E21" s="103" t="s">
        <v>39</v>
      </c>
      <c r="F21" s="2"/>
    </row>
    <row r="22" spans="2:6" ht="15" hidden="1" customHeight="1" x14ac:dyDescent="0.35">
      <c r="B22" s="1"/>
      <c r="C22" s="105" t="s">
        <v>49</v>
      </c>
      <c r="D22" s="108"/>
      <c r="E22" s="110" t="s">
        <v>1660</v>
      </c>
      <c r="F22" s="2"/>
    </row>
    <row r="23" spans="2:6" ht="15" hidden="1" customHeight="1" x14ac:dyDescent="0.35">
      <c r="B23" s="1"/>
      <c r="C23" s="105" t="s">
        <v>50</v>
      </c>
      <c r="D23" s="108"/>
      <c r="E23" s="110" t="s">
        <v>1661</v>
      </c>
      <c r="F23" s="2"/>
    </row>
    <row r="24" spans="2:6" ht="15" hidden="1" customHeight="1" x14ac:dyDescent="0.35">
      <c r="B24" s="1"/>
      <c r="C24" s="105" t="s">
        <v>51</v>
      </c>
      <c r="D24" s="108"/>
      <c r="E24" s="110" t="s">
        <v>1662</v>
      </c>
      <c r="F24" s="2"/>
    </row>
    <row r="25" spans="2:6" ht="15" hidden="1" customHeight="1" x14ac:dyDescent="0.35">
      <c r="B25" s="1"/>
      <c r="C25" s="105" t="s">
        <v>52</v>
      </c>
      <c r="D25" s="108"/>
      <c r="E25" s="110" t="s">
        <v>1663</v>
      </c>
      <c r="F25" s="2"/>
    </row>
    <row r="26" spans="2:6" ht="15" hidden="1" customHeight="1" x14ac:dyDescent="0.35">
      <c r="B26" s="1"/>
      <c r="C26" s="105" t="s">
        <v>53</v>
      </c>
      <c r="D26" s="108"/>
      <c r="E26" s="110" t="s">
        <v>1664</v>
      </c>
      <c r="F26" s="2"/>
    </row>
    <row r="27" spans="2:6" ht="15" hidden="1" customHeight="1" x14ac:dyDescent="0.35">
      <c r="B27" s="1"/>
      <c r="C27" s="105" t="s">
        <v>54</v>
      </c>
      <c r="D27" s="108"/>
      <c r="E27" s="110" t="s">
        <v>1665</v>
      </c>
      <c r="F27" s="2"/>
    </row>
    <row r="28" spans="2:6" ht="15" hidden="1" customHeight="1" x14ac:dyDescent="0.35">
      <c r="B28" s="1"/>
      <c r="C28" s="105" t="s">
        <v>55</v>
      </c>
      <c r="D28" s="108"/>
      <c r="E28" s="110" t="s">
        <v>1666</v>
      </c>
      <c r="F28" s="2"/>
    </row>
    <row r="29" spans="2:6" ht="15" hidden="1" customHeight="1" x14ac:dyDescent="0.35">
      <c r="B29" s="1"/>
      <c r="C29" s="105" t="s">
        <v>56</v>
      </c>
      <c r="D29" s="108"/>
      <c r="E29" s="110" t="s">
        <v>1667</v>
      </c>
      <c r="F29" s="2"/>
    </row>
    <row r="30" spans="2:6" ht="15" hidden="1" customHeight="1" x14ac:dyDescent="0.35">
      <c r="B30" s="1"/>
      <c r="C30" s="105" t="s">
        <v>57</v>
      </c>
      <c r="D30" s="108"/>
      <c r="E30" s="110" t="s">
        <v>1668</v>
      </c>
      <c r="F30" s="2"/>
    </row>
    <row r="31" spans="2:6" ht="15" hidden="1" customHeight="1" x14ac:dyDescent="0.35">
      <c r="B31" s="1"/>
      <c r="C31" s="105" t="s">
        <v>58</v>
      </c>
      <c r="D31" s="108"/>
      <c r="E31" s="110" t="s">
        <v>1669</v>
      </c>
      <c r="F31" s="2"/>
    </row>
    <row r="32" spans="2:6" ht="15" hidden="1" customHeight="1" x14ac:dyDescent="0.35">
      <c r="B32" s="1"/>
      <c r="C32" s="105" t="s">
        <v>59</v>
      </c>
      <c r="D32" s="108"/>
      <c r="E32" s="110" t="s">
        <v>1670</v>
      </c>
      <c r="F32" s="2"/>
    </row>
    <row r="33" spans="2:6" ht="15" hidden="1" customHeight="1" x14ac:dyDescent="0.35">
      <c r="B33" s="1"/>
      <c r="C33" s="105" t="s">
        <v>60</v>
      </c>
      <c r="D33" s="108"/>
      <c r="E33" s="110" t="s">
        <v>1671</v>
      </c>
      <c r="F33" s="2"/>
    </row>
    <row r="34" spans="2:6" ht="15" hidden="1" customHeight="1" x14ac:dyDescent="0.35">
      <c r="B34" s="1"/>
      <c r="C34" s="105" t="s">
        <v>61</v>
      </c>
      <c r="D34" s="108"/>
      <c r="E34" s="110" t="s">
        <v>1672</v>
      </c>
      <c r="F34" s="2"/>
    </row>
    <row r="35" spans="2:6" ht="15" hidden="1" customHeight="1" x14ac:dyDescent="0.35">
      <c r="B35" s="1"/>
      <c r="C35" s="105" t="s">
        <v>62</v>
      </c>
      <c r="D35" s="108"/>
      <c r="E35" s="110" t="s">
        <v>1673</v>
      </c>
      <c r="F35" s="2"/>
    </row>
    <row r="36" spans="2:6" ht="15" hidden="1" customHeight="1" x14ac:dyDescent="0.35">
      <c r="B36" s="1"/>
      <c r="C36" s="105" t="s">
        <v>63</v>
      </c>
      <c r="D36" s="108"/>
      <c r="E36" s="110" t="s">
        <v>1674</v>
      </c>
      <c r="F36" s="2"/>
    </row>
    <row r="37" spans="2:6" ht="15" hidden="1" customHeight="1" x14ac:dyDescent="0.35">
      <c r="B37" s="1"/>
      <c r="C37" s="105" t="s">
        <v>64</v>
      </c>
      <c r="D37" s="108"/>
      <c r="E37" s="110" t="s">
        <v>1675</v>
      </c>
      <c r="F37" s="2"/>
    </row>
    <row r="38" spans="2:6" ht="15" hidden="1" customHeight="1" x14ac:dyDescent="0.35">
      <c r="B38" s="1"/>
      <c r="C38" s="105" t="s">
        <v>65</v>
      </c>
      <c r="D38" s="108"/>
      <c r="E38" s="110" t="s">
        <v>1676</v>
      </c>
      <c r="F38" s="2"/>
    </row>
    <row r="39" spans="2:6" ht="15" hidden="1" customHeight="1" x14ac:dyDescent="0.35">
      <c r="B39" s="1"/>
      <c r="C39" s="105" t="s">
        <v>66</v>
      </c>
      <c r="D39" s="108"/>
      <c r="E39" s="110" t="s">
        <v>1677</v>
      </c>
      <c r="F39" s="2"/>
    </row>
    <row r="40" spans="2:6" ht="15" hidden="1" customHeight="1" x14ac:dyDescent="0.35">
      <c r="B40" s="1"/>
      <c r="C40" s="105" t="s">
        <v>67</v>
      </c>
      <c r="D40" s="108"/>
      <c r="E40" s="110" t="s">
        <v>1678</v>
      </c>
      <c r="F40" s="2"/>
    </row>
    <row r="41" spans="2:6" ht="15" hidden="1" customHeight="1" x14ac:dyDescent="0.35">
      <c r="B41" s="1"/>
      <c r="C41" s="105" t="s">
        <v>68</v>
      </c>
      <c r="D41" s="108"/>
      <c r="E41" s="110" t="s">
        <v>1679</v>
      </c>
      <c r="F41" s="2"/>
    </row>
    <row r="42" spans="2:6" ht="15" hidden="1" customHeight="1" x14ac:dyDescent="0.35">
      <c r="B42" s="1"/>
      <c r="C42" s="105" t="s">
        <v>69</v>
      </c>
      <c r="D42" s="108"/>
      <c r="E42" s="110" t="s">
        <v>1680</v>
      </c>
      <c r="F42" s="2"/>
    </row>
    <row r="43" spans="2:6" ht="15" hidden="1" customHeight="1" x14ac:dyDescent="0.35">
      <c r="B43" s="1"/>
      <c r="C43" s="105" t="s">
        <v>70</v>
      </c>
      <c r="D43" s="108"/>
      <c r="E43" s="110" t="s">
        <v>1681</v>
      </c>
      <c r="F43" s="2"/>
    </row>
    <row r="44" spans="2:6" ht="15" hidden="1" customHeight="1" x14ac:dyDescent="0.35">
      <c r="B44" s="1"/>
      <c r="C44" s="105" t="s">
        <v>71</v>
      </c>
      <c r="D44" s="108"/>
      <c r="E44" s="110" t="s">
        <v>1682</v>
      </c>
      <c r="F44" s="2"/>
    </row>
    <row r="45" spans="2:6" ht="15" hidden="1" customHeight="1" x14ac:dyDescent="0.35">
      <c r="B45" s="1"/>
      <c r="C45" s="105" t="s">
        <v>72</v>
      </c>
      <c r="D45" s="108"/>
      <c r="E45" s="110" t="s">
        <v>1683</v>
      </c>
      <c r="F45" s="2"/>
    </row>
    <row r="46" spans="2:6" ht="15" hidden="1" customHeight="1" x14ac:dyDescent="0.25">
      <c r="B46" s="1"/>
      <c r="C46" s="101"/>
      <c r="D46" s="101"/>
      <c r="E46" s="101"/>
      <c r="F46" s="2"/>
    </row>
    <row r="47" spans="2:6" ht="15" hidden="1" customHeight="1" x14ac:dyDescent="0.25">
      <c r="B47" s="1"/>
      <c r="C47" s="101" t="s">
        <v>42</v>
      </c>
      <c r="D47" s="101"/>
      <c r="E47" s="101"/>
      <c r="F47" s="2"/>
    </row>
    <row r="48" spans="2:6" ht="15" hidden="1" customHeight="1" x14ac:dyDescent="0.25">
      <c r="B48" s="1"/>
      <c r="C48" s="104" t="s">
        <v>38</v>
      </c>
      <c r="D48" s="107" t="str">
        <f>IF(I.Facility.ComplianceYear="","Compliance year",I.Facility.ComplianceYear)</f>
        <v>Compliance year</v>
      </c>
      <c r="E48" s="103" t="s">
        <v>39</v>
      </c>
      <c r="F48" s="2"/>
    </row>
    <row r="49" spans="2:6" ht="15" hidden="1" customHeight="1" x14ac:dyDescent="0.35">
      <c r="B49" s="1"/>
      <c r="C49" s="105" t="s">
        <v>52</v>
      </c>
      <c r="D49" s="108"/>
      <c r="E49" s="110" t="s">
        <v>1663</v>
      </c>
      <c r="F49" s="2"/>
    </row>
    <row r="50" spans="2:6" ht="15" hidden="1" customHeight="1" x14ac:dyDescent="0.35">
      <c r="B50" s="1"/>
      <c r="C50" s="105" t="s">
        <v>53</v>
      </c>
      <c r="D50" s="108"/>
      <c r="E50" s="110" t="s">
        <v>1664</v>
      </c>
      <c r="F50" s="2"/>
    </row>
    <row r="51" spans="2:6" ht="15" hidden="1" customHeight="1" x14ac:dyDescent="0.35">
      <c r="B51" s="1"/>
      <c r="C51" s="105" t="s">
        <v>54</v>
      </c>
      <c r="D51" s="108"/>
      <c r="E51" s="110" t="s">
        <v>1665</v>
      </c>
      <c r="F51" s="2"/>
    </row>
    <row r="52" spans="2:6" ht="15" hidden="1" customHeight="1" x14ac:dyDescent="0.35">
      <c r="B52" s="1"/>
      <c r="C52" s="105" t="s">
        <v>55</v>
      </c>
      <c r="D52" s="108"/>
      <c r="E52" s="110" t="s">
        <v>1666</v>
      </c>
      <c r="F52" s="2"/>
    </row>
    <row r="53" spans="2:6" ht="15" hidden="1" customHeight="1" x14ac:dyDescent="0.35">
      <c r="B53" s="1"/>
      <c r="C53" s="105" t="s">
        <v>56</v>
      </c>
      <c r="D53" s="108"/>
      <c r="E53" s="110" t="s">
        <v>1667</v>
      </c>
      <c r="F53" s="2"/>
    </row>
    <row r="54" spans="2:6" ht="15" hidden="1" customHeight="1" x14ac:dyDescent="0.35">
      <c r="B54" s="1"/>
      <c r="C54" s="105" t="s">
        <v>57</v>
      </c>
      <c r="D54" s="108"/>
      <c r="E54" s="110" t="s">
        <v>1668</v>
      </c>
      <c r="F54" s="2"/>
    </row>
    <row r="55" spans="2:6" ht="15" hidden="1" customHeight="1" x14ac:dyDescent="0.35">
      <c r="B55" s="1"/>
      <c r="C55" s="105" t="s">
        <v>58</v>
      </c>
      <c r="D55" s="108"/>
      <c r="E55" s="110" t="s">
        <v>1669</v>
      </c>
      <c r="F55" s="2"/>
    </row>
    <row r="56" spans="2:6" ht="15" hidden="1" customHeight="1" x14ac:dyDescent="0.35">
      <c r="B56" s="1"/>
      <c r="C56" s="105" t="s">
        <v>59</v>
      </c>
      <c r="D56" s="108"/>
      <c r="E56" s="110" t="s">
        <v>1670</v>
      </c>
      <c r="F56" s="2"/>
    </row>
    <row r="57" spans="2:6" ht="15" hidden="1" customHeight="1" x14ac:dyDescent="0.35">
      <c r="B57" s="1"/>
      <c r="C57" s="105" t="s">
        <v>60</v>
      </c>
      <c r="D57" s="108"/>
      <c r="E57" s="110" t="s">
        <v>1671</v>
      </c>
      <c r="F57" s="2"/>
    </row>
    <row r="58" spans="2:6" ht="15" hidden="1" customHeight="1" x14ac:dyDescent="0.35">
      <c r="B58" s="1"/>
      <c r="C58" s="105" t="s">
        <v>61</v>
      </c>
      <c r="D58" s="108"/>
      <c r="E58" s="110" t="s">
        <v>1672</v>
      </c>
      <c r="F58" s="2"/>
    </row>
    <row r="59" spans="2:6" ht="15" hidden="1" customHeight="1" x14ac:dyDescent="0.35">
      <c r="B59" s="1"/>
      <c r="C59" s="105" t="s">
        <v>62</v>
      </c>
      <c r="D59" s="108"/>
      <c r="E59" s="110" t="s">
        <v>1673</v>
      </c>
      <c r="F59" s="2"/>
    </row>
    <row r="60" spans="2:6" ht="15" hidden="1" customHeight="1" x14ac:dyDescent="0.35">
      <c r="B60" s="1"/>
      <c r="C60" s="105" t="s">
        <v>63</v>
      </c>
      <c r="D60" s="108"/>
      <c r="E60" s="110" t="s">
        <v>1674</v>
      </c>
      <c r="F60" s="2"/>
    </row>
    <row r="61" spans="2:6" ht="15" hidden="1" customHeight="1" x14ac:dyDescent="0.35">
      <c r="B61" s="1"/>
      <c r="C61" s="105" t="s">
        <v>64</v>
      </c>
      <c r="D61" s="108"/>
      <c r="E61" s="110" t="s">
        <v>1675</v>
      </c>
      <c r="F61" s="2"/>
    </row>
    <row r="62" spans="2:6" ht="15" hidden="1" customHeight="1" x14ac:dyDescent="0.35">
      <c r="B62" s="1"/>
      <c r="C62" s="105" t="s">
        <v>65</v>
      </c>
      <c r="D62" s="108"/>
      <c r="E62" s="110" t="s">
        <v>1676</v>
      </c>
      <c r="F62" s="2"/>
    </row>
    <row r="63" spans="2:6" ht="15" hidden="1" customHeight="1" x14ac:dyDescent="0.35">
      <c r="B63" s="1"/>
      <c r="C63" s="105" t="s">
        <v>66</v>
      </c>
      <c r="D63" s="108"/>
      <c r="E63" s="110" t="s">
        <v>1677</v>
      </c>
      <c r="F63" s="2"/>
    </row>
    <row r="64" spans="2:6" ht="15" hidden="1" customHeight="1" x14ac:dyDescent="0.35">
      <c r="B64" s="1"/>
      <c r="C64" s="105" t="s">
        <v>67</v>
      </c>
      <c r="D64" s="108"/>
      <c r="E64" s="110" t="s">
        <v>1678</v>
      </c>
      <c r="F64" s="2"/>
    </row>
    <row r="65" spans="2:6" ht="15" hidden="1" customHeight="1" x14ac:dyDescent="0.35">
      <c r="B65" s="1"/>
      <c r="C65" s="105" t="s">
        <v>68</v>
      </c>
      <c r="D65" s="108"/>
      <c r="E65" s="110" t="s">
        <v>1679</v>
      </c>
      <c r="F65" s="2"/>
    </row>
    <row r="66" spans="2:6" ht="15" hidden="1" customHeight="1" x14ac:dyDescent="0.35">
      <c r="B66" s="1"/>
      <c r="C66" s="105" t="s">
        <v>69</v>
      </c>
      <c r="D66" s="108"/>
      <c r="E66" s="110" t="s">
        <v>1680</v>
      </c>
      <c r="F66" s="2"/>
    </row>
    <row r="67" spans="2:6" ht="15" hidden="1" customHeight="1" x14ac:dyDescent="0.35">
      <c r="B67" s="1"/>
      <c r="C67" s="105" t="s">
        <v>70</v>
      </c>
      <c r="D67" s="108"/>
      <c r="E67" s="110" t="s">
        <v>1681</v>
      </c>
      <c r="F67" s="2"/>
    </row>
    <row r="68" spans="2:6" ht="15" hidden="1" customHeight="1" x14ac:dyDescent="0.35">
      <c r="B68" s="1"/>
      <c r="C68" s="105" t="s">
        <v>71</v>
      </c>
      <c r="D68" s="108"/>
      <c r="E68" s="110" t="s">
        <v>1682</v>
      </c>
      <c r="F68" s="2"/>
    </row>
    <row r="69" spans="2:6" ht="15" hidden="1" customHeight="1" x14ac:dyDescent="0.35">
      <c r="B69" s="1"/>
      <c r="C69" s="105" t="s">
        <v>72</v>
      </c>
      <c r="D69" s="108"/>
      <c r="E69" s="110" t="s">
        <v>1683</v>
      </c>
      <c r="F69" s="2"/>
    </row>
    <row r="70" spans="2:6" ht="15" hidden="1" customHeight="1" x14ac:dyDescent="0.25">
      <c r="B70" s="1"/>
      <c r="C70" s="101"/>
      <c r="D70" s="101"/>
      <c r="E70" s="101"/>
      <c r="F70" s="2"/>
    </row>
    <row r="71" spans="2:6" ht="15" hidden="1" customHeight="1" x14ac:dyDescent="0.25">
      <c r="B71" s="1"/>
      <c r="C71" s="101" t="s">
        <v>43</v>
      </c>
      <c r="D71" s="101"/>
      <c r="E71" s="101"/>
      <c r="F71" s="2"/>
    </row>
    <row r="72" spans="2:6" ht="15" hidden="1" customHeight="1" x14ac:dyDescent="0.25">
      <c r="B72" s="1"/>
      <c r="C72" s="104" t="s">
        <v>38</v>
      </c>
      <c r="D72" s="107" t="str">
        <f>IF(I.Facility.ComplianceYear="","Compliance year",I.Facility.ComplianceYear)</f>
        <v>Compliance year</v>
      </c>
      <c r="E72" s="103" t="s">
        <v>39</v>
      </c>
      <c r="F72" s="2"/>
    </row>
    <row r="73" spans="2:6" ht="15" hidden="1" customHeight="1" x14ac:dyDescent="0.35">
      <c r="B73" s="1"/>
      <c r="C73" s="105" t="s">
        <v>49</v>
      </c>
      <c r="D73" s="108"/>
      <c r="E73" s="110" t="s">
        <v>1660</v>
      </c>
      <c r="F73" s="2"/>
    </row>
    <row r="74" spans="2:6" ht="15" hidden="1" customHeight="1" x14ac:dyDescent="0.35">
      <c r="B74" s="1"/>
      <c r="C74" s="105" t="s">
        <v>50</v>
      </c>
      <c r="D74" s="108"/>
      <c r="E74" s="110" t="s">
        <v>1661</v>
      </c>
      <c r="F74" s="2"/>
    </row>
    <row r="75" spans="2:6" ht="15" hidden="1" customHeight="1" x14ac:dyDescent="0.35">
      <c r="B75" s="1"/>
      <c r="C75" s="105" t="s">
        <v>51</v>
      </c>
      <c r="D75" s="108"/>
      <c r="E75" s="110" t="s">
        <v>1662</v>
      </c>
      <c r="F75" s="2"/>
    </row>
    <row r="76" spans="2:6" ht="15" hidden="1" customHeight="1" x14ac:dyDescent="0.25">
      <c r="B76" s="1"/>
      <c r="C76" s="101"/>
      <c r="D76" s="101"/>
      <c r="E76" s="101"/>
      <c r="F76" s="2"/>
    </row>
    <row r="77" spans="2:6" ht="15" hidden="1" customHeight="1" x14ac:dyDescent="0.25">
      <c r="B77" s="1"/>
      <c r="C77" s="101" t="s">
        <v>44</v>
      </c>
      <c r="D77" s="101"/>
      <c r="E77" s="101"/>
      <c r="F77" s="2"/>
    </row>
    <row r="78" spans="2:6" ht="15" hidden="1" customHeight="1" x14ac:dyDescent="0.25">
      <c r="B78" s="1"/>
      <c r="C78" s="104" t="s">
        <v>38</v>
      </c>
      <c r="D78" s="107" t="str">
        <f>IF(I.Facility.ComplianceYear="","Compliance year",I.Facility.ComplianceYear)</f>
        <v>Compliance year</v>
      </c>
      <c r="E78" s="103" t="s">
        <v>39</v>
      </c>
      <c r="F78" s="2"/>
    </row>
    <row r="79" spans="2:6" ht="15" hidden="1" customHeight="1" x14ac:dyDescent="0.35">
      <c r="B79" s="1"/>
      <c r="C79" s="105" t="s">
        <v>49</v>
      </c>
      <c r="D79" s="108"/>
      <c r="E79" s="110" t="s">
        <v>1660</v>
      </c>
      <c r="F79" s="2"/>
    </row>
    <row r="80" spans="2:6" ht="15" hidden="1" customHeight="1" x14ac:dyDescent="0.35">
      <c r="B80" s="1"/>
      <c r="C80" s="105" t="s">
        <v>50</v>
      </c>
      <c r="D80" s="108"/>
      <c r="E80" s="110" t="s">
        <v>1661</v>
      </c>
      <c r="F80" s="2"/>
    </row>
    <row r="81" spans="2:6" ht="15" hidden="1" customHeight="1" x14ac:dyDescent="0.35">
      <c r="B81" s="1"/>
      <c r="C81" s="105" t="s">
        <v>51</v>
      </c>
      <c r="D81" s="108"/>
      <c r="E81" s="110" t="s">
        <v>1662</v>
      </c>
      <c r="F81" s="2"/>
    </row>
    <row r="82" spans="2:6" ht="15" hidden="1" customHeight="1" x14ac:dyDescent="0.25">
      <c r="B82" s="1"/>
      <c r="C82" s="101"/>
      <c r="D82" s="101"/>
      <c r="E82" s="101"/>
      <c r="F82" s="2"/>
    </row>
    <row r="83" spans="2:6" ht="15" hidden="1" customHeight="1" x14ac:dyDescent="0.25">
      <c r="B83" s="1"/>
      <c r="C83" s="101" t="s">
        <v>45</v>
      </c>
      <c r="D83" s="101"/>
      <c r="E83" s="101"/>
      <c r="F83" s="2"/>
    </row>
    <row r="84" spans="2:6" ht="15" hidden="1" customHeight="1" x14ac:dyDescent="0.25">
      <c r="B84" s="1"/>
      <c r="C84" s="104" t="s">
        <v>38</v>
      </c>
      <c r="D84" s="107" t="str">
        <f>IF(I.Facility.ComplianceYear="","Compliance year",I.Facility.ComplianceYear)</f>
        <v>Compliance year</v>
      </c>
      <c r="E84" s="103" t="s">
        <v>39</v>
      </c>
      <c r="F84" s="2"/>
    </row>
    <row r="85" spans="2:6" ht="15" hidden="1" customHeight="1" x14ac:dyDescent="0.35">
      <c r="B85" s="1"/>
      <c r="C85" s="105" t="s">
        <v>49</v>
      </c>
      <c r="D85" s="108"/>
      <c r="E85" s="110" t="s">
        <v>1660</v>
      </c>
      <c r="F85" s="2"/>
    </row>
    <row r="86" spans="2:6" ht="15" hidden="1" customHeight="1" x14ac:dyDescent="0.35">
      <c r="B86" s="1"/>
      <c r="C86" s="105" t="s">
        <v>50</v>
      </c>
      <c r="D86" s="108"/>
      <c r="E86" s="110" t="s">
        <v>1661</v>
      </c>
      <c r="F86" s="2"/>
    </row>
    <row r="87" spans="2:6" ht="15" hidden="1" customHeight="1" x14ac:dyDescent="0.35">
      <c r="B87" s="1"/>
      <c r="C87" s="105" t="s">
        <v>51</v>
      </c>
      <c r="D87" s="108"/>
      <c r="E87" s="110" t="s">
        <v>1662</v>
      </c>
      <c r="F87" s="2"/>
    </row>
    <row r="88" spans="2:6" ht="15" hidden="1" customHeight="1" x14ac:dyDescent="0.25">
      <c r="B88" s="1"/>
      <c r="C88" s="101"/>
      <c r="D88" s="101"/>
      <c r="E88" s="101"/>
      <c r="F88" s="2"/>
    </row>
    <row r="89" spans="2:6" ht="15" hidden="1" customHeight="1" x14ac:dyDescent="0.25">
      <c r="B89" s="1"/>
      <c r="C89" s="101" t="s">
        <v>46</v>
      </c>
      <c r="D89" s="101"/>
      <c r="E89" s="101"/>
      <c r="F89" s="2"/>
    </row>
    <row r="90" spans="2:6" ht="15" hidden="1" customHeight="1" x14ac:dyDescent="0.25">
      <c r="B90" s="1"/>
      <c r="C90" s="104" t="s">
        <v>38</v>
      </c>
      <c r="D90" s="107" t="str">
        <f>IF(I.Facility.ComplianceYear="","Compliance year",I.Facility.ComplianceYear)</f>
        <v>Compliance year</v>
      </c>
      <c r="E90" s="103" t="s">
        <v>39</v>
      </c>
      <c r="F90" s="2"/>
    </row>
    <row r="91" spans="2:6" ht="15" hidden="1" customHeight="1" x14ac:dyDescent="0.35">
      <c r="B91" s="1"/>
      <c r="C91" s="105" t="s">
        <v>49</v>
      </c>
      <c r="D91" s="108"/>
      <c r="E91" s="110" t="s">
        <v>1660</v>
      </c>
      <c r="F91" s="2"/>
    </row>
    <row r="92" spans="2:6" ht="15" hidden="1" customHeight="1" x14ac:dyDescent="0.35">
      <c r="B92" s="1"/>
      <c r="C92" s="105" t="s">
        <v>50</v>
      </c>
      <c r="D92" s="108"/>
      <c r="E92" s="110" t="s">
        <v>1661</v>
      </c>
      <c r="F92" s="2"/>
    </row>
    <row r="93" spans="2:6" ht="15" hidden="1" customHeight="1" x14ac:dyDescent="0.35">
      <c r="B93" s="1"/>
      <c r="C93" s="105" t="s">
        <v>51</v>
      </c>
      <c r="D93" s="108"/>
      <c r="E93" s="110" t="s">
        <v>1662</v>
      </c>
      <c r="F93" s="2"/>
    </row>
    <row r="94" spans="2:6" ht="15" hidden="1" customHeight="1" x14ac:dyDescent="0.25">
      <c r="B94" s="1"/>
      <c r="C94" s="101"/>
      <c r="D94" s="101"/>
      <c r="E94" s="101"/>
      <c r="F94" s="2"/>
    </row>
    <row r="95" spans="2:6" ht="15" hidden="1" customHeight="1" x14ac:dyDescent="0.25">
      <c r="B95" s="1"/>
      <c r="C95" s="101" t="s">
        <v>47</v>
      </c>
      <c r="D95" s="101"/>
      <c r="E95" s="101"/>
      <c r="F95" s="2"/>
    </row>
    <row r="96" spans="2:6" ht="15" hidden="1" customHeight="1" x14ac:dyDescent="0.25">
      <c r="B96" s="1"/>
      <c r="C96" s="104" t="s">
        <v>38</v>
      </c>
      <c r="D96" s="107" t="str">
        <f>IF(I.Facility.ComplianceYear="","Compliance year",I.Facility.ComplianceYear)</f>
        <v>Compliance year</v>
      </c>
      <c r="E96" s="103" t="s">
        <v>39</v>
      </c>
      <c r="F96" s="2"/>
    </row>
    <row r="97" spans="2:6" ht="15" hidden="1" customHeight="1" x14ac:dyDescent="0.35">
      <c r="B97" s="1"/>
      <c r="C97" s="105" t="s">
        <v>49</v>
      </c>
      <c r="D97" s="108"/>
      <c r="E97" s="110" t="s">
        <v>1660</v>
      </c>
      <c r="F97" s="2"/>
    </row>
    <row r="98" spans="2:6" ht="15" hidden="1" customHeight="1" x14ac:dyDescent="0.35">
      <c r="B98" s="1"/>
      <c r="C98" s="105" t="s">
        <v>50</v>
      </c>
      <c r="D98" s="108"/>
      <c r="E98" s="110" t="s">
        <v>1661</v>
      </c>
      <c r="F98" s="2"/>
    </row>
    <row r="99" spans="2:6" ht="15" hidden="1" customHeight="1" x14ac:dyDescent="0.35">
      <c r="B99" s="1"/>
      <c r="C99" s="105" t="s">
        <v>51</v>
      </c>
      <c r="D99" s="108"/>
      <c r="E99" s="110" t="s">
        <v>1662</v>
      </c>
      <c r="F99" s="2"/>
    </row>
    <row r="100" spans="2:6" ht="15" hidden="1" customHeight="1" x14ac:dyDescent="0.25">
      <c r="B100" s="1"/>
      <c r="C100" s="101"/>
      <c r="D100" s="101"/>
      <c r="E100" s="101"/>
      <c r="F100" s="2"/>
    </row>
    <row r="101" spans="2:6" ht="15" hidden="1" customHeight="1" x14ac:dyDescent="0.25">
      <c r="B101" s="1"/>
      <c r="C101" s="101" t="s">
        <v>48</v>
      </c>
      <c r="D101" s="101"/>
      <c r="E101" s="101"/>
      <c r="F101" s="2"/>
    </row>
    <row r="102" spans="2:6" ht="15" hidden="1" customHeight="1" x14ac:dyDescent="0.25">
      <c r="B102" s="1"/>
      <c r="C102" s="104" t="s">
        <v>38</v>
      </c>
      <c r="D102" s="107" t="str">
        <f>IF(I.Facility.ComplianceYear="","Compliance year",I.Facility.ComplianceYear)</f>
        <v>Compliance year</v>
      </c>
      <c r="E102" s="103" t="s">
        <v>39</v>
      </c>
      <c r="F102" s="2"/>
    </row>
    <row r="103" spans="2:6" ht="15" hidden="1" customHeight="1" x14ac:dyDescent="0.35">
      <c r="B103" s="1"/>
      <c r="C103" s="105" t="s">
        <v>49</v>
      </c>
      <c r="D103" s="108"/>
      <c r="E103" s="110" t="s">
        <v>1660</v>
      </c>
      <c r="F103" s="2"/>
    </row>
    <row r="104" spans="2:6" ht="15" hidden="1" customHeight="1" x14ac:dyDescent="0.35">
      <c r="B104" s="1"/>
      <c r="C104" s="105" t="s">
        <v>50</v>
      </c>
      <c r="D104" s="108"/>
      <c r="E104" s="110" t="s">
        <v>1661</v>
      </c>
      <c r="F104" s="2"/>
    </row>
    <row r="105" spans="2:6" ht="15" hidden="1" customHeight="1" x14ac:dyDescent="0.35">
      <c r="B105" s="1"/>
      <c r="C105" s="105" t="s">
        <v>51</v>
      </c>
      <c r="D105" s="108"/>
      <c r="E105" s="110" t="s">
        <v>1662</v>
      </c>
      <c r="F105" s="2"/>
    </row>
    <row r="106" spans="2:6" ht="15" hidden="1" customHeight="1" x14ac:dyDescent="0.25">
      <c r="B106" s="1"/>
      <c r="C106" s="101"/>
      <c r="D106" s="101"/>
      <c r="E106" s="101"/>
      <c r="F106" s="2"/>
    </row>
    <row r="107" spans="2:6" ht="20.100000000000001" hidden="1" customHeight="1" x14ac:dyDescent="0.25">
      <c r="B107" s="12"/>
      <c r="C107" s="121" t="s">
        <v>31</v>
      </c>
      <c r="D107" s="121"/>
      <c r="E107" s="121"/>
      <c r="F107" s="13"/>
    </row>
    <row r="108" spans="2:6" ht="15" hidden="1" customHeight="1" x14ac:dyDescent="0.25">
      <c r="B108" s="1"/>
      <c r="C108" s="101"/>
      <c r="D108" s="101"/>
      <c r="E108" s="101"/>
      <c r="F108" s="2"/>
    </row>
    <row r="109" spans="2:6" ht="15" hidden="1" customHeight="1" x14ac:dyDescent="0.25">
      <c r="B109" s="1"/>
      <c r="C109" s="101" t="s">
        <v>29</v>
      </c>
      <c r="D109" s="101"/>
      <c r="E109" s="101"/>
      <c r="F109" s="2"/>
    </row>
    <row r="110" spans="2:6" ht="15" hidden="1" customHeight="1" x14ac:dyDescent="0.25">
      <c r="B110" s="1"/>
      <c r="C110" s="102" t="str">
        <f>IF(I.Product.P2Name="","",I.Product.P2Name)</f>
        <v/>
      </c>
      <c r="D110" s="101"/>
      <c r="E110" s="101"/>
      <c r="F110" s="2"/>
    </row>
    <row r="111" spans="2:6" ht="15" hidden="1" customHeight="1" x14ac:dyDescent="0.25">
      <c r="B111" s="1"/>
      <c r="C111" s="101"/>
      <c r="D111" s="101"/>
      <c r="E111" s="101"/>
      <c r="F111" s="2"/>
    </row>
    <row r="112" spans="2:6" ht="15" hidden="1" customHeight="1" x14ac:dyDescent="0.25">
      <c r="B112" s="1"/>
      <c r="C112" s="101" t="s">
        <v>37</v>
      </c>
      <c r="D112" s="101"/>
      <c r="E112" s="101"/>
      <c r="F112" s="2"/>
    </row>
    <row r="113" spans="2:6" ht="15" hidden="1" customHeight="1" x14ac:dyDescent="0.25">
      <c r="B113" s="1"/>
      <c r="C113" s="104" t="s">
        <v>38</v>
      </c>
      <c r="D113" s="107" t="str">
        <f>IF(I.Facility.ComplianceYear="","Compliance year",I.Facility.ComplianceYear)</f>
        <v>Compliance year</v>
      </c>
      <c r="E113" s="103" t="s">
        <v>39</v>
      </c>
      <c r="F113" s="2"/>
    </row>
    <row r="114" spans="2:6" ht="15" hidden="1" customHeight="1" x14ac:dyDescent="0.25">
      <c r="B114" s="1"/>
      <c r="C114" s="105" t="s">
        <v>105</v>
      </c>
      <c r="D114" s="108"/>
      <c r="E114" s="14"/>
      <c r="F114" s="2"/>
    </row>
    <row r="115" spans="2:6" ht="15" hidden="1" customHeight="1" x14ac:dyDescent="0.25">
      <c r="B115" s="1"/>
      <c r="C115" s="101"/>
      <c r="D115" s="101"/>
      <c r="E115" s="101"/>
      <c r="F115" s="2"/>
    </row>
    <row r="116" spans="2:6" ht="15" hidden="1" customHeight="1" x14ac:dyDescent="0.25">
      <c r="B116" s="1"/>
      <c r="C116" s="101" t="s">
        <v>40</v>
      </c>
      <c r="D116" s="101"/>
      <c r="E116" s="101"/>
      <c r="F116" s="2"/>
    </row>
    <row r="117" spans="2:6" ht="15" hidden="1" customHeight="1" x14ac:dyDescent="0.25">
      <c r="B117" s="1"/>
      <c r="C117" s="104" t="s">
        <v>38</v>
      </c>
      <c r="D117" s="107" t="str">
        <f>IF(I.Facility.ComplianceYear="","Compliance year",I.Facility.ComplianceYear)</f>
        <v>Compliance year</v>
      </c>
      <c r="E117" s="103" t="s">
        <v>39</v>
      </c>
      <c r="F117" s="2"/>
    </row>
    <row r="118" spans="2:6" ht="15" hidden="1" customHeight="1" x14ac:dyDescent="0.35">
      <c r="B118" s="1"/>
      <c r="C118" s="105" t="s">
        <v>49</v>
      </c>
      <c r="D118" s="108"/>
      <c r="E118" s="110" t="s">
        <v>1660</v>
      </c>
      <c r="F118" s="2"/>
    </row>
    <row r="119" spans="2:6" ht="15" hidden="1" customHeight="1" x14ac:dyDescent="0.35">
      <c r="B119" s="1"/>
      <c r="C119" s="105" t="s">
        <v>50</v>
      </c>
      <c r="D119" s="108"/>
      <c r="E119" s="110" t="s">
        <v>1661</v>
      </c>
      <c r="F119" s="2"/>
    </row>
    <row r="120" spans="2:6" ht="15" hidden="1" customHeight="1" x14ac:dyDescent="0.35">
      <c r="B120" s="1"/>
      <c r="C120" s="105" t="s">
        <v>51</v>
      </c>
      <c r="D120" s="108"/>
      <c r="E120" s="110" t="s">
        <v>1662</v>
      </c>
      <c r="F120" s="2"/>
    </row>
    <row r="121" spans="2:6" ht="15" hidden="1" customHeight="1" x14ac:dyDescent="0.25">
      <c r="B121" s="1"/>
      <c r="C121" s="101"/>
      <c r="D121" s="101"/>
      <c r="E121" s="101"/>
      <c r="F121" s="2"/>
    </row>
    <row r="122" spans="2:6" ht="15" hidden="1" customHeight="1" x14ac:dyDescent="0.25">
      <c r="B122" s="1"/>
      <c r="C122" s="101" t="s">
        <v>41</v>
      </c>
      <c r="D122" s="101"/>
      <c r="E122" s="101"/>
      <c r="F122" s="2"/>
    </row>
    <row r="123" spans="2:6" ht="15" hidden="1" customHeight="1" x14ac:dyDescent="0.25">
      <c r="B123" s="1"/>
      <c r="C123" s="104" t="s">
        <v>38</v>
      </c>
      <c r="D123" s="107" t="str">
        <f>IF(I.Facility.ComplianceYear="","Compliance year",I.Facility.ComplianceYear)</f>
        <v>Compliance year</v>
      </c>
      <c r="E123" s="103" t="s">
        <v>39</v>
      </c>
      <c r="F123" s="2"/>
    </row>
    <row r="124" spans="2:6" ht="15" hidden="1" customHeight="1" x14ac:dyDescent="0.35">
      <c r="B124" s="1"/>
      <c r="C124" s="105" t="s">
        <v>49</v>
      </c>
      <c r="D124" s="108"/>
      <c r="E124" s="110" t="s">
        <v>1660</v>
      </c>
      <c r="F124" s="2"/>
    </row>
    <row r="125" spans="2:6" ht="15" hidden="1" customHeight="1" x14ac:dyDescent="0.35">
      <c r="B125" s="1"/>
      <c r="C125" s="105" t="s">
        <v>50</v>
      </c>
      <c r="D125" s="108"/>
      <c r="E125" s="110" t="s">
        <v>1661</v>
      </c>
      <c r="F125" s="2"/>
    </row>
    <row r="126" spans="2:6" ht="15" hidden="1" customHeight="1" x14ac:dyDescent="0.35">
      <c r="B126" s="1"/>
      <c r="C126" s="105" t="s">
        <v>51</v>
      </c>
      <c r="D126" s="108"/>
      <c r="E126" s="110" t="s">
        <v>1662</v>
      </c>
      <c r="F126" s="2"/>
    </row>
    <row r="127" spans="2:6" ht="15" hidden="1" customHeight="1" x14ac:dyDescent="0.35">
      <c r="B127" s="1"/>
      <c r="C127" s="105" t="s">
        <v>52</v>
      </c>
      <c r="D127" s="108"/>
      <c r="E127" s="110" t="s">
        <v>1663</v>
      </c>
      <c r="F127" s="2"/>
    </row>
    <row r="128" spans="2:6" ht="15" hidden="1" customHeight="1" x14ac:dyDescent="0.35">
      <c r="B128" s="1"/>
      <c r="C128" s="105" t="s">
        <v>53</v>
      </c>
      <c r="D128" s="108"/>
      <c r="E128" s="110" t="s">
        <v>1664</v>
      </c>
      <c r="F128" s="2"/>
    </row>
    <row r="129" spans="2:6" ht="15" hidden="1" customHeight="1" x14ac:dyDescent="0.35">
      <c r="B129" s="1"/>
      <c r="C129" s="105" t="s">
        <v>54</v>
      </c>
      <c r="D129" s="108"/>
      <c r="E129" s="110" t="s">
        <v>1665</v>
      </c>
      <c r="F129" s="2"/>
    </row>
    <row r="130" spans="2:6" ht="15" hidden="1" customHeight="1" x14ac:dyDescent="0.35">
      <c r="B130" s="1"/>
      <c r="C130" s="105" t="s">
        <v>55</v>
      </c>
      <c r="D130" s="108"/>
      <c r="E130" s="110" t="s">
        <v>1666</v>
      </c>
      <c r="F130" s="2"/>
    </row>
    <row r="131" spans="2:6" ht="15" hidden="1" customHeight="1" x14ac:dyDescent="0.35">
      <c r="B131" s="1"/>
      <c r="C131" s="105" t="s">
        <v>56</v>
      </c>
      <c r="D131" s="108"/>
      <c r="E131" s="110" t="s">
        <v>1667</v>
      </c>
      <c r="F131" s="2"/>
    </row>
    <row r="132" spans="2:6" ht="15" hidden="1" customHeight="1" x14ac:dyDescent="0.35">
      <c r="B132" s="1"/>
      <c r="C132" s="105" t="s">
        <v>57</v>
      </c>
      <c r="D132" s="108"/>
      <c r="E132" s="110" t="s">
        <v>1668</v>
      </c>
      <c r="F132" s="2"/>
    </row>
    <row r="133" spans="2:6" ht="15" hidden="1" customHeight="1" x14ac:dyDescent="0.35">
      <c r="B133" s="1"/>
      <c r="C133" s="105" t="s">
        <v>58</v>
      </c>
      <c r="D133" s="108"/>
      <c r="E133" s="110" t="s">
        <v>1669</v>
      </c>
      <c r="F133" s="2"/>
    </row>
    <row r="134" spans="2:6" ht="15" hidden="1" customHeight="1" x14ac:dyDescent="0.35">
      <c r="B134" s="1"/>
      <c r="C134" s="105" t="s">
        <v>59</v>
      </c>
      <c r="D134" s="108"/>
      <c r="E134" s="110" t="s">
        <v>1670</v>
      </c>
      <c r="F134" s="2"/>
    </row>
    <row r="135" spans="2:6" ht="15" hidden="1" customHeight="1" x14ac:dyDescent="0.35">
      <c r="B135" s="1"/>
      <c r="C135" s="105" t="s">
        <v>60</v>
      </c>
      <c r="D135" s="108"/>
      <c r="E135" s="110" t="s">
        <v>1671</v>
      </c>
      <c r="F135" s="2"/>
    </row>
    <row r="136" spans="2:6" ht="15" hidden="1" customHeight="1" x14ac:dyDescent="0.35">
      <c r="B136" s="1"/>
      <c r="C136" s="105" t="s">
        <v>61</v>
      </c>
      <c r="D136" s="108"/>
      <c r="E136" s="110" t="s">
        <v>1672</v>
      </c>
      <c r="F136" s="2"/>
    </row>
    <row r="137" spans="2:6" ht="15" hidden="1" customHeight="1" x14ac:dyDescent="0.35">
      <c r="B137" s="1"/>
      <c r="C137" s="105" t="s">
        <v>62</v>
      </c>
      <c r="D137" s="108"/>
      <c r="E137" s="110" t="s">
        <v>1673</v>
      </c>
      <c r="F137" s="2"/>
    </row>
    <row r="138" spans="2:6" ht="15" hidden="1" customHeight="1" x14ac:dyDescent="0.35">
      <c r="B138" s="1"/>
      <c r="C138" s="105" t="s">
        <v>63</v>
      </c>
      <c r="D138" s="108"/>
      <c r="E138" s="110" t="s">
        <v>1674</v>
      </c>
      <c r="F138" s="2"/>
    </row>
    <row r="139" spans="2:6" ht="15" hidden="1" customHeight="1" x14ac:dyDescent="0.35">
      <c r="B139" s="1"/>
      <c r="C139" s="105" t="s">
        <v>64</v>
      </c>
      <c r="D139" s="108"/>
      <c r="E139" s="110" t="s">
        <v>1675</v>
      </c>
      <c r="F139" s="2"/>
    </row>
    <row r="140" spans="2:6" ht="15" hidden="1" customHeight="1" x14ac:dyDescent="0.35">
      <c r="B140" s="1"/>
      <c r="C140" s="105" t="s">
        <v>65</v>
      </c>
      <c r="D140" s="108"/>
      <c r="E140" s="110" t="s">
        <v>1676</v>
      </c>
      <c r="F140" s="2"/>
    </row>
    <row r="141" spans="2:6" ht="15" hidden="1" customHeight="1" x14ac:dyDescent="0.35">
      <c r="B141" s="1"/>
      <c r="C141" s="105" t="s">
        <v>66</v>
      </c>
      <c r="D141" s="108"/>
      <c r="E141" s="110" t="s">
        <v>1677</v>
      </c>
      <c r="F141" s="2"/>
    </row>
    <row r="142" spans="2:6" ht="15" hidden="1" customHeight="1" x14ac:dyDescent="0.35">
      <c r="B142" s="1"/>
      <c r="C142" s="105" t="s">
        <v>67</v>
      </c>
      <c r="D142" s="108"/>
      <c r="E142" s="110" t="s">
        <v>1678</v>
      </c>
      <c r="F142" s="2"/>
    </row>
    <row r="143" spans="2:6" ht="15" hidden="1" customHeight="1" x14ac:dyDescent="0.35">
      <c r="B143" s="1"/>
      <c r="C143" s="105" t="s">
        <v>68</v>
      </c>
      <c r="D143" s="108"/>
      <c r="E143" s="110" t="s">
        <v>1679</v>
      </c>
      <c r="F143" s="2"/>
    </row>
    <row r="144" spans="2:6" ht="15" hidden="1" customHeight="1" x14ac:dyDescent="0.35">
      <c r="B144" s="1"/>
      <c r="C144" s="105" t="s">
        <v>69</v>
      </c>
      <c r="D144" s="108"/>
      <c r="E144" s="110" t="s">
        <v>1680</v>
      </c>
      <c r="F144" s="2"/>
    </row>
    <row r="145" spans="2:6" ht="15" hidden="1" customHeight="1" x14ac:dyDescent="0.35">
      <c r="B145" s="1"/>
      <c r="C145" s="105" t="s">
        <v>70</v>
      </c>
      <c r="D145" s="108"/>
      <c r="E145" s="110" t="s">
        <v>1681</v>
      </c>
      <c r="F145" s="2"/>
    </row>
    <row r="146" spans="2:6" ht="15" hidden="1" customHeight="1" x14ac:dyDescent="0.35">
      <c r="B146" s="1"/>
      <c r="C146" s="105" t="s">
        <v>71</v>
      </c>
      <c r="D146" s="108"/>
      <c r="E146" s="110" t="s">
        <v>1682</v>
      </c>
      <c r="F146" s="2"/>
    </row>
    <row r="147" spans="2:6" ht="15" hidden="1" customHeight="1" x14ac:dyDescent="0.35">
      <c r="B147" s="1"/>
      <c r="C147" s="105" t="s">
        <v>72</v>
      </c>
      <c r="D147" s="108"/>
      <c r="E147" s="110" t="s">
        <v>1683</v>
      </c>
      <c r="F147" s="2"/>
    </row>
    <row r="148" spans="2:6" ht="15" hidden="1" customHeight="1" x14ac:dyDescent="0.25">
      <c r="B148" s="1"/>
      <c r="C148" s="101"/>
      <c r="D148" s="101"/>
      <c r="E148" s="101"/>
      <c r="F148" s="2"/>
    </row>
    <row r="149" spans="2:6" ht="15" hidden="1" customHeight="1" x14ac:dyDescent="0.25">
      <c r="B149" s="1"/>
      <c r="C149" s="101" t="s">
        <v>42</v>
      </c>
      <c r="D149" s="101"/>
      <c r="E149" s="101"/>
      <c r="F149" s="2"/>
    </row>
    <row r="150" spans="2:6" ht="15" hidden="1" customHeight="1" x14ac:dyDescent="0.25">
      <c r="B150" s="1"/>
      <c r="C150" s="104" t="s">
        <v>38</v>
      </c>
      <c r="D150" s="107" t="str">
        <f>IF(I.Facility.ComplianceYear="","Compliance year",I.Facility.ComplianceYear)</f>
        <v>Compliance year</v>
      </c>
      <c r="E150" s="103" t="s">
        <v>39</v>
      </c>
      <c r="F150" s="2"/>
    </row>
    <row r="151" spans="2:6" ht="15" hidden="1" customHeight="1" x14ac:dyDescent="0.35">
      <c r="B151" s="1"/>
      <c r="C151" s="105" t="s">
        <v>52</v>
      </c>
      <c r="D151" s="108"/>
      <c r="E151" s="110" t="s">
        <v>1663</v>
      </c>
      <c r="F151" s="2"/>
    </row>
    <row r="152" spans="2:6" ht="15" hidden="1" customHeight="1" x14ac:dyDescent="0.35">
      <c r="B152" s="1"/>
      <c r="C152" s="105" t="s">
        <v>53</v>
      </c>
      <c r="D152" s="108"/>
      <c r="E152" s="110" t="s">
        <v>1664</v>
      </c>
      <c r="F152" s="2"/>
    </row>
    <row r="153" spans="2:6" ht="15" hidden="1" customHeight="1" x14ac:dyDescent="0.35">
      <c r="B153" s="1"/>
      <c r="C153" s="105" t="s">
        <v>54</v>
      </c>
      <c r="D153" s="108"/>
      <c r="E153" s="110" t="s">
        <v>1665</v>
      </c>
      <c r="F153" s="2"/>
    </row>
    <row r="154" spans="2:6" ht="15" hidden="1" customHeight="1" x14ac:dyDescent="0.35">
      <c r="B154" s="1"/>
      <c r="C154" s="105" t="s">
        <v>55</v>
      </c>
      <c r="D154" s="108"/>
      <c r="E154" s="110" t="s">
        <v>1666</v>
      </c>
      <c r="F154" s="2"/>
    </row>
    <row r="155" spans="2:6" ht="15" hidden="1" customHeight="1" x14ac:dyDescent="0.35">
      <c r="B155" s="1"/>
      <c r="C155" s="105" t="s">
        <v>56</v>
      </c>
      <c r="D155" s="108"/>
      <c r="E155" s="110" t="s">
        <v>1667</v>
      </c>
      <c r="F155" s="2"/>
    </row>
    <row r="156" spans="2:6" ht="15" hidden="1" customHeight="1" x14ac:dyDescent="0.35">
      <c r="B156" s="1"/>
      <c r="C156" s="105" t="s">
        <v>57</v>
      </c>
      <c r="D156" s="108"/>
      <c r="E156" s="110" t="s">
        <v>1668</v>
      </c>
      <c r="F156" s="2"/>
    </row>
    <row r="157" spans="2:6" ht="15" hidden="1" customHeight="1" x14ac:dyDescent="0.35">
      <c r="B157" s="1"/>
      <c r="C157" s="105" t="s">
        <v>58</v>
      </c>
      <c r="D157" s="108"/>
      <c r="E157" s="110" t="s">
        <v>1669</v>
      </c>
      <c r="F157" s="2"/>
    </row>
    <row r="158" spans="2:6" ht="15" hidden="1" customHeight="1" x14ac:dyDescent="0.35">
      <c r="B158" s="1"/>
      <c r="C158" s="105" t="s">
        <v>59</v>
      </c>
      <c r="D158" s="108"/>
      <c r="E158" s="110" t="s">
        <v>1670</v>
      </c>
      <c r="F158" s="2"/>
    </row>
    <row r="159" spans="2:6" ht="15" hidden="1" customHeight="1" x14ac:dyDescent="0.35">
      <c r="B159" s="1"/>
      <c r="C159" s="105" t="s">
        <v>60</v>
      </c>
      <c r="D159" s="108"/>
      <c r="E159" s="110" t="s">
        <v>1671</v>
      </c>
      <c r="F159" s="2"/>
    </row>
    <row r="160" spans="2:6" ht="15" hidden="1" customHeight="1" x14ac:dyDescent="0.35">
      <c r="B160" s="1"/>
      <c r="C160" s="105" t="s">
        <v>61</v>
      </c>
      <c r="D160" s="108"/>
      <c r="E160" s="110" t="s">
        <v>1672</v>
      </c>
      <c r="F160" s="2"/>
    </row>
    <row r="161" spans="2:6" ht="15" hidden="1" customHeight="1" x14ac:dyDescent="0.35">
      <c r="B161" s="1"/>
      <c r="C161" s="105" t="s">
        <v>62</v>
      </c>
      <c r="D161" s="108"/>
      <c r="E161" s="110" t="s">
        <v>1673</v>
      </c>
      <c r="F161" s="2"/>
    </row>
    <row r="162" spans="2:6" ht="15" hidden="1" customHeight="1" x14ac:dyDescent="0.35">
      <c r="B162" s="1"/>
      <c r="C162" s="105" t="s">
        <v>63</v>
      </c>
      <c r="D162" s="108"/>
      <c r="E162" s="110" t="s">
        <v>1674</v>
      </c>
      <c r="F162" s="2"/>
    </row>
    <row r="163" spans="2:6" ht="15" hidden="1" customHeight="1" x14ac:dyDescent="0.35">
      <c r="B163" s="1"/>
      <c r="C163" s="105" t="s">
        <v>64</v>
      </c>
      <c r="D163" s="108"/>
      <c r="E163" s="110" t="s">
        <v>1675</v>
      </c>
      <c r="F163" s="2"/>
    </row>
    <row r="164" spans="2:6" ht="15" hidden="1" customHeight="1" x14ac:dyDescent="0.35">
      <c r="B164" s="1"/>
      <c r="C164" s="105" t="s">
        <v>65</v>
      </c>
      <c r="D164" s="108"/>
      <c r="E164" s="110" t="s">
        <v>1676</v>
      </c>
      <c r="F164" s="2"/>
    </row>
    <row r="165" spans="2:6" ht="15" hidden="1" customHeight="1" x14ac:dyDescent="0.35">
      <c r="B165" s="1"/>
      <c r="C165" s="105" t="s">
        <v>66</v>
      </c>
      <c r="D165" s="108"/>
      <c r="E165" s="110" t="s">
        <v>1677</v>
      </c>
      <c r="F165" s="2"/>
    </row>
    <row r="166" spans="2:6" ht="15" hidden="1" customHeight="1" x14ac:dyDescent="0.35">
      <c r="B166" s="1"/>
      <c r="C166" s="105" t="s">
        <v>67</v>
      </c>
      <c r="D166" s="108"/>
      <c r="E166" s="110" t="s">
        <v>1678</v>
      </c>
      <c r="F166" s="2"/>
    </row>
    <row r="167" spans="2:6" ht="15" hidden="1" customHeight="1" x14ac:dyDescent="0.35">
      <c r="B167" s="1"/>
      <c r="C167" s="105" t="s">
        <v>68</v>
      </c>
      <c r="D167" s="108"/>
      <c r="E167" s="110" t="s">
        <v>1679</v>
      </c>
      <c r="F167" s="2"/>
    </row>
    <row r="168" spans="2:6" ht="15" hidden="1" customHeight="1" x14ac:dyDescent="0.35">
      <c r="B168" s="1"/>
      <c r="C168" s="105" t="s">
        <v>69</v>
      </c>
      <c r="D168" s="108"/>
      <c r="E168" s="110" t="s">
        <v>1680</v>
      </c>
      <c r="F168" s="2"/>
    </row>
    <row r="169" spans="2:6" ht="15" hidden="1" customHeight="1" x14ac:dyDescent="0.35">
      <c r="B169" s="1"/>
      <c r="C169" s="105" t="s">
        <v>70</v>
      </c>
      <c r="D169" s="108"/>
      <c r="E169" s="110" t="s">
        <v>1681</v>
      </c>
      <c r="F169" s="2"/>
    </row>
    <row r="170" spans="2:6" ht="15" hidden="1" customHeight="1" x14ac:dyDescent="0.35">
      <c r="B170" s="1"/>
      <c r="C170" s="105" t="s">
        <v>71</v>
      </c>
      <c r="D170" s="108"/>
      <c r="E170" s="110" t="s">
        <v>1682</v>
      </c>
      <c r="F170" s="2"/>
    </row>
    <row r="171" spans="2:6" ht="15" hidden="1" customHeight="1" x14ac:dyDescent="0.35">
      <c r="B171" s="1"/>
      <c r="C171" s="105" t="s">
        <v>72</v>
      </c>
      <c r="D171" s="108"/>
      <c r="E171" s="110" t="s">
        <v>1683</v>
      </c>
      <c r="F171" s="2"/>
    </row>
    <row r="172" spans="2:6" ht="15" hidden="1" customHeight="1" x14ac:dyDescent="0.25">
      <c r="B172" s="1"/>
      <c r="C172" s="101"/>
      <c r="D172" s="101"/>
      <c r="E172" s="101"/>
      <c r="F172" s="2"/>
    </row>
    <row r="173" spans="2:6" ht="15" hidden="1" customHeight="1" x14ac:dyDescent="0.25">
      <c r="B173" s="1"/>
      <c r="C173" s="101" t="s">
        <v>43</v>
      </c>
      <c r="D173" s="101"/>
      <c r="E173" s="101"/>
      <c r="F173" s="2"/>
    </row>
    <row r="174" spans="2:6" ht="15" hidden="1" customHeight="1" x14ac:dyDescent="0.25">
      <c r="B174" s="1"/>
      <c r="C174" s="104" t="s">
        <v>38</v>
      </c>
      <c r="D174" s="107" t="str">
        <f>IF(I.Facility.ComplianceYear="","Compliance year",I.Facility.ComplianceYear)</f>
        <v>Compliance year</v>
      </c>
      <c r="E174" s="103" t="s">
        <v>39</v>
      </c>
      <c r="F174" s="2"/>
    </row>
    <row r="175" spans="2:6" ht="15" hidden="1" customHeight="1" x14ac:dyDescent="0.35">
      <c r="B175" s="1"/>
      <c r="C175" s="105" t="s">
        <v>49</v>
      </c>
      <c r="D175" s="108"/>
      <c r="E175" s="110" t="s">
        <v>1660</v>
      </c>
      <c r="F175" s="2"/>
    </row>
    <row r="176" spans="2:6" ht="15" hidden="1" customHeight="1" x14ac:dyDescent="0.35">
      <c r="B176" s="1"/>
      <c r="C176" s="105" t="s">
        <v>50</v>
      </c>
      <c r="D176" s="108"/>
      <c r="E176" s="110" t="s">
        <v>1661</v>
      </c>
      <c r="F176" s="2"/>
    </row>
    <row r="177" spans="2:6" ht="15" hidden="1" customHeight="1" x14ac:dyDescent="0.35">
      <c r="B177" s="1"/>
      <c r="C177" s="105" t="s">
        <v>51</v>
      </c>
      <c r="D177" s="108"/>
      <c r="E177" s="110" t="s">
        <v>1662</v>
      </c>
      <c r="F177" s="2"/>
    </row>
    <row r="178" spans="2:6" ht="15" hidden="1" customHeight="1" x14ac:dyDescent="0.25">
      <c r="B178" s="1"/>
      <c r="C178" s="101"/>
      <c r="D178" s="101"/>
      <c r="E178" s="101"/>
      <c r="F178" s="2"/>
    </row>
    <row r="179" spans="2:6" ht="15" hidden="1" customHeight="1" x14ac:dyDescent="0.25">
      <c r="B179" s="1"/>
      <c r="C179" s="101" t="s">
        <v>44</v>
      </c>
      <c r="D179" s="101"/>
      <c r="E179" s="101"/>
      <c r="F179" s="2"/>
    </row>
    <row r="180" spans="2:6" ht="15" hidden="1" customHeight="1" x14ac:dyDescent="0.25">
      <c r="B180" s="1"/>
      <c r="C180" s="104" t="s">
        <v>38</v>
      </c>
      <c r="D180" s="107" t="str">
        <f>IF(I.Facility.ComplianceYear="","Compliance year",I.Facility.ComplianceYear)</f>
        <v>Compliance year</v>
      </c>
      <c r="E180" s="103" t="s">
        <v>39</v>
      </c>
      <c r="F180" s="2"/>
    </row>
    <row r="181" spans="2:6" ht="15" hidden="1" customHeight="1" x14ac:dyDescent="0.35">
      <c r="B181" s="1"/>
      <c r="C181" s="105" t="s">
        <v>49</v>
      </c>
      <c r="D181" s="108"/>
      <c r="E181" s="110" t="s">
        <v>1660</v>
      </c>
      <c r="F181" s="2"/>
    </row>
    <row r="182" spans="2:6" ht="15" hidden="1" customHeight="1" x14ac:dyDescent="0.35">
      <c r="B182" s="1"/>
      <c r="C182" s="105" t="s">
        <v>50</v>
      </c>
      <c r="D182" s="108"/>
      <c r="E182" s="110" t="s">
        <v>1661</v>
      </c>
      <c r="F182" s="2"/>
    </row>
    <row r="183" spans="2:6" ht="15" hidden="1" customHeight="1" x14ac:dyDescent="0.35">
      <c r="B183" s="1"/>
      <c r="C183" s="105" t="s">
        <v>51</v>
      </c>
      <c r="D183" s="108"/>
      <c r="E183" s="110" t="s">
        <v>1662</v>
      </c>
      <c r="F183" s="2"/>
    </row>
    <row r="184" spans="2:6" ht="15" hidden="1" customHeight="1" x14ac:dyDescent="0.25">
      <c r="B184" s="1"/>
      <c r="C184" s="101"/>
      <c r="D184" s="101"/>
      <c r="E184" s="101"/>
      <c r="F184" s="2"/>
    </row>
    <row r="185" spans="2:6" ht="15" hidden="1" customHeight="1" x14ac:dyDescent="0.25">
      <c r="B185" s="1"/>
      <c r="C185" s="101" t="s">
        <v>45</v>
      </c>
      <c r="D185" s="101"/>
      <c r="E185" s="101"/>
      <c r="F185" s="2"/>
    </row>
    <row r="186" spans="2:6" ht="15" hidden="1" customHeight="1" x14ac:dyDescent="0.25">
      <c r="B186" s="1"/>
      <c r="C186" s="104" t="s">
        <v>38</v>
      </c>
      <c r="D186" s="107" t="str">
        <f>IF(I.Facility.ComplianceYear="","Compliance year",I.Facility.ComplianceYear)</f>
        <v>Compliance year</v>
      </c>
      <c r="E186" s="103" t="s">
        <v>39</v>
      </c>
      <c r="F186" s="2"/>
    </row>
    <row r="187" spans="2:6" ht="15" hidden="1" customHeight="1" x14ac:dyDescent="0.35">
      <c r="B187" s="1"/>
      <c r="C187" s="105" t="s">
        <v>49</v>
      </c>
      <c r="D187" s="108"/>
      <c r="E187" s="110" t="s">
        <v>1660</v>
      </c>
      <c r="F187" s="2"/>
    </row>
    <row r="188" spans="2:6" ht="15" hidden="1" customHeight="1" x14ac:dyDescent="0.35">
      <c r="B188" s="1"/>
      <c r="C188" s="105" t="s">
        <v>50</v>
      </c>
      <c r="D188" s="108"/>
      <c r="E188" s="110" t="s">
        <v>1661</v>
      </c>
      <c r="F188" s="2"/>
    </row>
    <row r="189" spans="2:6" ht="15" hidden="1" customHeight="1" x14ac:dyDescent="0.35">
      <c r="B189" s="1"/>
      <c r="C189" s="105" t="s">
        <v>51</v>
      </c>
      <c r="D189" s="108"/>
      <c r="E189" s="110" t="s">
        <v>1662</v>
      </c>
      <c r="F189" s="2"/>
    </row>
    <row r="190" spans="2:6" ht="15" hidden="1" customHeight="1" x14ac:dyDescent="0.25">
      <c r="B190" s="1"/>
      <c r="C190" s="101"/>
      <c r="D190" s="101"/>
      <c r="E190" s="101"/>
      <c r="F190" s="2"/>
    </row>
    <row r="191" spans="2:6" ht="15" hidden="1" customHeight="1" x14ac:dyDescent="0.25">
      <c r="B191" s="1"/>
      <c r="C191" s="101" t="s">
        <v>46</v>
      </c>
      <c r="D191" s="101"/>
      <c r="E191" s="101"/>
      <c r="F191" s="2"/>
    </row>
    <row r="192" spans="2:6" ht="15" hidden="1" customHeight="1" x14ac:dyDescent="0.25">
      <c r="B192" s="1"/>
      <c r="C192" s="104" t="s">
        <v>38</v>
      </c>
      <c r="D192" s="107" t="str">
        <f>IF(I.Facility.ComplianceYear="","Compliance year",I.Facility.ComplianceYear)</f>
        <v>Compliance year</v>
      </c>
      <c r="E192" s="103" t="s">
        <v>39</v>
      </c>
      <c r="F192" s="2"/>
    </row>
    <row r="193" spans="2:6" ht="15" hidden="1" customHeight="1" x14ac:dyDescent="0.35">
      <c r="B193" s="1"/>
      <c r="C193" s="105" t="s">
        <v>49</v>
      </c>
      <c r="D193" s="108"/>
      <c r="E193" s="110" t="s">
        <v>1660</v>
      </c>
      <c r="F193" s="2"/>
    </row>
    <row r="194" spans="2:6" ht="15" hidden="1" customHeight="1" x14ac:dyDescent="0.35">
      <c r="B194" s="1"/>
      <c r="C194" s="105" t="s">
        <v>50</v>
      </c>
      <c r="D194" s="108"/>
      <c r="E194" s="110" t="s">
        <v>1661</v>
      </c>
      <c r="F194" s="2"/>
    </row>
    <row r="195" spans="2:6" ht="15" hidden="1" customHeight="1" x14ac:dyDescent="0.35">
      <c r="B195" s="1"/>
      <c r="C195" s="105" t="s">
        <v>51</v>
      </c>
      <c r="D195" s="108"/>
      <c r="E195" s="110" t="s">
        <v>1662</v>
      </c>
      <c r="F195" s="2"/>
    </row>
    <row r="196" spans="2:6" ht="15" hidden="1" customHeight="1" x14ac:dyDescent="0.25">
      <c r="B196" s="1"/>
      <c r="C196" s="101"/>
      <c r="D196" s="101"/>
      <c r="E196" s="101"/>
      <c r="F196" s="2"/>
    </row>
    <row r="197" spans="2:6" ht="15" hidden="1" customHeight="1" x14ac:dyDescent="0.25">
      <c r="B197" s="1"/>
      <c r="C197" s="101" t="s">
        <v>47</v>
      </c>
      <c r="D197" s="101"/>
      <c r="E197" s="101"/>
      <c r="F197" s="2"/>
    </row>
    <row r="198" spans="2:6" ht="15" hidden="1" customHeight="1" x14ac:dyDescent="0.25">
      <c r="B198" s="1"/>
      <c r="C198" s="104" t="s">
        <v>38</v>
      </c>
      <c r="D198" s="107" t="str">
        <f>IF(I.Facility.ComplianceYear="","Compliance year",I.Facility.ComplianceYear)</f>
        <v>Compliance year</v>
      </c>
      <c r="E198" s="103" t="s">
        <v>39</v>
      </c>
      <c r="F198" s="2"/>
    </row>
    <row r="199" spans="2:6" ht="15" hidden="1" customHeight="1" x14ac:dyDescent="0.35">
      <c r="B199" s="1"/>
      <c r="C199" s="105" t="s">
        <v>49</v>
      </c>
      <c r="D199" s="108"/>
      <c r="E199" s="110" t="s">
        <v>1660</v>
      </c>
      <c r="F199" s="2"/>
    </row>
    <row r="200" spans="2:6" ht="15" hidden="1" customHeight="1" x14ac:dyDescent="0.35">
      <c r="B200" s="1"/>
      <c r="C200" s="105" t="s">
        <v>50</v>
      </c>
      <c r="D200" s="108"/>
      <c r="E200" s="110" t="s">
        <v>1661</v>
      </c>
      <c r="F200" s="2"/>
    </row>
    <row r="201" spans="2:6" ht="15" hidden="1" customHeight="1" x14ac:dyDescent="0.35">
      <c r="B201" s="1"/>
      <c r="C201" s="105" t="s">
        <v>51</v>
      </c>
      <c r="D201" s="108"/>
      <c r="E201" s="110" t="s">
        <v>1662</v>
      </c>
      <c r="F201" s="2"/>
    </row>
    <row r="202" spans="2:6" ht="15" hidden="1" customHeight="1" x14ac:dyDescent="0.25">
      <c r="B202" s="1"/>
      <c r="C202" s="101"/>
      <c r="D202" s="101"/>
      <c r="E202" s="101"/>
      <c r="F202" s="2"/>
    </row>
    <row r="203" spans="2:6" ht="15" hidden="1" customHeight="1" x14ac:dyDescent="0.25">
      <c r="B203" s="1"/>
      <c r="C203" s="101" t="s">
        <v>48</v>
      </c>
      <c r="D203" s="101"/>
      <c r="E203" s="101"/>
      <c r="F203" s="2"/>
    </row>
    <row r="204" spans="2:6" ht="15" hidden="1" customHeight="1" x14ac:dyDescent="0.25">
      <c r="B204" s="1"/>
      <c r="C204" s="104" t="s">
        <v>38</v>
      </c>
      <c r="D204" s="107" t="str">
        <f>IF(I.Facility.ComplianceYear="","Compliance year",I.Facility.ComplianceYear)</f>
        <v>Compliance year</v>
      </c>
      <c r="E204" s="103" t="s">
        <v>39</v>
      </c>
      <c r="F204" s="2"/>
    </row>
    <row r="205" spans="2:6" ht="15" hidden="1" customHeight="1" x14ac:dyDescent="0.35">
      <c r="B205" s="1"/>
      <c r="C205" s="105" t="s">
        <v>49</v>
      </c>
      <c r="D205" s="108"/>
      <c r="E205" s="110" t="s">
        <v>1660</v>
      </c>
      <c r="F205" s="2"/>
    </row>
    <row r="206" spans="2:6" ht="15" hidden="1" customHeight="1" x14ac:dyDescent="0.35">
      <c r="B206" s="1"/>
      <c r="C206" s="105" t="s">
        <v>50</v>
      </c>
      <c r="D206" s="108"/>
      <c r="E206" s="110" t="s">
        <v>1661</v>
      </c>
      <c r="F206" s="2"/>
    </row>
    <row r="207" spans="2:6" ht="15" hidden="1" customHeight="1" x14ac:dyDescent="0.35">
      <c r="B207" s="1"/>
      <c r="C207" s="105" t="s">
        <v>51</v>
      </c>
      <c r="D207" s="108"/>
      <c r="E207" s="110" t="s">
        <v>1662</v>
      </c>
      <c r="F207" s="2"/>
    </row>
    <row r="208" spans="2:6" ht="15" hidden="1" customHeight="1" x14ac:dyDescent="0.25">
      <c r="B208" s="1"/>
      <c r="C208" s="101"/>
      <c r="D208" s="101"/>
      <c r="E208" s="101"/>
      <c r="F208" s="2"/>
    </row>
    <row r="209" spans="2:6" ht="20.100000000000001" hidden="1" customHeight="1" x14ac:dyDescent="0.25">
      <c r="B209" s="12"/>
      <c r="C209" s="121" t="s">
        <v>32</v>
      </c>
      <c r="D209" s="121"/>
      <c r="E209" s="121"/>
      <c r="F209" s="13"/>
    </row>
    <row r="210" spans="2:6" ht="15" hidden="1" customHeight="1" x14ac:dyDescent="0.25">
      <c r="B210" s="1"/>
      <c r="C210" s="101"/>
      <c r="D210" s="101"/>
      <c r="E210" s="101"/>
      <c r="F210" s="2"/>
    </row>
    <row r="211" spans="2:6" ht="15" hidden="1" customHeight="1" x14ac:dyDescent="0.25">
      <c r="B211" s="1"/>
      <c r="C211" s="101" t="s">
        <v>29</v>
      </c>
      <c r="D211" s="101"/>
      <c r="E211" s="101"/>
      <c r="F211" s="2"/>
    </row>
    <row r="212" spans="2:6" ht="15" hidden="1" customHeight="1" x14ac:dyDescent="0.25">
      <c r="B212" s="1"/>
      <c r="C212" s="102" t="str">
        <f>IF(I.Product.P3Name="","",I.Product.P3Name)</f>
        <v/>
      </c>
      <c r="D212" s="101"/>
      <c r="E212" s="101"/>
      <c r="F212" s="2"/>
    </row>
    <row r="213" spans="2:6" ht="15" hidden="1" customHeight="1" x14ac:dyDescent="0.25">
      <c r="B213" s="1"/>
      <c r="C213" s="101"/>
      <c r="D213" s="101"/>
      <c r="E213" s="101"/>
      <c r="F213" s="2"/>
    </row>
    <row r="214" spans="2:6" ht="15" hidden="1" customHeight="1" x14ac:dyDescent="0.25">
      <c r="B214" s="1"/>
      <c r="C214" s="101" t="s">
        <v>37</v>
      </c>
      <c r="D214" s="101"/>
      <c r="E214" s="101"/>
      <c r="F214" s="2"/>
    </row>
    <row r="215" spans="2:6" ht="15" hidden="1" customHeight="1" x14ac:dyDescent="0.25">
      <c r="B215" s="1"/>
      <c r="C215" s="104" t="s">
        <v>38</v>
      </c>
      <c r="D215" s="107" t="str">
        <f>IF(I.Facility.ComplianceYear="","Compliance year",I.Facility.ComplianceYear)</f>
        <v>Compliance year</v>
      </c>
      <c r="E215" s="103" t="s">
        <v>39</v>
      </c>
      <c r="F215" s="2"/>
    </row>
    <row r="216" spans="2:6" ht="15" hidden="1" customHeight="1" x14ac:dyDescent="0.25">
      <c r="B216" s="1"/>
      <c r="C216" s="105" t="s">
        <v>105</v>
      </c>
      <c r="D216" s="108"/>
      <c r="E216" s="14"/>
      <c r="F216" s="2"/>
    </row>
    <row r="217" spans="2:6" ht="15" hidden="1" customHeight="1" x14ac:dyDescent="0.25">
      <c r="B217" s="1"/>
      <c r="C217" s="101"/>
      <c r="D217" s="101"/>
      <c r="E217" s="101"/>
      <c r="F217" s="2"/>
    </row>
    <row r="218" spans="2:6" ht="15" hidden="1" customHeight="1" x14ac:dyDescent="0.25">
      <c r="B218" s="1"/>
      <c r="C218" s="101" t="s">
        <v>40</v>
      </c>
      <c r="D218" s="101"/>
      <c r="E218" s="101"/>
      <c r="F218" s="2"/>
    </row>
    <row r="219" spans="2:6" ht="15" hidden="1" customHeight="1" x14ac:dyDescent="0.25">
      <c r="B219" s="1"/>
      <c r="C219" s="104" t="s">
        <v>38</v>
      </c>
      <c r="D219" s="107" t="str">
        <f>IF(I.Facility.ComplianceYear="","Compliance year",I.Facility.ComplianceYear)</f>
        <v>Compliance year</v>
      </c>
      <c r="E219" s="103" t="s">
        <v>39</v>
      </c>
      <c r="F219" s="2"/>
    </row>
    <row r="220" spans="2:6" ht="15" hidden="1" customHeight="1" x14ac:dyDescent="0.35">
      <c r="B220" s="1"/>
      <c r="C220" s="105" t="s">
        <v>49</v>
      </c>
      <c r="D220" s="108"/>
      <c r="E220" s="110" t="s">
        <v>1660</v>
      </c>
      <c r="F220" s="2"/>
    </row>
    <row r="221" spans="2:6" ht="15" hidden="1" customHeight="1" x14ac:dyDescent="0.35">
      <c r="B221" s="1"/>
      <c r="C221" s="105" t="s">
        <v>50</v>
      </c>
      <c r="D221" s="108"/>
      <c r="E221" s="110" t="s">
        <v>1661</v>
      </c>
      <c r="F221" s="2"/>
    </row>
    <row r="222" spans="2:6" ht="15" hidden="1" customHeight="1" x14ac:dyDescent="0.35">
      <c r="B222" s="1"/>
      <c r="C222" s="105" t="s">
        <v>51</v>
      </c>
      <c r="D222" s="108"/>
      <c r="E222" s="110" t="s">
        <v>1662</v>
      </c>
      <c r="F222" s="2"/>
    </row>
    <row r="223" spans="2:6" ht="15" hidden="1" customHeight="1" x14ac:dyDescent="0.25">
      <c r="B223" s="1"/>
      <c r="C223" s="101"/>
      <c r="D223" s="101"/>
      <c r="E223" s="101"/>
      <c r="F223" s="2"/>
    </row>
    <row r="224" spans="2:6" ht="15" hidden="1" customHeight="1" x14ac:dyDescent="0.25">
      <c r="B224" s="1"/>
      <c r="C224" s="101" t="s">
        <v>41</v>
      </c>
      <c r="D224" s="101"/>
      <c r="E224" s="101"/>
      <c r="F224" s="2"/>
    </row>
    <row r="225" spans="2:6" ht="15" hidden="1" customHeight="1" x14ac:dyDescent="0.25">
      <c r="B225" s="1"/>
      <c r="C225" s="104" t="s">
        <v>38</v>
      </c>
      <c r="D225" s="107" t="str">
        <f>IF(I.Facility.ComplianceYear="","Compliance year",I.Facility.ComplianceYear)</f>
        <v>Compliance year</v>
      </c>
      <c r="E225" s="103" t="s">
        <v>39</v>
      </c>
      <c r="F225" s="2"/>
    </row>
    <row r="226" spans="2:6" ht="15" hidden="1" customHeight="1" x14ac:dyDescent="0.35">
      <c r="B226" s="1"/>
      <c r="C226" s="105" t="s">
        <v>49</v>
      </c>
      <c r="D226" s="108"/>
      <c r="E226" s="110" t="s">
        <v>1660</v>
      </c>
      <c r="F226" s="2"/>
    </row>
    <row r="227" spans="2:6" ht="15" hidden="1" customHeight="1" x14ac:dyDescent="0.35">
      <c r="B227" s="1"/>
      <c r="C227" s="105" t="s">
        <v>50</v>
      </c>
      <c r="D227" s="108"/>
      <c r="E227" s="110" t="s">
        <v>1661</v>
      </c>
      <c r="F227" s="2"/>
    </row>
    <row r="228" spans="2:6" ht="15" hidden="1" customHeight="1" x14ac:dyDescent="0.35">
      <c r="B228" s="1"/>
      <c r="C228" s="105" t="s">
        <v>51</v>
      </c>
      <c r="D228" s="108"/>
      <c r="E228" s="110" t="s">
        <v>1662</v>
      </c>
      <c r="F228" s="2"/>
    </row>
    <row r="229" spans="2:6" ht="15" hidden="1" customHeight="1" x14ac:dyDescent="0.35">
      <c r="B229" s="1"/>
      <c r="C229" s="105" t="s">
        <v>52</v>
      </c>
      <c r="D229" s="108"/>
      <c r="E229" s="110" t="s">
        <v>1663</v>
      </c>
      <c r="F229" s="2"/>
    </row>
    <row r="230" spans="2:6" ht="15" hidden="1" customHeight="1" x14ac:dyDescent="0.35">
      <c r="B230" s="1"/>
      <c r="C230" s="105" t="s">
        <v>53</v>
      </c>
      <c r="D230" s="108"/>
      <c r="E230" s="110" t="s">
        <v>1664</v>
      </c>
      <c r="F230" s="2"/>
    </row>
    <row r="231" spans="2:6" ht="15" hidden="1" customHeight="1" x14ac:dyDescent="0.35">
      <c r="B231" s="1"/>
      <c r="C231" s="105" t="s">
        <v>54</v>
      </c>
      <c r="D231" s="108"/>
      <c r="E231" s="110" t="s">
        <v>1665</v>
      </c>
      <c r="F231" s="2"/>
    </row>
    <row r="232" spans="2:6" ht="15" hidden="1" customHeight="1" x14ac:dyDescent="0.35">
      <c r="B232" s="1"/>
      <c r="C232" s="105" t="s">
        <v>55</v>
      </c>
      <c r="D232" s="108"/>
      <c r="E232" s="110" t="s">
        <v>1666</v>
      </c>
      <c r="F232" s="2"/>
    </row>
    <row r="233" spans="2:6" ht="15" hidden="1" customHeight="1" x14ac:dyDescent="0.35">
      <c r="B233" s="1"/>
      <c r="C233" s="105" t="s">
        <v>56</v>
      </c>
      <c r="D233" s="108"/>
      <c r="E233" s="110" t="s">
        <v>1667</v>
      </c>
      <c r="F233" s="2"/>
    </row>
    <row r="234" spans="2:6" ht="15" hidden="1" customHeight="1" x14ac:dyDescent="0.35">
      <c r="B234" s="1"/>
      <c r="C234" s="105" t="s">
        <v>57</v>
      </c>
      <c r="D234" s="108"/>
      <c r="E234" s="110" t="s">
        <v>1668</v>
      </c>
      <c r="F234" s="2"/>
    </row>
    <row r="235" spans="2:6" ht="15" hidden="1" customHeight="1" x14ac:dyDescent="0.35">
      <c r="B235" s="1"/>
      <c r="C235" s="105" t="s">
        <v>58</v>
      </c>
      <c r="D235" s="108"/>
      <c r="E235" s="110" t="s">
        <v>1669</v>
      </c>
      <c r="F235" s="2"/>
    </row>
    <row r="236" spans="2:6" ht="15" hidden="1" customHeight="1" x14ac:dyDescent="0.35">
      <c r="B236" s="1"/>
      <c r="C236" s="105" t="s">
        <v>59</v>
      </c>
      <c r="D236" s="108"/>
      <c r="E236" s="110" t="s">
        <v>1670</v>
      </c>
      <c r="F236" s="2"/>
    </row>
    <row r="237" spans="2:6" ht="15" hidden="1" customHeight="1" x14ac:dyDescent="0.35">
      <c r="B237" s="1"/>
      <c r="C237" s="105" t="s">
        <v>60</v>
      </c>
      <c r="D237" s="108"/>
      <c r="E237" s="110" t="s">
        <v>1671</v>
      </c>
      <c r="F237" s="2"/>
    </row>
    <row r="238" spans="2:6" ht="15" hidden="1" customHeight="1" x14ac:dyDescent="0.35">
      <c r="B238" s="1"/>
      <c r="C238" s="105" t="s">
        <v>61</v>
      </c>
      <c r="D238" s="108"/>
      <c r="E238" s="110" t="s">
        <v>1672</v>
      </c>
      <c r="F238" s="2"/>
    </row>
    <row r="239" spans="2:6" ht="15" hidden="1" customHeight="1" x14ac:dyDescent="0.35">
      <c r="B239" s="1"/>
      <c r="C239" s="105" t="s">
        <v>62</v>
      </c>
      <c r="D239" s="108"/>
      <c r="E239" s="110" t="s">
        <v>1673</v>
      </c>
      <c r="F239" s="2"/>
    </row>
    <row r="240" spans="2:6" ht="15" hidden="1" customHeight="1" x14ac:dyDescent="0.35">
      <c r="B240" s="1"/>
      <c r="C240" s="105" t="s">
        <v>63</v>
      </c>
      <c r="D240" s="108"/>
      <c r="E240" s="110" t="s">
        <v>1674</v>
      </c>
      <c r="F240" s="2"/>
    </row>
    <row r="241" spans="2:6" ht="15" hidden="1" customHeight="1" x14ac:dyDescent="0.35">
      <c r="B241" s="1"/>
      <c r="C241" s="105" t="s">
        <v>64</v>
      </c>
      <c r="D241" s="108"/>
      <c r="E241" s="110" t="s">
        <v>1675</v>
      </c>
      <c r="F241" s="2"/>
    </row>
    <row r="242" spans="2:6" ht="15" hidden="1" customHeight="1" x14ac:dyDescent="0.35">
      <c r="B242" s="1"/>
      <c r="C242" s="105" t="s">
        <v>65</v>
      </c>
      <c r="D242" s="108"/>
      <c r="E242" s="110" t="s">
        <v>1676</v>
      </c>
      <c r="F242" s="2"/>
    </row>
    <row r="243" spans="2:6" ht="15" hidden="1" customHeight="1" x14ac:dyDescent="0.35">
      <c r="B243" s="1"/>
      <c r="C243" s="105" t="s">
        <v>66</v>
      </c>
      <c r="D243" s="108"/>
      <c r="E243" s="110" t="s">
        <v>1677</v>
      </c>
      <c r="F243" s="2"/>
    </row>
    <row r="244" spans="2:6" ht="15" hidden="1" customHeight="1" x14ac:dyDescent="0.35">
      <c r="B244" s="1"/>
      <c r="C244" s="105" t="s">
        <v>67</v>
      </c>
      <c r="D244" s="108"/>
      <c r="E244" s="110" t="s">
        <v>1678</v>
      </c>
      <c r="F244" s="2"/>
    </row>
    <row r="245" spans="2:6" ht="15" hidden="1" customHeight="1" x14ac:dyDescent="0.35">
      <c r="B245" s="1"/>
      <c r="C245" s="105" t="s">
        <v>68</v>
      </c>
      <c r="D245" s="108"/>
      <c r="E245" s="110" t="s">
        <v>1679</v>
      </c>
      <c r="F245" s="2"/>
    </row>
    <row r="246" spans="2:6" ht="15" hidden="1" customHeight="1" x14ac:dyDescent="0.35">
      <c r="B246" s="1"/>
      <c r="C246" s="105" t="s">
        <v>69</v>
      </c>
      <c r="D246" s="108"/>
      <c r="E246" s="110" t="s">
        <v>1680</v>
      </c>
      <c r="F246" s="2"/>
    </row>
    <row r="247" spans="2:6" ht="15" hidden="1" customHeight="1" x14ac:dyDescent="0.35">
      <c r="B247" s="1"/>
      <c r="C247" s="105" t="s">
        <v>70</v>
      </c>
      <c r="D247" s="108"/>
      <c r="E247" s="110" t="s">
        <v>1681</v>
      </c>
      <c r="F247" s="2"/>
    </row>
    <row r="248" spans="2:6" ht="15" hidden="1" customHeight="1" x14ac:dyDescent="0.35">
      <c r="B248" s="1"/>
      <c r="C248" s="105" t="s">
        <v>71</v>
      </c>
      <c r="D248" s="108"/>
      <c r="E248" s="110" t="s">
        <v>1682</v>
      </c>
      <c r="F248" s="2"/>
    </row>
    <row r="249" spans="2:6" ht="15" hidden="1" customHeight="1" x14ac:dyDescent="0.35">
      <c r="B249" s="1"/>
      <c r="C249" s="105" t="s">
        <v>72</v>
      </c>
      <c r="D249" s="108"/>
      <c r="E249" s="110" t="s">
        <v>1683</v>
      </c>
      <c r="F249" s="2"/>
    </row>
    <row r="250" spans="2:6" ht="15" hidden="1" customHeight="1" x14ac:dyDescent="0.25">
      <c r="B250" s="1"/>
      <c r="C250" s="101"/>
      <c r="D250" s="101"/>
      <c r="E250" s="101"/>
      <c r="F250" s="2"/>
    </row>
    <row r="251" spans="2:6" ht="15" hidden="1" customHeight="1" x14ac:dyDescent="0.25">
      <c r="B251" s="1"/>
      <c r="C251" s="101" t="s">
        <v>42</v>
      </c>
      <c r="D251" s="101"/>
      <c r="E251" s="101"/>
      <c r="F251" s="2"/>
    </row>
    <row r="252" spans="2:6" ht="15" hidden="1" customHeight="1" x14ac:dyDescent="0.25">
      <c r="B252" s="1"/>
      <c r="C252" s="104" t="s">
        <v>38</v>
      </c>
      <c r="D252" s="107" t="str">
        <f>IF(I.Facility.ComplianceYear="","Compliance year",I.Facility.ComplianceYear)</f>
        <v>Compliance year</v>
      </c>
      <c r="E252" s="103" t="s">
        <v>39</v>
      </c>
      <c r="F252" s="2"/>
    </row>
    <row r="253" spans="2:6" ht="15" hidden="1" customHeight="1" x14ac:dyDescent="0.35">
      <c r="B253" s="1"/>
      <c r="C253" s="105" t="s">
        <v>52</v>
      </c>
      <c r="D253" s="108"/>
      <c r="E253" s="110" t="s">
        <v>1663</v>
      </c>
      <c r="F253" s="2"/>
    </row>
    <row r="254" spans="2:6" ht="15" hidden="1" customHeight="1" x14ac:dyDescent="0.35">
      <c r="B254" s="1"/>
      <c r="C254" s="105" t="s">
        <v>53</v>
      </c>
      <c r="D254" s="108"/>
      <c r="E254" s="110" t="s">
        <v>1664</v>
      </c>
      <c r="F254" s="2"/>
    </row>
    <row r="255" spans="2:6" ht="15" hidden="1" customHeight="1" x14ac:dyDescent="0.35">
      <c r="B255" s="1"/>
      <c r="C255" s="105" t="s">
        <v>54</v>
      </c>
      <c r="D255" s="108"/>
      <c r="E255" s="110" t="s">
        <v>1665</v>
      </c>
      <c r="F255" s="2"/>
    </row>
    <row r="256" spans="2:6" ht="15" hidden="1" customHeight="1" x14ac:dyDescent="0.35">
      <c r="B256" s="1"/>
      <c r="C256" s="105" t="s">
        <v>55</v>
      </c>
      <c r="D256" s="108"/>
      <c r="E256" s="110" t="s">
        <v>1666</v>
      </c>
      <c r="F256" s="2"/>
    </row>
    <row r="257" spans="2:6" ht="15" hidden="1" customHeight="1" x14ac:dyDescent="0.35">
      <c r="B257" s="1"/>
      <c r="C257" s="105" t="s">
        <v>56</v>
      </c>
      <c r="D257" s="108"/>
      <c r="E257" s="110" t="s">
        <v>1667</v>
      </c>
      <c r="F257" s="2"/>
    </row>
    <row r="258" spans="2:6" ht="15" hidden="1" customHeight="1" x14ac:dyDescent="0.35">
      <c r="B258" s="1"/>
      <c r="C258" s="105" t="s">
        <v>57</v>
      </c>
      <c r="D258" s="108"/>
      <c r="E258" s="110" t="s">
        <v>1668</v>
      </c>
      <c r="F258" s="2"/>
    </row>
    <row r="259" spans="2:6" ht="15" hidden="1" customHeight="1" x14ac:dyDescent="0.35">
      <c r="B259" s="1"/>
      <c r="C259" s="105" t="s">
        <v>58</v>
      </c>
      <c r="D259" s="108"/>
      <c r="E259" s="110" t="s">
        <v>1669</v>
      </c>
      <c r="F259" s="2"/>
    </row>
    <row r="260" spans="2:6" ht="15" hidden="1" customHeight="1" x14ac:dyDescent="0.35">
      <c r="B260" s="1"/>
      <c r="C260" s="105" t="s">
        <v>59</v>
      </c>
      <c r="D260" s="108"/>
      <c r="E260" s="110" t="s">
        <v>1670</v>
      </c>
      <c r="F260" s="2"/>
    </row>
    <row r="261" spans="2:6" ht="15" hidden="1" customHeight="1" x14ac:dyDescent="0.35">
      <c r="B261" s="1"/>
      <c r="C261" s="105" t="s">
        <v>60</v>
      </c>
      <c r="D261" s="108"/>
      <c r="E261" s="110" t="s">
        <v>1671</v>
      </c>
      <c r="F261" s="2"/>
    </row>
    <row r="262" spans="2:6" ht="15" hidden="1" customHeight="1" x14ac:dyDescent="0.35">
      <c r="B262" s="1"/>
      <c r="C262" s="105" t="s">
        <v>61</v>
      </c>
      <c r="D262" s="108"/>
      <c r="E262" s="110" t="s">
        <v>1672</v>
      </c>
      <c r="F262" s="2"/>
    </row>
    <row r="263" spans="2:6" ht="15" hidden="1" customHeight="1" x14ac:dyDescent="0.35">
      <c r="B263" s="1"/>
      <c r="C263" s="105" t="s">
        <v>62</v>
      </c>
      <c r="D263" s="108"/>
      <c r="E263" s="110" t="s">
        <v>1673</v>
      </c>
      <c r="F263" s="2"/>
    </row>
    <row r="264" spans="2:6" ht="15" hidden="1" customHeight="1" x14ac:dyDescent="0.35">
      <c r="B264" s="1"/>
      <c r="C264" s="105" t="s">
        <v>63</v>
      </c>
      <c r="D264" s="108"/>
      <c r="E264" s="110" t="s">
        <v>1674</v>
      </c>
      <c r="F264" s="2"/>
    </row>
    <row r="265" spans="2:6" ht="15" hidden="1" customHeight="1" x14ac:dyDescent="0.35">
      <c r="B265" s="1"/>
      <c r="C265" s="105" t="s">
        <v>64</v>
      </c>
      <c r="D265" s="108"/>
      <c r="E265" s="110" t="s">
        <v>1675</v>
      </c>
      <c r="F265" s="2"/>
    </row>
    <row r="266" spans="2:6" ht="15" hidden="1" customHeight="1" x14ac:dyDescent="0.35">
      <c r="B266" s="1"/>
      <c r="C266" s="105" t="s">
        <v>65</v>
      </c>
      <c r="D266" s="108"/>
      <c r="E266" s="110" t="s">
        <v>1676</v>
      </c>
      <c r="F266" s="2"/>
    </row>
    <row r="267" spans="2:6" ht="15" hidden="1" customHeight="1" x14ac:dyDescent="0.35">
      <c r="B267" s="1"/>
      <c r="C267" s="105" t="s">
        <v>66</v>
      </c>
      <c r="D267" s="108"/>
      <c r="E267" s="110" t="s">
        <v>1677</v>
      </c>
      <c r="F267" s="2"/>
    </row>
    <row r="268" spans="2:6" ht="15" hidden="1" customHeight="1" x14ac:dyDescent="0.35">
      <c r="B268" s="1"/>
      <c r="C268" s="105" t="s">
        <v>67</v>
      </c>
      <c r="D268" s="108"/>
      <c r="E268" s="110" t="s">
        <v>1678</v>
      </c>
      <c r="F268" s="2"/>
    </row>
    <row r="269" spans="2:6" ht="15" hidden="1" customHeight="1" x14ac:dyDescent="0.35">
      <c r="B269" s="1"/>
      <c r="C269" s="105" t="s">
        <v>68</v>
      </c>
      <c r="D269" s="108"/>
      <c r="E269" s="110" t="s">
        <v>1679</v>
      </c>
      <c r="F269" s="2"/>
    </row>
    <row r="270" spans="2:6" ht="15" hidden="1" customHeight="1" x14ac:dyDescent="0.35">
      <c r="B270" s="1"/>
      <c r="C270" s="105" t="s">
        <v>69</v>
      </c>
      <c r="D270" s="108"/>
      <c r="E270" s="110" t="s">
        <v>1680</v>
      </c>
      <c r="F270" s="2"/>
    </row>
    <row r="271" spans="2:6" ht="15" hidden="1" customHeight="1" x14ac:dyDescent="0.35">
      <c r="B271" s="1"/>
      <c r="C271" s="105" t="s">
        <v>70</v>
      </c>
      <c r="D271" s="108"/>
      <c r="E271" s="110" t="s">
        <v>1681</v>
      </c>
      <c r="F271" s="2"/>
    </row>
    <row r="272" spans="2:6" ht="15" hidden="1" customHeight="1" x14ac:dyDescent="0.35">
      <c r="B272" s="1"/>
      <c r="C272" s="105" t="s">
        <v>71</v>
      </c>
      <c r="D272" s="108"/>
      <c r="E272" s="110" t="s">
        <v>1682</v>
      </c>
      <c r="F272" s="2"/>
    </row>
    <row r="273" spans="2:6" ht="15" hidden="1" customHeight="1" x14ac:dyDescent="0.35">
      <c r="B273" s="1"/>
      <c r="C273" s="105" t="s">
        <v>72</v>
      </c>
      <c r="D273" s="108"/>
      <c r="E273" s="110" t="s">
        <v>1683</v>
      </c>
      <c r="F273" s="2"/>
    </row>
    <row r="274" spans="2:6" ht="15" hidden="1" customHeight="1" x14ac:dyDescent="0.25">
      <c r="B274" s="1"/>
      <c r="C274" s="101"/>
      <c r="D274" s="101"/>
      <c r="E274" s="101"/>
      <c r="F274" s="2"/>
    </row>
    <row r="275" spans="2:6" ht="15" hidden="1" customHeight="1" x14ac:dyDescent="0.25">
      <c r="B275" s="1"/>
      <c r="C275" s="101" t="s">
        <v>43</v>
      </c>
      <c r="D275" s="101"/>
      <c r="E275" s="101"/>
      <c r="F275" s="2"/>
    </row>
    <row r="276" spans="2:6" ht="15" hidden="1" customHeight="1" x14ac:dyDescent="0.25">
      <c r="B276" s="1"/>
      <c r="C276" s="104" t="s">
        <v>38</v>
      </c>
      <c r="D276" s="107" t="str">
        <f>IF(I.Facility.ComplianceYear="","Compliance year",I.Facility.ComplianceYear)</f>
        <v>Compliance year</v>
      </c>
      <c r="E276" s="103" t="s">
        <v>39</v>
      </c>
      <c r="F276" s="2"/>
    </row>
    <row r="277" spans="2:6" ht="15" hidden="1" customHeight="1" x14ac:dyDescent="0.35">
      <c r="B277" s="1"/>
      <c r="C277" s="105" t="s">
        <v>49</v>
      </c>
      <c r="D277" s="108"/>
      <c r="E277" s="110" t="s">
        <v>1660</v>
      </c>
      <c r="F277" s="2"/>
    </row>
    <row r="278" spans="2:6" ht="15" hidden="1" customHeight="1" x14ac:dyDescent="0.35">
      <c r="B278" s="1"/>
      <c r="C278" s="105" t="s">
        <v>50</v>
      </c>
      <c r="D278" s="108"/>
      <c r="E278" s="110" t="s">
        <v>1661</v>
      </c>
      <c r="F278" s="2"/>
    </row>
    <row r="279" spans="2:6" ht="15" hidden="1" customHeight="1" x14ac:dyDescent="0.35">
      <c r="B279" s="1"/>
      <c r="C279" s="105" t="s">
        <v>51</v>
      </c>
      <c r="D279" s="108"/>
      <c r="E279" s="110" t="s">
        <v>1662</v>
      </c>
      <c r="F279" s="2"/>
    </row>
    <row r="280" spans="2:6" ht="15" hidden="1" customHeight="1" x14ac:dyDescent="0.25">
      <c r="B280" s="1"/>
      <c r="C280" s="101"/>
      <c r="D280" s="101"/>
      <c r="E280" s="101"/>
      <c r="F280" s="2"/>
    </row>
    <row r="281" spans="2:6" ht="15" hidden="1" customHeight="1" x14ac:dyDescent="0.25">
      <c r="B281" s="1"/>
      <c r="C281" s="101" t="s">
        <v>44</v>
      </c>
      <c r="D281" s="101"/>
      <c r="E281" s="101"/>
      <c r="F281" s="2"/>
    </row>
    <row r="282" spans="2:6" ht="15" hidden="1" customHeight="1" x14ac:dyDescent="0.25">
      <c r="B282" s="1"/>
      <c r="C282" s="104" t="s">
        <v>38</v>
      </c>
      <c r="D282" s="107" t="str">
        <f>IF(I.Facility.ComplianceYear="","Compliance year",I.Facility.ComplianceYear)</f>
        <v>Compliance year</v>
      </c>
      <c r="E282" s="103" t="s">
        <v>39</v>
      </c>
      <c r="F282" s="2"/>
    </row>
    <row r="283" spans="2:6" ht="15" hidden="1" customHeight="1" x14ac:dyDescent="0.35">
      <c r="B283" s="1"/>
      <c r="C283" s="105" t="s">
        <v>49</v>
      </c>
      <c r="D283" s="108"/>
      <c r="E283" s="110" t="s">
        <v>1660</v>
      </c>
      <c r="F283" s="2"/>
    </row>
    <row r="284" spans="2:6" ht="15" hidden="1" customHeight="1" x14ac:dyDescent="0.35">
      <c r="B284" s="1"/>
      <c r="C284" s="105" t="s">
        <v>50</v>
      </c>
      <c r="D284" s="108"/>
      <c r="E284" s="110" t="s">
        <v>1661</v>
      </c>
      <c r="F284" s="2"/>
    </row>
    <row r="285" spans="2:6" ht="15" hidden="1" customHeight="1" x14ac:dyDescent="0.35">
      <c r="B285" s="1"/>
      <c r="C285" s="105" t="s">
        <v>51</v>
      </c>
      <c r="D285" s="108"/>
      <c r="E285" s="110" t="s">
        <v>1662</v>
      </c>
      <c r="F285" s="2"/>
    </row>
    <row r="286" spans="2:6" ht="15" hidden="1" customHeight="1" x14ac:dyDescent="0.25">
      <c r="B286" s="1"/>
      <c r="C286" s="101"/>
      <c r="D286" s="101"/>
      <c r="E286" s="101"/>
      <c r="F286" s="2"/>
    </row>
    <row r="287" spans="2:6" ht="15" hidden="1" customHeight="1" x14ac:dyDescent="0.25">
      <c r="B287" s="1"/>
      <c r="C287" s="101" t="s">
        <v>45</v>
      </c>
      <c r="D287" s="101"/>
      <c r="E287" s="101"/>
      <c r="F287" s="2"/>
    </row>
    <row r="288" spans="2:6" ht="15" hidden="1" customHeight="1" x14ac:dyDescent="0.25">
      <c r="B288" s="1"/>
      <c r="C288" s="104" t="s">
        <v>38</v>
      </c>
      <c r="D288" s="107" t="str">
        <f>IF(I.Facility.ComplianceYear="","Compliance year",I.Facility.ComplianceYear)</f>
        <v>Compliance year</v>
      </c>
      <c r="E288" s="103" t="s">
        <v>39</v>
      </c>
      <c r="F288" s="2"/>
    </row>
    <row r="289" spans="2:6" ht="15" hidden="1" customHeight="1" x14ac:dyDescent="0.35">
      <c r="B289" s="1"/>
      <c r="C289" s="105" t="s">
        <v>49</v>
      </c>
      <c r="D289" s="108"/>
      <c r="E289" s="110" t="s">
        <v>1660</v>
      </c>
      <c r="F289" s="2"/>
    </row>
    <row r="290" spans="2:6" ht="15" hidden="1" customHeight="1" x14ac:dyDescent="0.35">
      <c r="B290" s="1"/>
      <c r="C290" s="105" t="s">
        <v>50</v>
      </c>
      <c r="D290" s="108"/>
      <c r="E290" s="110" t="s">
        <v>1661</v>
      </c>
      <c r="F290" s="2"/>
    </row>
    <row r="291" spans="2:6" ht="15" hidden="1" customHeight="1" x14ac:dyDescent="0.35">
      <c r="B291" s="1"/>
      <c r="C291" s="105" t="s">
        <v>51</v>
      </c>
      <c r="D291" s="108"/>
      <c r="E291" s="110" t="s">
        <v>1662</v>
      </c>
      <c r="F291" s="2"/>
    </row>
    <row r="292" spans="2:6" ht="15" hidden="1" customHeight="1" x14ac:dyDescent="0.25">
      <c r="B292" s="1"/>
      <c r="C292" s="101"/>
      <c r="D292" s="101"/>
      <c r="E292" s="101"/>
      <c r="F292" s="2"/>
    </row>
    <row r="293" spans="2:6" ht="15" hidden="1" customHeight="1" x14ac:dyDescent="0.25">
      <c r="B293" s="1"/>
      <c r="C293" s="101" t="s">
        <v>46</v>
      </c>
      <c r="D293" s="101"/>
      <c r="E293" s="101"/>
      <c r="F293" s="2"/>
    </row>
    <row r="294" spans="2:6" ht="15" hidden="1" customHeight="1" x14ac:dyDescent="0.25">
      <c r="B294" s="1"/>
      <c r="C294" s="104" t="s">
        <v>38</v>
      </c>
      <c r="D294" s="107" t="str">
        <f>IF(I.Facility.ComplianceYear="","Compliance year",I.Facility.ComplianceYear)</f>
        <v>Compliance year</v>
      </c>
      <c r="E294" s="103" t="s">
        <v>39</v>
      </c>
      <c r="F294" s="2"/>
    </row>
    <row r="295" spans="2:6" ht="15" hidden="1" customHeight="1" x14ac:dyDescent="0.35">
      <c r="B295" s="1"/>
      <c r="C295" s="105" t="s">
        <v>49</v>
      </c>
      <c r="D295" s="108"/>
      <c r="E295" s="110" t="s">
        <v>1660</v>
      </c>
      <c r="F295" s="2"/>
    </row>
    <row r="296" spans="2:6" ht="15" hidden="1" customHeight="1" x14ac:dyDescent="0.35">
      <c r="B296" s="1"/>
      <c r="C296" s="105" t="s">
        <v>50</v>
      </c>
      <c r="D296" s="108"/>
      <c r="E296" s="110" t="s">
        <v>1661</v>
      </c>
      <c r="F296" s="2"/>
    </row>
    <row r="297" spans="2:6" ht="15" hidden="1" customHeight="1" x14ac:dyDescent="0.35">
      <c r="B297" s="1"/>
      <c r="C297" s="105" t="s">
        <v>51</v>
      </c>
      <c r="D297" s="108"/>
      <c r="E297" s="110" t="s">
        <v>1662</v>
      </c>
      <c r="F297" s="2"/>
    </row>
    <row r="298" spans="2:6" ht="15" hidden="1" customHeight="1" x14ac:dyDescent="0.25">
      <c r="B298" s="1"/>
      <c r="C298" s="101"/>
      <c r="D298" s="101"/>
      <c r="E298" s="101"/>
      <c r="F298" s="2"/>
    </row>
    <row r="299" spans="2:6" ht="15" hidden="1" customHeight="1" x14ac:dyDescent="0.25">
      <c r="B299" s="1"/>
      <c r="C299" s="101" t="s">
        <v>47</v>
      </c>
      <c r="D299" s="101"/>
      <c r="E299" s="101"/>
      <c r="F299" s="2"/>
    </row>
    <row r="300" spans="2:6" ht="15" hidden="1" customHeight="1" x14ac:dyDescent="0.25">
      <c r="B300" s="1"/>
      <c r="C300" s="104" t="s">
        <v>38</v>
      </c>
      <c r="D300" s="107" t="str">
        <f>IF(I.Facility.ComplianceYear="","Compliance year",I.Facility.ComplianceYear)</f>
        <v>Compliance year</v>
      </c>
      <c r="E300" s="103" t="s">
        <v>39</v>
      </c>
      <c r="F300" s="2"/>
    </row>
    <row r="301" spans="2:6" ht="15" hidden="1" customHeight="1" x14ac:dyDescent="0.35">
      <c r="B301" s="1"/>
      <c r="C301" s="105" t="s">
        <v>49</v>
      </c>
      <c r="D301" s="108"/>
      <c r="E301" s="110" t="s">
        <v>1660</v>
      </c>
      <c r="F301" s="2"/>
    </row>
    <row r="302" spans="2:6" ht="15" hidden="1" customHeight="1" x14ac:dyDescent="0.35">
      <c r="B302" s="1"/>
      <c r="C302" s="105" t="s">
        <v>50</v>
      </c>
      <c r="D302" s="108"/>
      <c r="E302" s="110" t="s">
        <v>1661</v>
      </c>
      <c r="F302" s="2"/>
    </row>
    <row r="303" spans="2:6" ht="15" hidden="1" customHeight="1" x14ac:dyDescent="0.35">
      <c r="B303" s="1"/>
      <c r="C303" s="105" t="s">
        <v>51</v>
      </c>
      <c r="D303" s="108"/>
      <c r="E303" s="110" t="s">
        <v>1662</v>
      </c>
      <c r="F303" s="2"/>
    </row>
    <row r="304" spans="2:6" ht="15" hidden="1" customHeight="1" x14ac:dyDescent="0.25">
      <c r="B304" s="1"/>
      <c r="C304" s="101"/>
      <c r="D304" s="101"/>
      <c r="E304" s="101"/>
      <c r="F304" s="2"/>
    </row>
    <row r="305" spans="2:6" ht="15" hidden="1" customHeight="1" x14ac:dyDescent="0.25">
      <c r="B305" s="1"/>
      <c r="C305" s="101" t="s">
        <v>48</v>
      </c>
      <c r="D305" s="101"/>
      <c r="E305" s="101"/>
      <c r="F305" s="2"/>
    </row>
    <row r="306" spans="2:6" ht="15" hidden="1" customHeight="1" x14ac:dyDescent="0.25">
      <c r="B306" s="1"/>
      <c r="C306" s="104" t="s">
        <v>38</v>
      </c>
      <c r="D306" s="107" t="str">
        <f>IF(I.Facility.ComplianceYear="","Compliance year",I.Facility.ComplianceYear)</f>
        <v>Compliance year</v>
      </c>
      <c r="E306" s="103" t="s">
        <v>39</v>
      </c>
      <c r="F306" s="2"/>
    </row>
    <row r="307" spans="2:6" ht="15" hidden="1" customHeight="1" x14ac:dyDescent="0.35">
      <c r="B307" s="1"/>
      <c r="C307" s="105" t="s">
        <v>49</v>
      </c>
      <c r="D307" s="108"/>
      <c r="E307" s="110" t="s">
        <v>1660</v>
      </c>
      <c r="F307" s="2"/>
    </row>
    <row r="308" spans="2:6" ht="15" hidden="1" customHeight="1" x14ac:dyDescent="0.35">
      <c r="B308" s="1"/>
      <c r="C308" s="105" t="s">
        <v>50</v>
      </c>
      <c r="D308" s="108"/>
      <c r="E308" s="110" t="s">
        <v>1661</v>
      </c>
      <c r="F308" s="2"/>
    </row>
    <row r="309" spans="2:6" ht="15" hidden="1" customHeight="1" x14ac:dyDescent="0.35">
      <c r="B309" s="1"/>
      <c r="C309" s="105" t="s">
        <v>51</v>
      </c>
      <c r="D309" s="108"/>
      <c r="E309" s="110" t="s">
        <v>1662</v>
      </c>
      <c r="F309" s="2"/>
    </row>
    <row r="310" spans="2:6" ht="15" hidden="1" customHeight="1" x14ac:dyDescent="0.25">
      <c r="B310" s="1"/>
      <c r="C310" s="101"/>
      <c r="D310" s="101"/>
      <c r="E310" s="101"/>
      <c r="F310" s="2"/>
    </row>
    <row r="311" spans="2:6" ht="20.100000000000001" hidden="1" customHeight="1" x14ac:dyDescent="0.25">
      <c r="B311" s="12"/>
      <c r="C311" s="121" t="s">
        <v>33</v>
      </c>
      <c r="D311" s="121"/>
      <c r="E311" s="121"/>
      <c r="F311" s="13"/>
    </row>
    <row r="312" spans="2:6" ht="15" hidden="1" customHeight="1" x14ac:dyDescent="0.25">
      <c r="B312" s="1"/>
      <c r="C312" s="101"/>
      <c r="D312" s="101"/>
      <c r="E312" s="101"/>
      <c r="F312" s="2"/>
    </row>
    <row r="313" spans="2:6" ht="15" hidden="1" customHeight="1" x14ac:dyDescent="0.25">
      <c r="B313" s="1"/>
      <c r="C313" s="101" t="s">
        <v>29</v>
      </c>
      <c r="D313" s="101"/>
      <c r="E313" s="101"/>
      <c r="F313" s="2"/>
    </row>
    <row r="314" spans="2:6" ht="15" hidden="1" customHeight="1" x14ac:dyDescent="0.25">
      <c r="B314" s="1"/>
      <c r="C314" s="102" t="str">
        <f>IF(I.Product.P4Name="","",I.Product.P4Name)</f>
        <v/>
      </c>
      <c r="D314" s="101"/>
      <c r="E314" s="101"/>
      <c r="F314" s="2"/>
    </row>
    <row r="315" spans="2:6" ht="15" hidden="1" customHeight="1" x14ac:dyDescent="0.25">
      <c r="B315" s="1"/>
      <c r="C315" s="101"/>
      <c r="D315" s="101"/>
      <c r="E315" s="101"/>
      <c r="F315" s="2"/>
    </row>
    <row r="316" spans="2:6" ht="15" hidden="1" customHeight="1" x14ac:dyDescent="0.25">
      <c r="B316" s="1"/>
      <c r="C316" s="101" t="s">
        <v>37</v>
      </c>
      <c r="D316" s="101"/>
      <c r="E316" s="101"/>
      <c r="F316" s="2"/>
    </row>
    <row r="317" spans="2:6" ht="15" hidden="1" customHeight="1" x14ac:dyDescent="0.25">
      <c r="B317" s="1"/>
      <c r="C317" s="104" t="s">
        <v>38</v>
      </c>
      <c r="D317" s="107" t="str">
        <f>IF(I.Facility.ComplianceYear="","Compliance year",I.Facility.ComplianceYear)</f>
        <v>Compliance year</v>
      </c>
      <c r="E317" s="103" t="s">
        <v>39</v>
      </c>
      <c r="F317" s="2"/>
    </row>
    <row r="318" spans="2:6" ht="15" hidden="1" customHeight="1" x14ac:dyDescent="0.25">
      <c r="B318" s="1"/>
      <c r="C318" s="105" t="s">
        <v>105</v>
      </c>
      <c r="D318" s="108"/>
      <c r="E318" s="14"/>
      <c r="F318" s="2"/>
    </row>
    <row r="319" spans="2:6" ht="15" hidden="1" customHeight="1" x14ac:dyDescent="0.25">
      <c r="B319" s="1"/>
      <c r="C319" s="101"/>
      <c r="D319" s="101"/>
      <c r="E319" s="101"/>
      <c r="F319" s="2"/>
    </row>
    <row r="320" spans="2:6" ht="15" hidden="1" customHeight="1" x14ac:dyDescent="0.25">
      <c r="B320" s="1"/>
      <c r="C320" s="101" t="s">
        <v>40</v>
      </c>
      <c r="D320" s="101"/>
      <c r="E320" s="101"/>
      <c r="F320" s="2"/>
    </row>
    <row r="321" spans="2:6" ht="15" hidden="1" customHeight="1" x14ac:dyDescent="0.25">
      <c r="B321" s="1"/>
      <c r="C321" s="104" t="s">
        <v>38</v>
      </c>
      <c r="D321" s="107" t="str">
        <f>IF(I.Facility.ComplianceYear="","Compliance year",I.Facility.ComplianceYear)</f>
        <v>Compliance year</v>
      </c>
      <c r="E321" s="103" t="s">
        <v>39</v>
      </c>
      <c r="F321" s="2"/>
    </row>
    <row r="322" spans="2:6" ht="15" hidden="1" customHeight="1" x14ac:dyDescent="0.35">
      <c r="B322" s="1"/>
      <c r="C322" s="105" t="s">
        <v>49</v>
      </c>
      <c r="D322" s="108"/>
      <c r="E322" s="110" t="s">
        <v>1660</v>
      </c>
      <c r="F322" s="2"/>
    </row>
    <row r="323" spans="2:6" ht="15" hidden="1" customHeight="1" x14ac:dyDescent="0.35">
      <c r="B323" s="1"/>
      <c r="C323" s="105" t="s">
        <v>50</v>
      </c>
      <c r="D323" s="108"/>
      <c r="E323" s="110" t="s">
        <v>1661</v>
      </c>
      <c r="F323" s="2"/>
    </row>
    <row r="324" spans="2:6" ht="15" hidden="1" customHeight="1" x14ac:dyDescent="0.35">
      <c r="B324" s="1"/>
      <c r="C324" s="105" t="s">
        <v>51</v>
      </c>
      <c r="D324" s="108"/>
      <c r="E324" s="110" t="s">
        <v>1662</v>
      </c>
      <c r="F324" s="2"/>
    </row>
    <row r="325" spans="2:6" ht="15" hidden="1" customHeight="1" x14ac:dyDescent="0.25">
      <c r="B325" s="1"/>
      <c r="C325" s="101"/>
      <c r="D325" s="101"/>
      <c r="E325" s="101"/>
      <c r="F325" s="2"/>
    </row>
    <row r="326" spans="2:6" ht="15" hidden="1" customHeight="1" x14ac:dyDescent="0.25">
      <c r="B326" s="1"/>
      <c r="C326" s="101" t="s">
        <v>41</v>
      </c>
      <c r="D326" s="101"/>
      <c r="E326" s="101"/>
      <c r="F326" s="2"/>
    </row>
    <row r="327" spans="2:6" ht="15" hidden="1" customHeight="1" x14ac:dyDescent="0.25">
      <c r="B327" s="1"/>
      <c r="C327" s="104" t="s">
        <v>38</v>
      </c>
      <c r="D327" s="107" t="str">
        <f>IF(I.Facility.ComplianceYear="","Compliance year",I.Facility.ComplianceYear)</f>
        <v>Compliance year</v>
      </c>
      <c r="E327" s="103" t="s">
        <v>39</v>
      </c>
      <c r="F327" s="2"/>
    </row>
    <row r="328" spans="2:6" ht="15" hidden="1" customHeight="1" x14ac:dyDescent="0.35">
      <c r="B328" s="1"/>
      <c r="C328" s="105" t="s">
        <v>49</v>
      </c>
      <c r="D328" s="108"/>
      <c r="E328" s="110" t="s">
        <v>1660</v>
      </c>
      <c r="F328" s="2"/>
    </row>
    <row r="329" spans="2:6" ht="15" hidden="1" customHeight="1" x14ac:dyDescent="0.35">
      <c r="B329" s="1"/>
      <c r="C329" s="105" t="s">
        <v>50</v>
      </c>
      <c r="D329" s="108"/>
      <c r="E329" s="110" t="s">
        <v>1661</v>
      </c>
      <c r="F329" s="2"/>
    </row>
    <row r="330" spans="2:6" ht="15" hidden="1" customHeight="1" x14ac:dyDescent="0.35">
      <c r="B330" s="1"/>
      <c r="C330" s="105" t="s">
        <v>51</v>
      </c>
      <c r="D330" s="108"/>
      <c r="E330" s="110" t="s">
        <v>1662</v>
      </c>
      <c r="F330" s="2"/>
    </row>
    <row r="331" spans="2:6" ht="15" hidden="1" customHeight="1" x14ac:dyDescent="0.35">
      <c r="B331" s="1"/>
      <c r="C331" s="105" t="s">
        <v>52</v>
      </c>
      <c r="D331" s="108"/>
      <c r="E331" s="110" t="s">
        <v>1663</v>
      </c>
      <c r="F331" s="2"/>
    </row>
    <row r="332" spans="2:6" ht="15" hidden="1" customHeight="1" x14ac:dyDescent="0.35">
      <c r="B332" s="1"/>
      <c r="C332" s="105" t="s">
        <v>53</v>
      </c>
      <c r="D332" s="108"/>
      <c r="E332" s="110" t="s">
        <v>1664</v>
      </c>
      <c r="F332" s="2"/>
    </row>
    <row r="333" spans="2:6" ht="15" hidden="1" customHeight="1" x14ac:dyDescent="0.35">
      <c r="B333" s="1"/>
      <c r="C333" s="105" t="s">
        <v>54</v>
      </c>
      <c r="D333" s="108"/>
      <c r="E333" s="110" t="s">
        <v>1665</v>
      </c>
      <c r="F333" s="2"/>
    </row>
    <row r="334" spans="2:6" ht="15" hidden="1" customHeight="1" x14ac:dyDescent="0.35">
      <c r="B334" s="1"/>
      <c r="C334" s="105" t="s">
        <v>55</v>
      </c>
      <c r="D334" s="108"/>
      <c r="E334" s="110" t="s">
        <v>1666</v>
      </c>
      <c r="F334" s="2"/>
    </row>
    <row r="335" spans="2:6" ht="15" hidden="1" customHeight="1" x14ac:dyDescent="0.35">
      <c r="B335" s="1"/>
      <c r="C335" s="105" t="s">
        <v>56</v>
      </c>
      <c r="D335" s="108"/>
      <c r="E335" s="110" t="s">
        <v>1667</v>
      </c>
      <c r="F335" s="2"/>
    </row>
    <row r="336" spans="2:6" ht="15" hidden="1" customHeight="1" x14ac:dyDescent="0.35">
      <c r="B336" s="1"/>
      <c r="C336" s="105" t="s">
        <v>57</v>
      </c>
      <c r="D336" s="108"/>
      <c r="E336" s="110" t="s">
        <v>1668</v>
      </c>
      <c r="F336" s="2"/>
    </row>
    <row r="337" spans="2:6" ht="15" hidden="1" customHeight="1" x14ac:dyDescent="0.35">
      <c r="B337" s="1"/>
      <c r="C337" s="105" t="s">
        <v>58</v>
      </c>
      <c r="D337" s="108"/>
      <c r="E337" s="110" t="s">
        <v>1669</v>
      </c>
      <c r="F337" s="2"/>
    </row>
    <row r="338" spans="2:6" ht="15" hidden="1" customHeight="1" x14ac:dyDescent="0.35">
      <c r="B338" s="1"/>
      <c r="C338" s="105" t="s">
        <v>59</v>
      </c>
      <c r="D338" s="108"/>
      <c r="E338" s="110" t="s">
        <v>1670</v>
      </c>
      <c r="F338" s="2"/>
    </row>
    <row r="339" spans="2:6" ht="15" hidden="1" customHeight="1" x14ac:dyDescent="0.35">
      <c r="B339" s="1"/>
      <c r="C339" s="105" t="s">
        <v>60</v>
      </c>
      <c r="D339" s="108"/>
      <c r="E339" s="110" t="s">
        <v>1671</v>
      </c>
      <c r="F339" s="2"/>
    </row>
    <row r="340" spans="2:6" ht="15" hidden="1" customHeight="1" x14ac:dyDescent="0.35">
      <c r="B340" s="1"/>
      <c r="C340" s="105" t="s">
        <v>61</v>
      </c>
      <c r="D340" s="108"/>
      <c r="E340" s="110" t="s">
        <v>1672</v>
      </c>
      <c r="F340" s="2"/>
    </row>
    <row r="341" spans="2:6" ht="15" hidden="1" customHeight="1" x14ac:dyDescent="0.35">
      <c r="B341" s="1"/>
      <c r="C341" s="105" t="s">
        <v>62</v>
      </c>
      <c r="D341" s="108"/>
      <c r="E341" s="110" t="s">
        <v>1673</v>
      </c>
      <c r="F341" s="2"/>
    </row>
    <row r="342" spans="2:6" ht="15" hidden="1" customHeight="1" x14ac:dyDescent="0.35">
      <c r="B342" s="1"/>
      <c r="C342" s="105" t="s">
        <v>63</v>
      </c>
      <c r="D342" s="108"/>
      <c r="E342" s="110" t="s">
        <v>1674</v>
      </c>
      <c r="F342" s="2"/>
    </row>
    <row r="343" spans="2:6" ht="15" hidden="1" customHeight="1" x14ac:dyDescent="0.35">
      <c r="B343" s="1"/>
      <c r="C343" s="105" t="s">
        <v>64</v>
      </c>
      <c r="D343" s="108"/>
      <c r="E343" s="110" t="s">
        <v>1675</v>
      </c>
      <c r="F343" s="2"/>
    </row>
    <row r="344" spans="2:6" ht="15" hidden="1" customHeight="1" x14ac:dyDescent="0.35">
      <c r="B344" s="1"/>
      <c r="C344" s="105" t="s">
        <v>65</v>
      </c>
      <c r="D344" s="108"/>
      <c r="E344" s="110" t="s">
        <v>1676</v>
      </c>
      <c r="F344" s="2"/>
    </row>
    <row r="345" spans="2:6" ht="15" hidden="1" customHeight="1" x14ac:dyDescent="0.35">
      <c r="B345" s="1"/>
      <c r="C345" s="105" t="s">
        <v>66</v>
      </c>
      <c r="D345" s="108"/>
      <c r="E345" s="110" t="s">
        <v>1677</v>
      </c>
      <c r="F345" s="2"/>
    </row>
    <row r="346" spans="2:6" ht="15" hidden="1" customHeight="1" x14ac:dyDescent="0.35">
      <c r="B346" s="1"/>
      <c r="C346" s="105" t="s">
        <v>67</v>
      </c>
      <c r="D346" s="108"/>
      <c r="E346" s="110" t="s">
        <v>1678</v>
      </c>
      <c r="F346" s="2"/>
    </row>
    <row r="347" spans="2:6" ht="15" hidden="1" customHeight="1" x14ac:dyDescent="0.35">
      <c r="B347" s="1"/>
      <c r="C347" s="105" t="s">
        <v>68</v>
      </c>
      <c r="D347" s="108"/>
      <c r="E347" s="110" t="s">
        <v>1679</v>
      </c>
      <c r="F347" s="2"/>
    </row>
    <row r="348" spans="2:6" ht="15" hidden="1" customHeight="1" x14ac:dyDescent="0.35">
      <c r="B348" s="1"/>
      <c r="C348" s="105" t="s">
        <v>69</v>
      </c>
      <c r="D348" s="108"/>
      <c r="E348" s="110" t="s">
        <v>1680</v>
      </c>
      <c r="F348" s="2"/>
    </row>
    <row r="349" spans="2:6" ht="15" hidden="1" customHeight="1" x14ac:dyDescent="0.35">
      <c r="B349" s="1"/>
      <c r="C349" s="105" t="s">
        <v>70</v>
      </c>
      <c r="D349" s="108"/>
      <c r="E349" s="110" t="s">
        <v>1681</v>
      </c>
      <c r="F349" s="2"/>
    </row>
    <row r="350" spans="2:6" ht="15" hidden="1" customHeight="1" x14ac:dyDescent="0.35">
      <c r="B350" s="1"/>
      <c r="C350" s="105" t="s">
        <v>71</v>
      </c>
      <c r="D350" s="108"/>
      <c r="E350" s="110" t="s">
        <v>1682</v>
      </c>
      <c r="F350" s="2"/>
    </row>
    <row r="351" spans="2:6" ht="15" hidden="1" customHeight="1" x14ac:dyDescent="0.35">
      <c r="B351" s="1"/>
      <c r="C351" s="105" t="s">
        <v>72</v>
      </c>
      <c r="D351" s="108"/>
      <c r="E351" s="110" t="s">
        <v>1683</v>
      </c>
      <c r="F351" s="2"/>
    </row>
    <row r="352" spans="2:6" ht="15" hidden="1" customHeight="1" x14ac:dyDescent="0.25">
      <c r="B352" s="1"/>
      <c r="C352" s="101"/>
      <c r="D352" s="101"/>
      <c r="E352" s="101"/>
      <c r="F352" s="2"/>
    </row>
    <row r="353" spans="2:6" ht="15" hidden="1" customHeight="1" x14ac:dyDescent="0.25">
      <c r="B353" s="1"/>
      <c r="C353" s="101" t="s">
        <v>42</v>
      </c>
      <c r="D353" s="101"/>
      <c r="E353" s="101"/>
      <c r="F353" s="2"/>
    </row>
    <row r="354" spans="2:6" ht="15" hidden="1" customHeight="1" x14ac:dyDescent="0.25">
      <c r="B354" s="1"/>
      <c r="C354" s="104" t="s">
        <v>38</v>
      </c>
      <c r="D354" s="107" t="str">
        <f>IF(I.Facility.ComplianceYear="","Compliance year",I.Facility.ComplianceYear)</f>
        <v>Compliance year</v>
      </c>
      <c r="E354" s="103" t="s">
        <v>39</v>
      </c>
      <c r="F354" s="2"/>
    </row>
    <row r="355" spans="2:6" ht="15" hidden="1" customHeight="1" x14ac:dyDescent="0.35">
      <c r="B355" s="1"/>
      <c r="C355" s="105" t="s">
        <v>52</v>
      </c>
      <c r="D355" s="108"/>
      <c r="E355" s="110" t="s">
        <v>1663</v>
      </c>
      <c r="F355" s="2"/>
    </row>
    <row r="356" spans="2:6" ht="15" hidden="1" customHeight="1" x14ac:dyDescent="0.35">
      <c r="B356" s="1"/>
      <c r="C356" s="105" t="s">
        <v>53</v>
      </c>
      <c r="D356" s="108"/>
      <c r="E356" s="110" t="s">
        <v>1664</v>
      </c>
      <c r="F356" s="2"/>
    </row>
    <row r="357" spans="2:6" ht="15" hidden="1" customHeight="1" x14ac:dyDescent="0.35">
      <c r="B357" s="1"/>
      <c r="C357" s="105" t="s">
        <v>54</v>
      </c>
      <c r="D357" s="108"/>
      <c r="E357" s="110" t="s">
        <v>1665</v>
      </c>
      <c r="F357" s="2"/>
    </row>
    <row r="358" spans="2:6" ht="15" hidden="1" customHeight="1" x14ac:dyDescent="0.35">
      <c r="B358" s="1"/>
      <c r="C358" s="105" t="s">
        <v>55</v>
      </c>
      <c r="D358" s="108"/>
      <c r="E358" s="110" t="s">
        <v>1666</v>
      </c>
      <c r="F358" s="2"/>
    </row>
    <row r="359" spans="2:6" ht="15" hidden="1" customHeight="1" x14ac:dyDescent="0.35">
      <c r="B359" s="1"/>
      <c r="C359" s="105" t="s">
        <v>56</v>
      </c>
      <c r="D359" s="108"/>
      <c r="E359" s="110" t="s">
        <v>1667</v>
      </c>
      <c r="F359" s="2"/>
    </row>
    <row r="360" spans="2:6" ht="15" hidden="1" customHeight="1" x14ac:dyDescent="0.35">
      <c r="B360" s="1"/>
      <c r="C360" s="105" t="s">
        <v>57</v>
      </c>
      <c r="D360" s="108"/>
      <c r="E360" s="110" t="s">
        <v>1668</v>
      </c>
      <c r="F360" s="2"/>
    </row>
    <row r="361" spans="2:6" ht="15" hidden="1" customHeight="1" x14ac:dyDescent="0.35">
      <c r="B361" s="1"/>
      <c r="C361" s="105" t="s">
        <v>58</v>
      </c>
      <c r="D361" s="108"/>
      <c r="E361" s="110" t="s">
        <v>1669</v>
      </c>
      <c r="F361" s="2"/>
    </row>
    <row r="362" spans="2:6" ht="15" hidden="1" customHeight="1" x14ac:dyDescent="0.35">
      <c r="B362" s="1"/>
      <c r="C362" s="105" t="s">
        <v>59</v>
      </c>
      <c r="D362" s="108"/>
      <c r="E362" s="110" t="s">
        <v>1670</v>
      </c>
      <c r="F362" s="2"/>
    </row>
    <row r="363" spans="2:6" ht="15" hidden="1" customHeight="1" x14ac:dyDescent="0.35">
      <c r="B363" s="1"/>
      <c r="C363" s="105" t="s">
        <v>60</v>
      </c>
      <c r="D363" s="108"/>
      <c r="E363" s="110" t="s">
        <v>1671</v>
      </c>
      <c r="F363" s="2"/>
    </row>
    <row r="364" spans="2:6" ht="15" hidden="1" customHeight="1" x14ac:dyDescent="0.35">
      <c r="B364" s="1"/>
      <c r="C364" s="105" t="s">
        <v>61</v>
      </c>
      <c r="D364" s="108"/>
      <c r="E364" s="110" t="s">
        <v>1672</v>
      </c>
      <c r="F364" s="2"/>
    </row>
    <row r="365" spans="2:6" ht="15" hidden="1" customHeight="1" x14ac:dyDescent="0.35">
      <c r="B365" s="1"/>
      <c r="C365" s="105" t="s">
        <v>62</v>
      </c>
      <c r="D365" s="108"/>
      <c r="E365" s="110" t="s">
        <v>1673</v>
      </c>
      <c r="F365" s="2"/>
    </row>
    <row r="366" spans="2:6" ht="15" hidden="1" customHeight="1" x14ac:dyDescent="0.35">
      <c r="B366" s="1"/>
      <c r="C366" s="105" t="s">
        <v>63</v>
      </c>
      <c r="D366" s="108"/>
      <c r="E366" s="110" t="s">
        <v>1674</v>
      </c>
      <c r="F366" s="2"/>
    </row>
    <row r="367" spans="2:6" ht="15" hidden="1" customHeight="1" x14ac:dyDescent="0.35">
      <c r="B367" s="1"/>
      <c r="C367" s="105" t="s">
        <v>64</v>
      </c>
      <c r="D367" s="108"/>
      <c r="E367" s="110" t="s">
        <v>1675</v>
      </c>
      <c r="F367" s="2"/>
    </row>
    <row r="368" spans="2:6" ht="15" hidden="1" customHeight="1" x14ac:dyDescent="0.35">
      <c r="B368" s="1"/>
      <c r="C368" s="105" t="s">
        <v>65</v>
      </c>
      <c r="D368" s="108"/>
      <c r="E368" s="110" t="s">
        <v>1676</v>
      </c>
      <c r="F368" s="2"/>
    </row>
    <row r="369" spans="2:6" ht="15" hidden="1" customHeight="1" x14ac:dyDescent="0.35">
      <c r="B369" s="1"/>
      <c r="C369" s="105" t="s">
        <v>66</v>
      </c>
      <c r="D369" s="108"/>
      <c r="E369" s="110" t="s">
        <v>1677</v>
      </c>
      <c r="F369" s="2"/>
    </row>
    <row r="370" spans="2:6" ht="15" hidden="1" customHeight="1" x14ac:dyDescent="0.35">
      <c r="B370" s="1"/>
      <c r="C370" s="105" t="s">
        <v>67</v>
      </c>
      <c r="D370" s="108"/>
      <c r="E370" s="110" t="s">
        <v>1678</v>
      </c>
      <c r="F370" s="2"/>
    </row>
    <row r="371" spans="2:6" ht="15" hidden="1" customHeight="1" x14ac:dyDescent="0.35">
      <c r="B371" s="1"/>
      <c r="C371" s="105" t="s">
        <v>68</v>
      </c>
      <c r="D371" s="108"/>
      <c r="E371" s="110" t="s">
        <v>1679</v>
      </c>
      <c r="F371" s="2"/>
    </row>
    <row r="372" spans="2:6" ht="15" hidden="1" customHeight="1" x14ac:dyDescent="0.35">
      <c r="B372" s="1"/>
      <c r="C372" s="105" t="s">
        <v>69</v>
      </c>
      <c r="D372" s="108"/>
      <c r="E372" s="110" t="s">
        <v>1680</v>
      </c>
      <c r="F372" s="2"/>
    </row>
    <row r="373" spans="2:6" ht="15" hidden="1" customHeight="1" x14ac:dyDescent="0.35">
      <c r="B373" s="1"/>
      <c r="C373" s="105" t="s">
        <v>70</v>
      </c>
      <c r="D373" s="108"/>
      <c r="E373" s="110" t="s">
        <v>1681</v>
      </c>
      <c r="F373" s="2"/>
    </row>
    <row r="374" spans="2:6" ht="15" hidden="1" customHeight="1" x14ac:dyDescent="0.35">
      <c r="B374" s="1"/>
      <c r="C374" s="105" t="s">
        <v>71</v>
      </c>
      <c r="D374" s="108"/>
      <c r="E374" s="110" t="s">
        <v>1682</v>
      </c>
      <c r="F374" s="2"/>
    </row>
    <row r="375" spans="2:6" ht="15" hidden="1" customHeight="1" x14ac:dyDescent="0.35">
      <c r="B375" s="1"/>
      <c r="C375" s="105" t="s">
        <v>72</v>
      </c>
      <c r="D375" s="108"/>
      <c r="E375" s="110" t="s">
        <v>1683</v>
      </c>
      <c r="F375" s="2"/>
    </row>
    <row r="376" spans="2:6" ht="15" hidden="1" customHeight="1" x14ac:dyDescent="0.25">
      <c r="B376" s="1"/>
      <c r="C376" s="101"/>
      <c r="D376" s="101"/>
      <c r="E376" s="101"/>
      <c r="F376" s="2"/>
    </row>
    <row r="377" spans="2:6" ht="15" hidden="1" customHeight="1" x14ac:dyDescent="0.25">
      <c r="B377" s="1"/>
      <c r="C377" s="101" t="s">
        <v>43</v>
      </c>
      <c r="D377" s="101"/>
      <c r="E377" s="101"/>
      <c r="F377" s="2"/>
    </row>
    <row r="378" spans="2:6" ht="15" hidden="1" customHeight="1" x14ac:dyDescent="0.25">
      <c r="B378" s="1"/>
      <c r="C378" s="104" t="s">
        <v>38</v>
      </c>
      <c r="D378" s="107" t="str">
        <f>IF(I.Facility.ComplianceYear="","Compliance year",I.Facility.ComplianceYear)</f>
        <v>Compliance year</v>
      </c>
      <c r="E378" s="103" t="s">
        <v>39</v>
      </c>
      <c r="F378" s="2"/>
    </row>
    <row r="379" spans="2:6" ht="15" hidden="1" customHeight="1" x14ac:dyDescent="0.35">
      <c r="B379" s="1"/>
      <c r="C379" s="105" t="s">
        <v>49</v>
      </c>
      <c r="D379" s="108"/>
      <c r="E379" s="110" t="s">
        <v>1660</v>
      </c>
      <c r="F379" s="2"/>
    </row>
    <row r="380" spans="2:6" ht="15" hidden="1" customHeight="1" x14ac:dyDescent="0.35">
      <c r="B380" s="1"/>
      <c r="C380" s="105" t="s">
        <v>50</v>
      </c>
      <c r="D380" s="108"/>
      <c r="E380" s="110" t="s">
        <v>1661</v>
      </c>
      <c r="F380" s="2"/>
    </row>
    <row r="381" spans="2:6" ht="15" hidden="1" customHeight="1" x14ac:dyDescent="0.35">
      <c r="B381" s="1"/>
      <c r="C381" s="105" t="s">
        <v>51</v>
      </c>
      <c r="D381" s="108"/>
      <c r="E381" s="110" t="s">
        <v>1662</v>
      </c>
      <c r="F381" s="2"/>
    </row>
    <row r="382" spans="2:6" ht="15" hidden="1" customHeight="1" x14ac:dyDescent="0.25">
      <c r="B382" s="1"/>
      <c r="C382" s="101"/>
      <c r="D382" s="101"/>
      <c r="E382" s="101"/>
      <c r="F382" s="2"/>
    </row>
    <row r="383" spans="2:6" ht="15" hidden="1" customHeight="1" x14ac:dyDescent="0.25">
      <c r="B383" s="1"/>
      <c r="C383" s="101" t="s">
        <v>44</v>
      </c>
      <c r="D383" s="101"/>
      <c r="E383" s="101"/>
      <c r="F383" s="2"/>
    </row>
    <row r="384" spans="2:6" ht="15" hidden="1" customHeight="1" x14ac:dyDescent="0.25">
      <c r="B384" s="1"/>
      <c r="C384" s="104" t="s">
        <v>38</v>
      </c>
      <c r="D384" s="107" t="str">
        <f>IF(I.Facility.ComplianceYear="","Compliance year",I.Facility.ComplianceYear)</f>
        <v>Compliance year</v>
      </c>
      <c r="E384" s="103" t="s">
        <v>39</v>
      </c>
      <c r="F384" s="2"/>
    </row>
    <row r="385" spans="2:6" ht="15" hidden="1" customHeight="1" x14ac:dyDescent="0.35">
      <c r="B385" s="1"/>
      <c r="C385" s="105" t="s">
        <v>49</v>
      </c>
      <c r="D385" s="108"/>
      <c r="E385" s="110" t="s">
        <v>1660</v>
      </c>
      <c r="F385" s="2"/>
    </row>
    <row r="386" spans="2:6" ht="15" hidden="1" customHeight="1" x14ac:dyDescent="0.35">
      <c r="B386" s="1"/>
      <c r="C386" s="105" t="s">
        <v>50</v>
      </c>
      <c r="D386" s="108"/>
      <c r="E386" s="110" t="s">
        <v>1661</v>
      </c>
      <c r="F386" s="2"/>
    </row>
    <row r="387" spans="2:6" ht="15" hidden="1" customHeight="1" x14ac:dyDescent="0.35">
      <c r="B387" s="1"/>
      <c r="C387" s="105" t="s">
        <v>51</v>
      </c>
      <c r="D387" s="108"/>
      <c r="E387" s="110" t="s">
        <v>1662</v>
      </c>
      <c r="F387" s="2"/>
    </row>
    <row r="388" spans="2:6" ht="15" hidden="1" customHeight="1" x14ac:dyDescent="0.25">
      <c r="B388" s="1"/>
      <c r="C388" s="101"/>
      <c r="D388" s="101"/>
      <c r="E388" s="101"/>
      <c r="F388" s="2"/>
    </row>
    <row r="389" spans="2:6" ht="15" hidden="1" customHeight="1" x14ac:dyDescent="0.25">
      <c r="B389" s="1"/>
      <c r="C389" s="101" t="s">
        <v>45</v>
      </c>
      <c r="D389" s="101"/>
      <c r="E389" s="101"/>
      <c r="F389" s="2"/>
    </row>
    <row r="390" spans="2:6" ht="15" hidden="1" customHeight="1" x14ac:dyDescent="0.25">
      <c r="B390" s="1"/>
      <c r="C390" s="104" t="s">
        <v>38</v>
      </c>
      <c r="D390" s="107" t="str">
        <f>IF(I.Facility.ComplianceYear="","Compliance year",I.Facility.ComplianceYear)</f>
        <v>Compliance year</v>
      </c>
      <c r="E390" s="103" t="s">
        <v>39</v>
      </c>
      <c r="F390" s="2"/>
    </row>
    <row r="391" spans="2:6" ht="15" hidden="1" customHeight="1" x14ac:dyDescent="0.35">
      <c r="B391" s="1"/>
      <c r="C391" s="105" t="s">
        <v>49</v>
      </c>
      <c r="D391" s="108"/>
      <c r="E391" s="110" t="s">
        <v>1660</v>
      </c>
      <c r="F391" s="2"/>
    </row>
    <row r="392" spans="2:6" ht="15" hidden="1" customHeight="1" x14ac:dyDescent="0.35">
      <c r="B392" s="1"/>
      <c r="C392" s="105" t="s">
        <v>50</v>
      </c>
      <c r="D392" s="108"/>
      <c r="E392" s="110" t="s">
        <v>1661</v>
      </c>
      <c r="F392" s="2"/>
    </row>
    <row r="393" spans="2:6" ht="15" hidden="1" customHeight="1" x14ac:dyDescent="0.35">
      <c r="B393" s="1"/>
      <c r="C393" s="105" t="s">
        <v>51</v>
      </c>
      <c r="D393" s="108"/>
      <c r="E393" s="110" t="s">
        <v>1662</v>
      </c>
      <c r="F393" s="2"/>
    </row>
    <row r="394" spans="2:6" ht="15" hidden="1" customHeight="1" x14ac:dyDescent="0.25">
      <c r="B394" s="1"/>
      <c r="C394" s="101"/>
      <c r="D394" s="101"/>
      <c r="E394" s="101"/>
      <c r="F394" s="2"/>
    </row>
    <row r="395" spans="2:6" ht="15" hidden="1" customHeight="1" x14ac:dyDescent="0.25">
      <c r="B395" s="1"/>
      <c r="C395" s="101" t="s">
        <v>46</v>
      </c>
      <c r="D395" s="101"/>
      <c r="E395" s="101"/>
      <c r="F395" s="2"/>
    </row>
    <row r="396" spans="2:6" ht="15" hidden="1" customHeight="1" x14ac:dyDescent="0.25">
      <c r="B396" s="1"/>
      <c r="C396" s="104" t="s">
        <v>38</v>
      </c>
      <c r="D396" s="107" t="str">
        <f>IF(I.Facility.ComplianceYear="","Compliance year",I.Facility.ComplianceYear)</f>
        <v>Compliance year</v>
      </c>
      <c r="E396" s="103" t="s">
        <v>39</v>
      </c>
      <c r="F396" s="2"/>
    </row>
    <row r="397" spans="2:6" ht="15" hidden="1" customHeight="1" x14ac:dyDescent="0.35">
      <c r="B397" s="1"/>
      <c r="C397" s="105" t="s">
        <v>49</v>
      </c>
      <c r="D397" s="108"/>
      <c r="E397" s="110" t="s">
        <v>1660</v>
      </c>
      <c r="F397" s="2"/>
    </row>
    <row r="398" spans="2:6" ht="15" hidden="1" customHeight="1" x14ac:dyDescent="0.35">
      <c r="B398" s="1"/>
      <c r="C398" s="105" t="s">
        <v>50</v>
      </c>
      <c r="D398" s="108"/>
      <c r="E398" s="110" t="s">
        <v>1661</v>
      </c>
      <c r="F398" s="2"/>
    </row>
    <row r="399" spans="2:6" ht="15" hidden="1" customHeight="1" x14ac:dyDescent="0.35">
      <c r="B399" s="1"/>
      <c r="C399" s="105" t="s">
        <v>51</v>
      </c>
      <c r="D399" s="108"/>
      <c r="E399" s="110" t="s">
        <v>1662</v>
      </c>
      <c r="F399" s="2"/>
    </row>
    <row r="400" spans="2:6" ht="15" hidden="1" customHeight="1" x14ac:dyDescent="0.25">
      <c r="B400" s="1"/>
      <c r="C400" s="101"/>
      <c r="D400" s="101"/>
      <c r="E400" s="101"/>
      <c r="F400" s="2"/>
    </row>
    <row r="401" spans="2:6" ht="15" hidden="1" customHeight="1" x14ac:dyDescent="0.25">
      <c r="B401" s="1"/>
      <c r="C401" s="101" t="s">
        <v>47</v>
      </c>
      <c r="D401" s="101"/>
      <c r="E401" s="101"/>
      <c r="F401" s="2"/>
    </row>
    <row r="402" spans="2:6" ht="15" hidden="1" customHeight="1" x14ac:dyDescent="0.25">
      <c r="B402" s="1"/>
      <c r="C402" s="104" t="s">
        <v>38</v>
      </c>
      <c r="D402" s="107" t="str">
        <f>IF(I.Facility.ComplianceYear="","Compliance year",I.Facility.ComplianceYear)</f>
        <v>Compliance year</v>
      </c>
      <c r="E402" s="103" t="s">
        <v>39</v>
      </c>
      <c r="F402" s="2"/>
    </row>
    <row r="403" spans="2:6" ht="15" hidden="1" customHeight="1" x14ac:dyDescent="0.35">
      <c r="B403" s="1"/>
      <c r="C403" s="105" t="s">
        <v>49</v>
      </c>
      <c r="D403" s="108"/>
      <c r="E403" s="110" t="s">
        <v>1660</v>
      </c>
      <c r="F403" s="2"/>
    </row>
    <row r="404" spans="2:6" ht="15" hidden="1" customHeight="1" x14ac:dyDescent="0.35">
      <c r="B404" s="1"/>
      <c r="C404" s="105" t="s">
        <v>50</v>
      </c>
      <c r="D404" s="108"/>
      <c r="E404" s="110" t="s">
        <v>1661</v>
      </c>
      <c r="F404" s="2"/>
    </row>
    <row r="405" spans="2:6" ht="15" hidden="1" customHeight="1" x14ac:dyDescent="0.35">
      <c r="B405" s="1"/>
      <c r="C405" s="105" t="s">
        <v>51</v>
      </c>
      <c r="D405" s="108"/>
      <c r="E405" s="110" t="s">
        <v>1662</v>
      </c>
      <c r="F405" s="2"/>
    </row>
    <row r="406" spans="2:6" ht="15" hidden="1" customHeight="1" x14ac:dyDescent="0.25">
      <c r="B406" s="1"/>
      <c r="C406" s="101"/>
      <c r="D406" s="101"/>
      <c r="E406" s="101"/>
      <c r="F406" s="2"/>
    </row>
    <row r="407" spans="2:6" ht="15" hidden="1" customHeight="1" x14ac:dyDescent="0.25">
      <c r="B407" s="1"/>
      <c r="C407" s="101" t="s">
        <v>48</v>
      </c>
      <c r="D407" s="101"/>
      <c r="E407" s="101"/>
      <c r="F407" s="2"/>
    </row>
    <row r="408" spans="2:6" ht="15" hidden="1" customHeight="1" x14ac:dyDescent="0.25">
      <c r="B408" s="1"/>
      <c r="C408" s="104" t="s">
        <v>38</v>
      </c>
      <c r="D408" s="107" t="str">
        <f>IF(I.Facility.ComplianceYear="","Compliance year",I.Facility.ComplianceYear)</f>
        <v>Compliance year</v>
      </c>
      <c r="E408" s="103" t="s">
        <v>39</v>
      </c>
      <c r="F408" s="2"/>
    </row>
    <row r="409" spans="2:6" ht="15" hidden="1" customHeight="1" x14ac:dyDescent="0.35">
      <c r="B409" s="1"/>
      <c r="C409" s="105" t="s">
        <v>49</v>
      </c>
      <c r="D409" s="108"/>
      <c r="E409" s="110" t="s">
        <v>1660</v>
      </c>
      <c r="F409" s="2"/>
    </row>
    <row r="410" spans="2:6" ht="15" hidden="1" customHeight="1" x14ac:dyDescent="0.35">
      <c r="B410" s="1"/>
      <c r="C410" s="105" t="s">
        <v>50</v>
      </c>
      <c r="D410" s="108"/>
      <c r="E410" s="110" t="s">
        <v>1661</v>
      </c>
      <c r="F410" s="2"/>
    </row>
    <row r="411" spans="2:6" ht="15" hidden="1" customHeight="1" x14ac:dyDescent="0.35">
      <c r="B411" s="1"/>
      <c r="C411" s="105" t="s">
        <v>51</v>
      </c>
      <c r="D411" s="108"/>
      <c r="E411" s="110" t="s">
        <v>1662</v>
      </c>
      <c r="F411" s="2"/>
    </row>
    <row r="412" spans="2:6" ht="15" hidden="1" customHeight="1" x14ac:dyDescent="0.25">
      <c r="B412" s="1"/>
      <c r="C412" s="101"/>
      <c r="D412" s="101"/>
      <c r="E412" s="101"/>
      <c r="F412" s="2"/>
    </row>
    <row r="413" spans="2:6" ht="20.100000000000001" hidden="1" customHeight="1" x14ac:dyDescent="0.25">
      <c r="B413" s="12"/>
      <c r="C413" s="121" t="s">
        <v>34</v>
      </c>
      <c r="D413" s="121"/>
      <c r="E413" s="121"/>
      <c r="F413" s="13"/>
    </row>
    <row r="414" spans="2:6" ht="15" hidden="1" customHeight="1" x14ac:dyDescent="0.25">
      <c r="B414" s="1"/>
      <c r="C414" s="101"/>
      <c r="D414" s="101"/>
      <c r="E414" s="101"/>
      <c r="F414" s="2"/>
    </row>
    <row r="415" spans="2:6" ht="15" hidden="1" customHeight="1" x14ac:dyDescent="0.25">
      <c r="B415" s="1"/>
      <c r="C415" s="101" t="s">
        <v>29</v>
      </c>
      <c r="D415" s="101"/>
      <c r="E415" s="101"/>
      <c r="F415" s="2"/>
    </row>
    <row r="416" spans="2:6" ht="15" hidden="1" customHeight="1" x14ac:dyDescent="0.25">
      <c r="B416" s="1"/>
      <c r="C416" s="102" t="str">
        <f>IF(I.Product.P5Name="","",I.Product.P5Name)</f>
        <v/>
      </c>
      <c r="D416" s="101"/>
      <c r="E416" s="101"/>
      <c r="F416" s="2"/>
    </row>
    <row r="417" spans="2:6" ht="15" hidden="1" customHeight="1" x14ac:dyDescent="0.25">
      <c r="B417" s="1"/>
      <c r="C417" s="101"/>
      <c r="D417" s="101"/>
      <c r="E417" s="101"/>
      <c r="F417" s="2"/>
    </row>
    <row r="418" spans="2:6" ht="15" hidden="1" customHeight="1" x14ac:dyDescent="0.25">
      <c r="B418" s="1"/>
      <c r="C418" s="101" t="s">
        <v>37</v>
      </c>
      <c r="D418" s="101"/>
      <c r="E418" s="101"/>
      <c r="F418" s="2"/>
    </row>
    <row r="419" spans="2:6" ht="15" hidden="1" customHeight="1" x14ac:dyDescent="0.25">
      <c r="B419" s="1"/>
      <c r="C419" s="104" t="s">
        <v>38</v>
      </c>
      <c r="D419" s="107" t="str">
        <f>IF(I.Facility.ComplianceYear="","Compliance year",I.Facility.ComplianceYear)</f>
        <v>Compliance year</v>
      </c>
      <c r="E419" s="103" t="s">
        <v>39</v>
      </c>
      <c r="F419" s="2"/>
    </row>
    <row r="420" spans="2:6" ht="15" hidden="1" customHeight="1" x14ac:dyDescent="0.25">
      <c r="B420" s="1"/>
      <c r="C420" s="105" t="s">
        <v>105</v>
      </c>
      <c r="D420" s="108"/>
      <c r="E420" s="14"/>
      <c r="F420" s="2"/>
    </row>
    <row r="421" spans="2:6" ht="15" hidden="1" customHeight="1" x14ac:dyDescent="0.25">
      <c r="B421" s="1"/>
      <c r="C421" s="101"/>
      <c r="D421" s="101"/>
      <c r="E421" s="101"/>
      <c r="F421" s="2"/>
    </row>
    <row r="422" spans="2:6" ht="15" hidden="1" customHeight="1" x14ac:dyDescent="0.25">
      <c r="B422" s="1"/>
      <c r="C422" s="101" t="s">
        <v>40</v>
      </c>
      <c r="D422" s="101"/>
      <c r="E422" s="101"/>
      <c r="F422" s="2"/>
    </row>
    <row r="423" spans="2:6" ht="15" hidden="1" customHeight="1" x14ac:dyDescent="0.25">
      <c r="B423" s="1"/>
      <c r="C423" s="104" t="s">
        <v>38</v>
      </c>
      <c r="D423" s="107" t="str">
        <f>IF(I.Facility.ComplianceYear="","Compliance year",I.Facility.ComplianceYear)</f>
        <v>Compliance year</v>
      </c>
      <c r="E423" s="103" t="s">
        <v>39</v>
      </c>
      <c r="F423" s="2"/>
    </row>
    <row r="424" spans="2:6" ht="15" hidden="1" customHeight="1" x14ac:dyDescent="0.35">
      <c r="B424" s="1"/>
      <c r="C424" s="105" t="s">
        <v>49</v>
      </c>
      <c r="D424" s="108"/>
      <c r="E424" s="110" t="s">
        <v>1660</v>
      </c>
      <c r="F424" s="2"/>
    </row>
    <row r="425" spans="2:6" ht="15" hidden="1" customHeight="1" x14ac:dyDescent="0.35">
      <c r="B425" s="1"/>
      <c r="C425" s="105" t="s">
        <v>50</v>
      </c>
      <c r="D425" s="108"/>
      <c r="E425" s="110" t="s">
        <v>1661</v>
      </c>
      <c r="F425" s="2"/>
    </row>
    <row r="426" spans="2:6" ht="15" hidden="1" customHeight="1" x14ac:dyDescent="0.35">
      <c r="B426" s="1"/>
      <c r="C426" s="105" t="s">
        <v>51</v>
      </c>
      <c r="D426" s="108"/>
      <c r="E426" s="110" t="s">
        <v>1662</v>
      </c>
      <c r="F426" s="2"/>
    </row>
    <row r="427" spans="2:6" ht="15" hidden="1" customHeight="1" x14ac:dyDescent="0.25">
      <c r="B427" s="1"/>
      <c r="C427" s="101"/>
      <c r="D427" s="101"/>
      <c r="E427" s="101"/>
      <c r="F427" s="2"/>
    </row>
    <row r="428" spans="2:6" ht="15" hidden="1" customHeight="1" x14ac:dyDescent="0.25">
      <c r="B428" s="1"/>
      <c r="C428" s="101" t="s">
        <v>41</v>
      </c>
      <c r="D428" s="101"/>
      <c r="E428" s="101"/>
      <c r="F428" s="2"/>
    </row>
    <row r="429" spans="2:6" ht="15" hidden="1" customHeight="1" x14ac:dyDescent="0.25">
      <c r="B429" s="1"/>
      <c r="C429" s="104" t="s">
        <v>38</v>
      </c>
      <c r="D429" s="107" t="str">
        <f>IF(I.Facility.ComplianceYear="","Compliance year",I.Facility.ComplianceYear)</f>
        <v>Compliance year</v>
      </c>
      <c r="E429" s="103" t="s">
        <v>39</v>
      </c>
      <c r="F429" s="2"/>
    </row>
    <row r="430" spans="2:6" ht="15" hidden="1" customHeight="1" x14ac:dyDescent="0.35">
      <c r="B430" s="1"/>
      <c r="C430" s="105" t="s">
        <v>49</v>
      </c>
      <c r="D430" s="108"/>
      <c r="E430" s="110" t="s">
        <v>1660</v>
      </c>
      <c r="F430" s="2"/>
    </row>
    <row r="431" spans="2:6" ht="15" hidden="1" customHeight="1" x14ac:dyDescent="0.35">
      <c r="B431" s="1"/>
      <c r="C431" s="105" t="s">
        <v>50</v>
      </c>
      <c r="D431" s="108"/>
      <c r="E431" s="110" t="s">
        <v>1661</v>
      </c>
      <c r="F431" s="2"/>
    </row>
    <row r="432" spans="2:6" ht="15" hidden="1" customHeight="1" x14ac:dyDescent="0.35">
      <c r="B432" s="1"/>
      <c r="C432" s="105" t="s">
        <v>51</v>
      </c>
      <c r="D432" s="108"/>
      <c r="E432" s="110" t="s">
        <v>1662</v>
      </c>
      <c r="F432" s="2"/>
    </row>
    <row r="433" spans="2:6" ht="15" hidden="1" customHeight="1" x14ac:dyDescent="0.35">
      <c r="B433" s="1"/>
      <c r="C433" s="105" t="s">
        <v>52</v>
      </c>
      <c r="D433" s="108"/>
      <c r="E433" s="110" t="s">
        <v>1663</v>
      </c>
      <c r="F433" s="2"/>
    </row>
    <row r="434" spans="2:6" ht="15" hidden="1" customHeight="1" x14ac:dyDescent="0.35">
      <c r="B434" s="1"/>
      <c r="C434" s="105" t="s">
        <v>53</v>
      </c>
      <c r="D434" s="108"/>
      <c r="E434" s="110" t="s">
        <v>1664</v>
      </c>
      <c r="F434" s="2"/>
    </row>
    <row r="435" spans="2:6" ht="15" hidden="1" customHeight="1" x14ac:dyDescent="0.35">
      <c r="B435" s="1"/>
      <c r="C435" s="105" t="s">
        <v>54</v>
      </c>
      <c r="D435" s="108"/>
      <c r="E435" s="110" t="s">
        <v>1665</v>
      </c>
      <c r="F435" s="2"/>
    </row>
    <row r="436" spans="2:6" ht="15" hidden="1" customHeight="1" x14ac:dyDescent="0.35">
      <c r="B436" s="1"/>
      <c r="C436" s="105" t="s">
        <v>55</v>
      </c>
      <c r="D436" s="108"/>
      <c r="E436" s="110" t="s">
        <v>1666</v>
      </c>
      <c r="F436" s="2"/>
    </row>
    <row r="437" spans="2:6" ht="15" hidden="1" customHeight="1" x14ac:dyDescent="0.35">
      <c r="B437" s="1"/>
      <c r="C437" s="105" t="s">
        <v>56</v>
      </c>
      <c r="D437" s="108"/>
      <c r="E437" s="110" t="s">
        <v>1667</v>
      </c>
      <c r="F437" s="2"/>
    </row>
    <row r="438" spans="2:6" ht="15" hidden="1" customHeight="1" x14ac:dyDescent="0.35">
      <c r="B438" s="1"/>
      <c r="C438" s="105" t="s">
        <v>57</v>
      </c>
      <c r="D438" s="108"/>
      <c r="E438" s="110" t="s">
        <v>1668</v>
      </c>
      <c r="F438" s="2"/>
    </row>
    <row r="439" spans="2:6" ht="15" hidden="1" customHeight="1" x14ac:dyDescent="0.35">
      <c r="B439" s="1"/>
      <c r="C439" s="105" t="s">
        <v>58</v>
      </c>
      <c r="D439" s="108"/>
      <c r="E439" s="110" t="s">
        <v>1669</v>
      </c>
      <c r="F439" s="2"/>
    </row>
    <row r="440" spans="2:6" ht="15" hidden="1" customHeight="1" x14ac:dyDescent="0.35">
      <c r="B440" s="1"/>
      <c r="C440" s="105" t="s">
        <v>59</v>
      </c>
      <c r="D440" s="108"/>
      <c r="E440" s="110" t="s">
        <v>1670</v>
      </c>
      <c r="F440" s="2"/>
    </row>
    <row r="441" spans="2:6" ht="15" hidden="1" customHeight="1" x14ac:dyDescent="0.35">
      <c r="B441" s="1"/>
      <c r="C441" s="105" t="s">
        <v>60</v>
      </c>
      <c r="D441" s="108"/>
      <c r="E441" s="110" t="s">
        <v>1671</v>
      </c>
      <c r="F441" s="2"/>
    </row>
    <row r="442" spans="2:6" ht="15" hidden="1" customHeight="1" x14ac:dyDescent="0.35">
      <c r="B442" s="1"/>
      <c r="C442" s="105" t="s">
        <v>61</v>
      </c>
      <c r="D442" s="108"/>
      <c r="E442" s="110" t="s">
        <v>1672</v>
      </c>
      <c r="F442" s="2"/>
    </row>
    <row r="443" spans="2:6" ht="15" hidden="1" customHeight="1" x14ac:dyDescent="0.35">
      <c r="B443" s="1"/>
      <c r="C443" s="105" t="s">
        <v>62</v>
      </c>
      <c r="D443" s="108"/>
      <c r="E443" s="110" t="s">
        <v>1673</v>
      </c>
      <c r="F443" s="2"/>
    </row>
    <row r="444" spans="2:6" ht="15" hidden="1" customHeight="1" x14ac:dyDescent="0.35">
      <c r="B444" s="1"/>
      <c r="C444" s="105" t="s">
        <v>63</v>
      </c>
      <c r="D444" s="108"/>
      <c r="E444" s="110" t="s">
        <v>1674</v>
      </c>
      <c r="F444" s="2"/>
    </row>
    <row r="445" spans="2:6" ht="15" hidden="1" customHeight="1" x14ac:dyDescent="0.35">
      <c r="B445" s="1"/>
      <c r="C445" s="105" t="s">
        <v>64</v>
      </c>
      <c r="D445" s="108"/>
      <c r="E445" s="110" t="s">
        <v>1675</v>
      </c>
      <c r="F445" s="2"/>
    </row>
    <row r="446" spans="2:6" ht="15" hidden="1" customHeight="1" x14ac:dyDescent="0.35">
      <c r="B446" s="1"/>
      <c r="C446" s="105" t="s">
        <v>65</v>
      </c>
      <c r="D446" s="108"/>
      <c r="E446" s="110" t="s">
        <v>1676</v>
      </c>
      <c r="F446" s="2"/>
    </row>
    <row r="447" spans="2:6" ht="15" hidden="1" customHeight="1" x14ac:dyDescent="0.35">
      <c r="B447" s="1"/>
      <c r="C447" s="105" t="s">
        <v>66</v>
      </c>
      <c r="D447" s="108"/>
      <c r="E447" s="110" t="s">
        <v>1677</v>
      </c>
      <c r="F447" s="2"/>
    </row>
    <row r="448" spans="2:6" ht="15" hidden="1" customHeight="1" x14ac:dyDescent="0.35">
      <c r="B448" s="1"/>
      <c r="C448" s="105" t="s">
        <v>67</v>
      </c>
      <c r="D448" s="108"/>
      <c r="E448" s="110" t="s">
        <v>1678</v>
      </c>
      <c r="F448" s="2"/>
    </row>
    <row r="449" spans="2:6" ht="15" hidden="1" customHeight="1" x14ac:dyDescent="0.35">
      <c r="B449" s="1"/>
      <c r="C449" s="105" t="s">
        <v>68</v>
      </c>
      <c r="D449" s="108"/>
      <c r="E449" s="110" t="s">
        <v>1679</v>
      </c>
      <c r="F449" s="2"/>
    </row>
    <row r="450" spans="2:6" ht="15" hidden="1" customHeight="1" x14ac:dyDescent="0.35">
      <c r="B450" s="1"/>
      <c r="C450" s="105" t="s">
        <v>69</v>
      </c>
      <c r="D450" s="108"/>
      <c r="E450" s="110" t="s">
        <v>1680</v>
      </c>
      <c r="F450" s="2"/>
    </row>
    <row r="451" spans="2:6" ht="15" hidden="1" customHeight="1" x14ac:dyDescent="0.35">
      <c r="B451" s="1"/>
      <c r="C451" s="105" t="s">
        <v>70</v>
      </c>
      <c r="D451" s="108"/>
      <c r="E451" s="110" t="s">
        <v>1681</v>
      </c>
      <c r="F451" s="2"/>
    </row>
    <row r="452" spans="2:6" ht="15" hidden="1" customHeight="1" x14ac:dyDescent="0.35">
      <c r="B452" s="1"/>
      <c r="C452" s="105" t="s">
        <v>71</v>
      </c>
      <c r="D452" s="108"/>
      <c r="E452" s="110" t="s">
        <v>1682</v>
      </c>
      <c r="F452" s="2"/>
    </row>
    <row r="453" spans="2:6" ht="15" hidden="1" customHeight="1" x14ac:dyDescent="0.35">
      <c r="B453" s="1"/>
      <c r="C453" s="105" t="s">
        <v>72</v>
      </c>
      <c r="D453" s="108"/>
      <c r="E453" s="110" t="s">
        <v>1683</v>
      </c>
      <c r="F453" s="2"/>
    </row>
    <row r="454" spans="2:6" ht="15" hidden="1" customHeight="1" x14ac:dyDescent="0.25">
      <c r="B454" s="1"/>
      <c r="C454" s="101"/>
      <c r="D454" s="101"/>
      <c r="E454" s="101"/>
      <c r="F454" s="2"/>
    </row>
    <row r="455" spans="2:6" ht="15" hidden="1" customHeight="1" x14ac:dyDescent="0.25">
      <c r="B455" s="1"/>
      <c r="C455" s="101" t="s">
        <v>42</v>
      </c>
      <c r="D455" s="101"/>
      <c r="E455" s="101"/>
      <c r="F455" s="2"/>
    </row>
    <row r="456" spans="2:6" ht="15" hidden="1" customHeight="1" x14ac:dyDescent="0.25">
      <c r="B456" s="1"/>
      <c r="C456" s="104" t="s">
        <v>38</v>
      </c>
      <c r="D456" s="107" t="str">
        <f>IF(I.Facility.ComplianceYear="","Compliance year",I.Facility.ComplianceYear)</f>
        <v>Compliance year</v>
      </c>
      <c r="E456" s="103" t="s">
        <v>39</v>
      </c>
      <c r="F456" s="2"/>
    </row>
    <row r="457" spans="2:6" ht="15" hidden="1" customHeight="1" x14ac:dyDescent="0.35">
      <c r="B457" s="1"/>
      <c r="C457" s="105" t="s">
        <v>52</v>
      </c>
      <c r="D457" s="108"/>
      <c r="E457" s="110" t="s">
        <v>1663</v>
      </c>
      <c r="F457" s="2"/>
    </row>
    <row r="458" spans="2:6" ht="15" hidden="1" customHeight="1" x14ac:dyDescent="0.35">
      <c r="B458" s="1"/>
      <c r="C458" s="105" t="s">
        <v>53</v>
      </c>
      <c r="D458" s="108"/>
      <c r="E458" s="110" t="s">
        <v>1664</v>
      </c>
      <c r="F458" s="2"/>
    </row>
    <row r="459" spans="2:6" ht="15" hidden="1" customHeight="1" x14ac:dyDescent="0.35">
      <c r="B459" s="1"/>
      <c r="C459" s="105" t="s">
        <v>54</v>
      </c>
      <c r="D459" s="108"/>
      <c r="E459" s="110" t="s">
        <v>1665</v>
      </c>
      <c r="F459" s="2"/>
    </row>
    <row r="460" spans="2:6" ht="15" hidden="1" customHeight="1" x14ac:dyDescent="0.35">
      <c r="B460" s="1"/>
      <c r="C460" s="105" t="s">
        <v>55</v>
      </c>
      <c r="D460" s="108"/>
      <c r="E460" s="110" t="s">
        <v>1666</v>
      </c>
      <c r="F460" s="2"/>
    </row>
    <row r="461" spans="2:6" ht="15" hidden="1" customHeight="1" x14ac:dyDescent="0.35">
      <c r="B461" s="1"/>
      <c r="C461" s="105" t="s">
        <v>56</v>
      </c>
      <c r="D461" s="108"/>
      <c r="E461" s="110" t="s">
        <v>1667</v>
      </c>
      <c r="F461" s="2"/>
    </row>
    <row r="462" spans="2:6" ht="15" hidden="1" customHeight="1" x14ac:dyDescent="0.35">
      <c r="B462" s="1"/>
      <c r="C462" s="105" t="s">
        <v>57</v>
      </c>
      <c r="D462" s="108"/>
      <c r="E462" s="110" t="s">
        <v>1668</v>
      </c>
      <c r="F462" s="2"/>
    </row>
    <row r="463" spans="2:6" ht="15" hidden="1" customHeight="1" x14ac:dyDescent="0.35">
      <c r="B463" s="1"/>
      <c r="C463" s="105" t="s">
        <v>58</v>
      </c>
      <c r="D463" s="108"/>
      <c r="E463" s="110" t="s">
        <v>1669</v>
      </c>
      <c r="F463" s="2"/>
    </row>
    <row r="464" spans="2:6" ht="15" hidden="1" customHeight="1" x14ac:dyDescent="0.35">
      <c r="B464" s="1"/>
      <c r="C464" s="105" t="s">
        <v>59</v>
      </c>
      <c r="D464" s="108"/>
      <c r="E464" s="110" t="s">
        <v>1670</v>
      </c>
      <c r="F464" s="2"/>
    </row>
    <row r="465" spans="2:6" ht="15" hidden="1" customHeight="1" x14ac:dyDescent="0.35">
      <c r="B465" s="1"/>
      <c r="C465" s="105" t="s">
        <v>60</v>
      </c>
      <c r="D465" s="108"/>
      <c r="E465" s="110" t="s">
        <v>1671</v>
      </c>
      <c r="F465" s="2"/>
    </row>
    <row r="466" spans="2:6" ht="15" hidden="1" customHeight="1" x14ac:dyDescent="0.35">
      <c r="B466" s="1"/>
      <c r="C466" s="105" t="s">
        <v>61</v>
      </c>
      <c r="D466" s="108"/>
      <c r="E466" s="110" t="s">
        <v>1672</v>
      </c>
      <c r="F466" s="2"/>
    </row>
    <row r="467" spans="2:6" ht="15" hidden="1" customHeight="1" x14ac:dyDescent="0.35">
      <c r="B467" s="1"/>
      <c r="C467" s="105" t="s">
        <v>62</v>
      </c>
      <c r="D467" s="108"/>
      <c r="E467" s="110" t="s">
        <v>1673</v>
      </c>
      <c r="F467" s="2"/>
    </row>
    <row r="468" spans="2:6" ht="15" hidden="1" customHeight="1" x14ac:dyDescent="0.35">
      <c r="B468" s="1"/>
      <c r="C468" s="105" t="s">
        <v>63</v>
      </c>
      <c r="D468" s="108"/>
      <c r="E468" s="110" t="s">
        <v>1674</v>
      </c>
      <c r="F468" s="2"/>
    </row>
    <row r="469" spans="2:6" ht="15" hidden="1" customHeight="1" x14ac:dyDescent="0.35">
      <c r="B469" s="1"/>
      <c r="C469" s="105" t="s">
        <v>64</v>
      </c>
      <c r="D469" s="108"/>
      <c r="E469" s="110" t="s">
        <v>1675</v>
      </c>
      <c r="F469" s="2"/>
    </row>
    <row r="470" spans="2:6" ht="15" hidden="1" customHeight="1" x14ac:dyDescent="0.35">
      <c r="B470" s="1"/>
      <c r="C470" s="105" t="s">
        <v>65</v>
      </c>
      <c r="D470" s="108"/>
      <c r="E470" s="110" t="s">
        <v>1676</v>
      </c>
      <c r="F470" s="2"/>
    </row>
    <row r="471" spans="2:6" ht="15" hidden="1" customHeight="1" x14ac:dyDescent="0.35">
      <c r="B471" s="1"/>
      <c r="C471" s="105" t="s">
        <v>66</v>
      </c>
      <c r="D471" s="108"/>
      <c r="E471" s="110" t="s">
        <v>1677</v>
      </c>
      <c r="F471" s="2"/>
    </row>
    <row r="472" spans="2:6" ht="15" hidden="1" customHeight="1" x14ac:dyDescent="0.35">
      <c r="B472" s="1"/>
      <c r="C472" s="105" t="s">
        <v>67</v>
      </c>
      <c r="D472" s="108"/>
      <c r="E472" s="110" t="s">
        <v>1678</v>
      </c>
      <c r="F472" s="2"/>
    </row>
    <row r="473" spans="2:6" ht="15" hidden="1" customHeight="1" x14ac:dyDescent="0.35">
      <c r="B473" s="1"/>
      <c r="C473" s="105" t="s">
        <v>68</v>
      </c>
      <c r="D473" s="108"/>
      <c r="E473" s="110" t="s">
        <v>1679</v>
      </c>
      <c r="F473" s="2"/>
    </row>
    <row r="474" spans="2:6" ht="15" hidden="1" customHeight="1" x14ac:dyDescent="0.35">
      <c r="B474" s="1"/>
      <c r="C474" s="105" t="s">
        <v>69</v>
      </c>
      <c r="D474" s="108"/>
      <c r="E474" s="110" t="s">
        <v>1680</v>
      </c>
      <c r="F474" s="2"/>
    </row>
    <row r="475" spans="2:6" ht="15" hidden="1" customHeight="1" x14ac:dyDescent="0.35">
      <c r="B475" s="1"/>
      <c r="C475" s="105" t="s">
        <v>70</v>
      </c>
      <c r="D475" s="108"/>
      <c r="E475" s="110" t="s">
        <v>1681</v>
      </c>
      <c r="F475" s="2"/>
    </row>
    <row r="476" spans="2:6" ht="15" hidden="1" customHeight="1" x14ac:dyDescent="0.35">
      <c r="B476" s="1"/>
      <c r="C476" s="105" t="s">
        <v>71</v>
      </c>
      <c r="D476" s="108"/>
      <c r="E476" s="110" t="s">
        <v>1682</v>
      </c>
      <c r="F476" s="2"/>
    </row>
    <row r="477" spans="2:6" ht="15" hidden="1" customHeight="1" x14ac:dyDescent="0.35">
      <c r="B477" s="1"/>
      <c r="C477" s="105" t="s">
        <v>72</v>
      </c>
      <c r="D477" s="108"/>
      <c r="E477" s="110" t="s">
        <v>1683</v>
      </c>
      <c r="F477" s="2"/>
    </row>
    <row r="478" spans="2:6" ht="15" hidden="1" customHeight="1" x14ac:dyDescent="0.25">
      <c r="B478" s="1"/>
      <c r="C478" s="101"/>
      <c r="D478" s="101"/>
      <c r="E478" s="101"/>
      <c r="F478" s="2"/>
    </row>
    <row r="479" spans="2:6" ht="15" hidden="1" customHeight="1" x14ac:dyDescent="0.25">
      <c r="B479" s="1"/>
      <c r="C479" s="101" t="s">
        <v>43</v>
      </c>
      <c r="D479" s="101"/>
      <c r="E479" s="101"/>
      <c r="F479" s="2"/>
    </row>
    <row r="480" spans="2:6" ht="15" hidden="1" customHeight="1" x14ac:dyDescent="0.25">
      <c r="B480" s="1"/>
      <c r="C480" s="104" t="s">
        <v>38</v>
      </c>
      <c r="D480" s="107" t="str">
        <f>IF(I.Facility.ComplianceYear="","Compliance year",I.Facility.ComplianceYear)</f>
        <v>Compliance year</v>
      </c>
      <c r="E480" s="103" t="s">
        <v>39</v>
      </c>
      <c r="F480" s="2"/>
    </row>
    <row r="481" spans="2:6" ht="15" hidden="1" customHeight="1" x14ac:dyDescent="0.35">
      <c r="B481" s="1"/>
      <c r="C481" s="105" t="s">
        <v>49</v>
      </c>
      <c r="D481" s="108"/>
      <c r="E481" s="110" t="s">
        <v>1660</v>
      </c>
      <c r="F481" s="2"/>
    </row>
    <row r="482" spans="2:6" ht="15" hidden="1" customHeight="1" x14ac:dyDescent="0.35">
      <c r="B482" s="1"/>
      <c r="C482" s="105" t="s">
        <v>50</v>
      </c>
      <c r="D482" s="108"/>
      <c r="E482" s="110" t="s">
        <v>1661</v>
      </c>
      <c r="F482" s="2"/>
    </row>
    <row r="483" spans="2:6" ht="15" hidden="1" customHeight="1" x14ac:dyDescent="0.35">
      <c r="B483" s="1"/>
      <c r="C483" s="105" t="s">
        <v>51</v>
      </c>
      <c r="D483" s="108"/>
      <c r="E483" s="110" t="s">
        <v>1662</v>
      </c>
      <c r="F483" s="2"/>
    </row>
    <row r="484" spans="2:6" ht="15" hidden="1" customHeight="1" x14ac:dyDescent="0.25">
      <c r="B484" s="1"/>
      <c r="C484" s="101"/>
      <c r="D484" s="101"/>
      <c r="E484" s="101"/>
      <c r="F484" s="2"/>
    </row>
    <row r="485" spans="2:6" ht="15" hidden="1" customHeight="1" x14ac:dyDescent="0.25">
      <c r="B485" s="1"/>
      <c r="C485" s="101" t="s">
        <v>44</v>
      </c>
      <c r="D485" s="101"/>
      <c r="E485" s="101"/>
      <c r="F485" s="2"/>
    </row>
    <row r="486" spans="2:6" ht="15" hidden="1" customHeight="1" x14ac:dyDescent="0.25">
      <c r="B486" s="1"/>
      <c r="C486" s="104" t="s">
        <v>38</v>
      </c>
      <c r="D486" s="107" t="str">
        <f>IF(I.Facility.ComplianceYear="","Compliance year",I.Facility.ComplianceYear)</f>
        <v>Compliance year</v>
      </c>
      <c r="E486" s="103" t="s">
        <v>39</v>
      </c>
      <c r="F486" s="2"/>
    </row>
    <row r="487" spans="2:6" ht="15" hidden="1" customHeight="1" x14ac:dyDescent="0.35">
      <c r="B487" s="1"/>
      <c r="C487" s="105" t="s">
        <v>49</v>
      </c>
      <c r="D487" s="108"/>
      <c r="E487" s="110" t="s">
        <v>1660</v>
      </c>
      <c r="F487" s="2"/>
    </row>
    <row r="488" spans="2:6" ht="15" hidden="1" customHeight="1" x14ac:dyDescent="0.35">
      <c r="B488" s="1"/>
      <c r="C488" s="105" t="s">
        <v>50</v>
      </c>
      <c r="D488" s="108"/>
      <c r="E488" s="110" t="s">
        <v>1661</v>
      </c>
      <c r="F488" s="2"/>
    </row>
    <row r="489" spans="2:6" ht="15" hidden="1" customHeight="1" x14ac:dyDescent="0.35">
      <c r="B489" s="1"/>
      <c r="C489" s="105" t="s">
        <v>51</v>
      </c>
      <c r="D489" s="108"/>
      <c r="E489" s="110" t="s">
        <v>1662</v>
      </c>
      <c r="F489" s="2"/>
    </row>
    <row r="490" spans="2:6" ht="15" hidden="1" customHeight="1" x14ac:dyDescent="0.25">
      <c r="B490" s="1"/>
      <c r="C490" s="101"/>
      <c r="D490" s="101"/>
      <c r="E490" s="101"/>
      <c r="F490" s="2"/>
    </row>
    <row r="491" spans="2:6" ht="15" hidden="1" customHeight="1" x14ac:dyDescent="0.25">
      <c r="B491" s="1"/>
      <c r="C491" s="101" t="s">
        <v>45</v>
      </c>
      <c r="D491" s="101"/>
      <c r="E491" s="101"/>
      <c r="F491" s="2"/>
    </row>
    <row r="492" spans="2:6" ht="15" hidden="1" customHeight="1" x14ac:dyDescent="0.25">
      <c r="B492" s="1"/>
      <c r="C492" s="104" t="s">
        <v>38</v>
      </c>
      <c r="D492" s="107" t="str">
        <f>IF(I.Facility.ComplianceYear="","Compliance year",I.Facility.ComplianceYear)</f>
        <v>Compliance year</v>
      </c>
      <c r="E492" s="103" t="s">
        <v>39</v>
      </c>
      <c r="F492" s="2"/>
    </row>
    <row r="493" spans="2:6" ht="15" hidden="1" customHeight="1" x14ac:dyDescent="0.35">
      <c r="B493" s="1"/>
      <c r="C493" s="105" t="s">
        <v>49</v>
      </c>
      <c r="D493" s="108"/>
      <c r="E493" s="110" t="s">
        <v>1660</v>
      </c>
      <c r="F493" s="2"/>
    </row>
    <row r="494" spans="2:6" ht="15" hidden="1" customHeight="1" x14ac:dyDescent="0.35">
      <c r="B494" s="1"/>
      <c r="C494" s="105" t="s">
        <v>50</v>
      </c>
      <c r="D494" s="108"/>
      <c r="E494" s="110" t="s">
        <v>1661</v>
      </c>
      <c r="F494" s="2"/>
    </row>
    <row r="495" spans="2:6" ht="15" hidden="1" customHeight="1" x14ac:dyDescent="0.35">
      <c r="B495" s="1"/>
      <c r="C495" s="105" t="s">
        <v>51</v>
      </c>
      <c r="D495" s="108"/>
      <c r="E495" s="110" t="s">
        <v>1662</v>
      </c>
      <c r="F495" s="2"/>
    </row>
    <row r="496" spans="2:6" ht="15" hidden="1" customHeight="1" x14ac:dyDescent="0.25">
      <c r="B496" s="1"/>
      <c r="C496" s="101"/>
      <c r="D496" s="101"/>
      <c r="E496" s="101"/>
      <c r="F496" s="2"/>
    </row>
    <row r="497" spans="2:6" ht="15" hidden="1" customHeight="1" x14ac:dyDescent="0.25">
      <c r="B497" s="1"/>
      <c r="C497" s="101" t="s">
        <v>46</v>
      </c>
      <c r="D497" s="101"/>
      <c r="E497" s="101"/>
      <c r="F497" s="2"/>
    </row>
    <row r="498" spans="2:6" ht="15" hidden="1" customHeight="1" x14ac:dyDescent="0.25">
      <c r="B498" s="1"/>
      <c r="C498" s="104" t="s">
        <v>38</v>
      </c>
      <c r="D498" s="107" t="str">
        <f>IF(I.Facility.ComplianceYear="","Compliance year",I.Facility.ComplianceYear)</f>
        <v>Compliance year</v>
      </c>
      <c r="E498" s="103" t="s">
        <v>39</v>
      </c>
      <c r="F498" s="2"/>
    </row>
    <row r="499" spans="2:6" ht="15" hidden="1" customHeight="1" x14ac:dyDescent="0.35">
      <c r="B499" s="1"/>
      <c r="C499" s="105" t="s">
        <v>49</v>
      </c>
      <c r="D499" s="108"/>
      <c r="E499" s="110" t="s">
        <v>1660</v>
      </c>
      <c r="F499" s="2"/>
    </row>
    <row r="500" spans="2:6" ht="15" hidden="1" customHeight="1" x14ac:dyDescent="0.35">
      <c r="B500" s="1"/>
      <c r="C500" s="105" t="s">
        <v>50</v>
      </c>
      <c r="D500" s="108"/>
      <c r="E500" s="110" t="s">
        <v>1661</v>
      </c>
      <c r="F500" s="2"/>
    </row>
    <row r="501" spans="2:6" ht="15" hidden="1" customHeight="1" x14ac:dyDescent="0.35">
      <c r="B501" s="1"/>
      <c r="C501" s="105" t="s">
        <v>51</v>
      </c>
      <c r="D501" s="108"/>
      <c r="E501" s="110" t="s">
        <v>1662</v>
      </c>
      <c r="F501" s="2"/>
    </row>
    <row r="502" spans="2:6" ht="15" hidden="1" customHeight="1" x14ac:dyDescent="0.25">
      <c r="B502" s="1"/>
      <c r="C502" s="101"/>
      <c r="D502" s="101"/>
      <c r="E502" s="101"/>
      <c r="F502" s="2"/>
    </row>
    <row r="503" spans="2:6" ht="15" hidden="1" customHeight="1" x14ac:dyDescent="0.25">
      <c r="B503" s="1"/>
      <c r="C503" s="101" t="s">
        <v>47</v>
      </c>
      <c r="D503" s="101"/>
      <c r="E503" s="101"/>
      <c r="F503" s="2"/>
    </row>
    <row r="504" spans="2:6" ht="15" hidden="1" customHeight="1" x14ac:dyDescent="0.25">
      <c r="B504" s="1"/>
      <c r="C504" s="104" t="s">
        <v>38</v>
      </c>
      <c r="D504" s="107" t="str">
        <f>IF(I.Facility.ComplianceYear="","Compliance year",I.Facility.ComplianceYear)</f>
        <v>Compliance year</v>
      </c>
      <c r="E504" s="103" t="s">
        <v>39</v>
      </c>
      <c r="F504" s="2"/>
    </row>
    <row r="505" spans="2:6" ht="15" hidden="1" customHeight="1" x14ac:dyDescent="0.35">
      <c r="B505" s="1"/>
      <c r="C505" s="105" t="s">
        <v>49</v>
      </c>
      <c r="D505" s="108"/>
      <c r="E505" s="110" t="s">
        <v>1660</v>
      </c>
      <c r="F505" s="2"/>
    </row>
    <row r="506" spans="2:6" ht="15" hidden="1" customHeight="1" x14ac:dyDescent="0.35">
      <c r="B506" s="1"/>
      <c r="C506" s="105" t="s">
        <v>50</v>
      </c>
      <c r="D506" s="108"/>
      <c r="E506" s="110" t="s">
        <v>1661</v>
      </c>
      <c r="F506" s="2"/>
    </row>
    <row r="507" spans="2:6" ht="15" hidden="1" customHeight="1" x14ac:dyDescent="0.35">
      <c r="B507" s="1"/>
      <c r="C507" s="105" t="s">
        <v>51</v>
      </c>
      <c r="D507" s="108"/>
      <c r="E507" s="110" t="s">
        <v>1662</v>
      </c>
      <c r="F507" s="2"/>
    </row>
    <row r="508" spans="2:6" ht="15" hidden="1" customHeight="1" x14ac:dyDescent="0.25">
      <c r="B508" s="1"/>
      <c r="C508" s="101"/>
      <c r="D508" s="101"/>
      <c r="E508" s="101"/>
      <c r="F508" s="2"/>
    </row>
    <row r="509" spans="2:6" ht="15" hidden="1" customHeight="1" x14ac:dyDescent="0.25">
      <c r="B509" s="1"/>
      <c r="C509" s="101" t="s">
        <v>48</v>
      </c>
      <c r="D509" s="101"/>
      <c r="E509" s="101"/>
      <c r="F509" s="2"/>
    </row>
    <row r="510" spans="2:6" ht="15" hidden="1" customHeight="1" x14ac:dyDescent="0.25">
      <c r="B510" s="1"/>
      <c r="C510" s="104" t="s">
        <v>38</v>
      </c>
      <c r="D510" s="107" t="str">
        <f>IF(I.Facility.ComplianceYear="","Compliance year",I.Facility.ComplianceYear)</f>
        <v>Compliance year</v>
      </c>
      <c r="E510" s="103" t="s">
        <v>39</v>
      </c>
      <c r="F510" s="2"/>
    </row>
    <row r="511" spans="2:6" ht="15" hidden="1" customHeight="1" x14ac:dyDescent="0.35">
      <c r="B511" s="1"/>
      <c r="C511" s="105" t="s">
        <v>49</v>
      </c>
      <c r="D511" s="108"/>
      <c r="E511" s="110" t="s">
        <v>1660</v>
      </c>
      <c r="F511" s="2"/>
    </row>
    <row r="512" spans="2:6" ht="15" hidden="1" customHeight="1" x14ac:dyDescent="0.35">
      <c r="B512" s="1"/>
      <c r="C512" s="105" t="s">
        <v>50</v>
      </c>
      <c r="D512" s="108"/>
      <c r="E512" s="110" t="s">
        <v>1661</v>
      </c>
      <c r="F512" s="2"/>
    </row>
    <row r="513" spans="2:6" ht="15" hidden="1" customHeight="1" x14ac:dyDescent="0.35">
      <c r="B513" s="1"/>
      <c r="C513" s="105" t="s">
        <v>51</v>
      </c>
      <c r="D513" s="108"/>
      <c r="E513" s="110" t="s">
        <v>1662</v>
      </c>
      <c r="F513" s="2"/>
    </row>
    <row r="514" spans="2:6" ht="15" hidden="1" customHeight="1" x14ac:dyDescent="0.25">
      <c r="B514" s="1"/>
      <c r="C514" s="101"/>
      <c r="D514" s="101"/>
      <c r="E514" s="101"/>
      <c r="F514" s="2"/>
    </row>
    <row r="515" spans="2:6" ht="15" customHeight="1" x14ac:dyDescent="0.25">
      <c r="B515" s="1"/>
      <c r="C515" s="113"/>
      <c r="D515" s="101"/>
      <c r="E515" s="101"/>
      <c r="F515" s="2"/>
    </row>
    <row r="516" spans="2:6" ht="15" customHeight="1" x14ac:dyDescent="0.25">
      <c r="B516" s="1"/>
      <c r="C516" s="101"/>
      <c r="D516" s="101"/>
      <c r="E516" s="101"/>
      <c r="F516" s="2"/>
    </row>
    <row r="517" spans="2:6" ht="15" customHeight="1" x14ac:dyDescent="0.25">
      <c r="B517" s="3"/>
      <c r="C517" s="8">
        <f>R.Instructions.VersionNumber</f>
        <v>5</v>
      </c>
      <c r="D517" s="4"/>
      <c r="E517" s="9">
        <f>R.Instructions.VersionDate</f>
        <v>45691</v>
      </c>
      <c r="F517" s="5"/>
    </row>
    <row r="519" spans="2:6" ht="15" customHeight="1" x14ac:dyDescent="0.25">
      <c r="C519" s="127" t="str">
        <f>IFERROR(VLOOKUP("Incomplete",Developer!H544:I883,2,FALSE),"Sheet complete.")</f>
        <v>Enter the amount of commercial product produced for product 1 in the compliance year.</v>
      </c>
      <c r="D519" s="127"/>
      <c r="E519" s="127"/>
    </row>
    <row r="520" spans="2:6" ht="15" customHeight="1" x14ac:dyDescent="0.25">
      <c r="C520" s="127"/>
      <c r="D520" s="127"/>
      <c r="E520" s="127"/>
    </row>
    <row r="521" spans="2:6" ht="15" customHeight="1" x14ac:dyDescent="0.25">
      <c r="C521" s="127"/>
      <c r="D521" s="127"/>
      <c r="E521" s="127"/>
    </row>
  </sheetData>
  <sheetProtection algorithmName="SHA-512" hashValue="x0n9N4x2PdtzzyIosiDpvZgyy8MbyRp+ddpe3jsbklK6HGnfzmqmJMXVaT5g7px5ITOyZplhLe/FhDCKNVzIqQ==" saltValue="TaJPF4nJ9XKv7nPbihUr6Q==" spinCount="100000" sheet="1" objects="1" scenarios="1" selectLockedCells="1"/>
  <mergeCells count="7">
    <mergeCell ref="C519:E521"/>
    <mergeCell ref="C4:E4"/>
    <mergeCell ref="C5:E5"/>
    <mergeCell ref="C107:E107"/>
    <mergeCell ref="C209:E209"/>
    <mergeCell ref="C311:E311"/>
    <mergeCell ref="C413:E413"/>
  </mergeCells>
  <conditionalFormatting sqref="C519">
    <cfRule type="cellIs" dxfId="5" priority="1" stopIfTrue="1" operator="equal">
      <formula>"Sheet complete."</formula>
    </cfRule>
  </conditionalFormatting>
  <printOptions horizontalCentered="1"/>
  <pageMargins left="0.25" right="0.25" top="0.25" bottom="0.25" header="0" footer="0"/>
  <pageSetup scale="85"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C0330-4ACC-461C-9A22-48F029F2EC2F}">
  <sheetPr codeName="Sheet5">
    <tabColor rgb="FF046A38"/>
    <pageSetUpPr fitToPage="1"/>
  </sheetPr>
  <dimension ref="B1:F504"/>
  <sheetViews>
    <sheetView showGridLines="0" showRowColHeaders="0" zoomScaleNormal="100" workbookViewId="0">
      <selection activeCell="D15" sqref="D15"/>
    </sheetView>
  </sheetViews>
  <sheetFormatPr defaultColWidth="9.140625"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32" t="s">
        <v>3</v>
      </c>
      <c r="D4" s="132"/>
      <c r="E4" s="132"/>
      <c r="F4" s="7"/>
    </row>
    <row r="5" spans="2:6" ht="15" customHeight="1" x14ac:dyDescent="0.25">
      <c r="B5" s="1"/>
      <c r="C5" s="101"/>
      <c r="D5" s="101"/>
      <c r="E5" s="101"/>
      <c r="F5" s="2"/>
    </row>
    <row r="6" spans="2:6" ht="15" customHeight="1" x14ac:dyDescent="0.25">
      <c r="B6" s="1"/>
      <c r="C6" s="123" t="s">
        <v>1996</v>
      </c>
      <c r="D6" s="122"/>
      <c r="E6" s="122"/>
      <c r="F6" s="2"/>
    </row>
    <row r="7" spans="2:6" ht="15" customHeight="1" x14ac:dyDescent="0.25">
      <c r="B7" s="1"/>
      <c r="C7" s="124"/>
      <c r="D7" s="124"/>
      <c r="E7" s="124"/>
      <c r="F7" s="2"/>
    </row>
    <row r="8" spans="2:6" ht="20.100000000000001" hidden="1" customHeight="1" x14ac:dyDescent="0.25">
      <c r="B8" s="12"/>
      <c r="C8" s="121" t="s">
        <v>30</v>
      </c>
      <c r="D8" s="121"/>
      <c r="E8" s="121"/>
      <c r="F8" s="13"/>
    </row>
    <row r="9" spans="2:6" ht="15" hidden="1" customHeight="1" x14ac:dyDescent="0.25">
      <c r="B9" s="1"/>
      <c r="C9" s="101"/>
      <c r="D9" s="101"/>
      <c r="E9" s="101"/>
      <c r="F9" s="2"/>
    </row>
    <row r="10" spans="2:6" ht="15" hidden="1" customHeight="1" x14ac:dyDescent="0.25">
      <c r="B10" s="1"/>
      <c r="C10" s="101" t="s">
        <v>29</v>
      </c>
      <c r="D10" s="101"/>
      <c r="E10" s="101"/>
      <c r="F10" s="2"/>
    </row>
    <row r="11" spans="2:6" ht="15" hidden="1" customHeight="1" x14ac:dyDescent="0.25">
      <c r="B11" s="1"/>
      <c r="C11" s="102" t="str">
        <f>IF(I.Product.P1Name="","",I.Product.P1Name)</f>
        <v/>
      </c>
      <c r="D11" s="101"/>
      <c r="E11" s="101"/>
      <c r="F11" s="2"/>
    </row>
    <row r="12" spans="2:6" ht="15" hidden="1" customHeight="1" x14ac:dyDescent="0.25">
      <c r="B12" s="1"/>
      <c r="C12" s="101"/>
      <c r="D12" s="101"/>
      <c r="E12" s="101"/>
      <c r="F12" s="2"/>
    </row>
    <row r="13" spans="2:6" ht="15" hidden="1" customHeight="1" x14ac:dyDescent="0.25">
      <c r="B13" s="1"/>
      <c r="C13" s="101" t="s">
        <v>40</v>
      </c>
      <c r="D13" s="101"/>
      <c r="E13" s="101"/>
      <c r="F13" s="2"/>
    </row>
    <row r="14" spans="2:6" ht="15" hidden="1" customHeight="1" x14ac:dyDescent="0.25">
      <c r="B14" s="1"/>
      <c r="C14" s="104" t="s">
        <v>38</v>
      </c>
      <c r="D14" s="107" t="str">
        <f>IF(I.Facility.ComplianceYear="","Compliance year",I.Facility.ComplianceYear)</f>
        <v>Compliance year</v>
      </c>
      <c r="E14" s="103" t="s">
        <v>39</v>
      </c>
      <c r="F14" s="2"/>
    </row>
    <row r="15" spans="2:6" ht="15" hidden="1" customHeight="1" x14ac:dyDescent="0.35">
      <c r="B15" s="1"/>
      <c r="C15" s="105" t="s">
        <v>49</v>
      </c>
      <c r="D15" s="108"/>
      <c r="E15" s="110" t="s">
        <v>1660</v>
      </c>
      <c r="F15" s="2"/>
    </row>
    <row r="16" spans="2:6" ht="15" hidden="1" customHeight="1" x14ac:dyDescent="0.35">
      <c r="B16" s="1"/>
      <c r="C16" s="105" t="s">
        <v>50</v>
      </c>
      <c r="D16" s="108"/>
      <c r="E16" s="110" t="s">
        <v>1661</v>
      </c>
      <c r="F16" s="2"/>
    </row>
    <row r="17" spans="2:6" ht="15" hidden="1" customHeight="1" x14ac:dyDescent="0.35">
      <c r="B17" s="1"/>
      <c r="C17" s="105" t="s">
        <v>51</v>
      </c>
      <c r="D17" s="108"/>
      <c r="E17" s="110" t="s">
        <v>1662</v>
      </c>
      <c r="F17" s="2"/>
    </row>
    <row r="18" spans="2:6" ht="15" hidden="1" customHeight="1" x14ac:dyDescent="0.25">
      <c r="B18" s="1"/>
      <c r="C18" s="101"/>
      <c r="D18" s="101"/>
      <c r="E18" s="101"/>
      <c r="F18" s="2"/>
    </row>
    <row r="19" spans="2:6" ht="15" hidden="1" customHeight="1" x14ac:dyDescent="0.25">
      <c r="B19" s="1"/>
      <c r="C19" s="101" t="s">
        <v>41</v>
      </c>
      <c r="D19" s="101"/>
      <c r="E19" s="101"/>
      <c r="F19" s="2"/>
    </row>
    <row r="20" spans="2:6" ht="15" hidden="1" customHeight="1" x14ac:dyDescent="0.25">
      <c r="B20" s="1"/>
      <c r="C20" s="104" t="s">
        <v>38</v>
      </c>
      <c r="D20" s="107" t="str">
        <f>IF(I.Facility.ComplianceYear="","Compliance year",I.Facility.ComplianceYear)</f>
        <v>Compliance year</v>
      </c>
      <c r="E20" s="103" t="s">
        <v>39</v>
      </c>
      <c r="F20" s="2"/>
    </row>
    <row r="21" spans="2:6" ht="15" hidden="1" customHeight="1" x14ac:dyDescent="0.35">
      <c r="B21" s="1"/>
      <c r="C21" s="105" t="s">
        <v>49</v>
      </c>
      <c r="D21" s="108"/>
      <c r="E21" s="110" t="s">
        <v>1660</v>
      </c>
      <c r="F21" s="2"/>
    </row>
    <row r="22" spans="2:6" ht="15" hidden="1" customHeight="1" x14ac:dyDescent="0.35">
      <c r="B22" s="1"/>
      <c r="C22" s="105" t="s">
        <v>50</v>
      </c>
      <c r="D22" s="108"/>
      <c r="E22" s="110" t="s">
        <v>1661</v>
      </c>
      <c r="F22" s="2"/>
    </row>
    <row r="23" spans="2:6" ht="15" hidden="1" customHeight="1" x14ac:dyDescent="0.35">
      <c r="B23" s="1"/>
      <c r="C23" s="105" t="s">
        <v>51</v>
      </c>
      <c r="D23" s="108"/>
      <c r="E23" s="110" t="s">
        <v>1662</v>
      </c>
      <c r="F23" s="2"/>
    </row>
    <row r="24" spans="2:6" ht="15" hidden="1" customHeight="1" x14ac:dyDescent="0.35">
      <c r="B24" s="1"/>
      <c r="C24" s="105" t="s">
        <v>52</v>
      </c>
      <c r="D24" s="108"/>
      <c r="E24" s="110" t="s">
        <v>1663</v>
      </c>
      <c r="F24" s="2"/>
    </row>
    <row r="25" spans="2:6" ht="15" hidden="1" customHeight="1" x14ac:dyDescent="0.35">
      <c r="B25" s="1"/>
      <c r="C25" s="105" t="s">
        <v>53</v>
      </c>
      <c r="D25" s="108"/>
      <c r="E25" s="110" t="s">
        <v>1664</v>
      </c>
      <c r="F25" s="2"/>
    </row>
    <row r="26" spans="2:6" ht="15" hidden="1" customHeight="1" x14ac:dyDescent="0.35">
      <c r="B26" s="1"/>
      <c r="C26" s="105" t="s">
        <v>54</v>
      </c>
      <c r="D26" s="108"/>
      <c r="E26" s="110" t="s">
        <v>1665</v>
      </c>
      <c r="F26" s="2"/>
    </row>
    <row r="27" spans="2:6" ht="15" hidden="1" customHeight="1" x14ac:dyDescent="0.35">
      <c r="B27" s="1"/>
      <c r="C27" s="105" t="s">
        <v>55</v>
      </c>
      <c r="D27" s="108"/>
      <c r="E27" s="110" t="s">
        <v>1666</v>
      </c>
      <c r="F27" s="2"/>
    </row>
    <row r="28" spans="2:6" ht="15" hidden="1" customHeight="1" x14ac:dyDescent="0.35">
      <c r="B28" s="1"/>
      <c r="C28" s="105" t="s">
        <v>56</v>
      </c>
      <c r="D28" s="108"/>
      <c r="E28" s="110" t="s">
        <v>1667</v>
      </c>
      <c r="F28" s="2"/>
    </row>
    <row r="29" spans="2:6" ht="15" hidden="1" customHeight="1" x14ac:dyDescent="0.35">
      <c r="B29" s="1"/>
      <c r="C29" s="105" t="s">
        <v>57</v>
      </c>
      <c r="D29" s="108"/>
      <c r="E29" s="110" t="s">
        <v>1668</v>
      </c>
      <c r="F29" s="2"/>
    </row>
    <row r="30" spans="2:6" ht="15" hidden="1" customHeight="1" x14ac:dyDescent="0.35">
      <c r="B30" s="1"/>
      <c r="C30" s="105" t="s">
        <v>58</v>
      </c>
      <c r="D30" s="108"/>
      <c r="E30" s="110" t="s">
        <v>1669</v>
      </c>
      <c r="F30" s="2"/>
    </row>
    <row r="31" spans="2:6" ht="15" hidden="1" customHeight="1" x14ac:dyDescent="0.35">
      <c r="B31" s="1"/>
      <c r="C31" s="105" t="s">
        <v>59</v>
      </c>
      <c r="D31" s="108"/>
      <c r="E31" s="110" t="s">
        <v>1670</v>
      </c>
      <c r="F31" s="2"/>
    </row>
    <row r="32" spans="2:6" ht="15" hidden="1" customHeight="1" x14ac:dyDescent="0.35">
      <c r="B32" s="1"/>
      <c r="C32" s="105" t="s">
        <v>60</v>
      </c>
      <c r="D32" s="108"/>
      <c r="E32" s="110" t="s">
        <v>1671</v>
      </c>
      <c r="F32" s="2"/>
    </row>
    <row r="33" spans="2:6" ht="15" hidden="1" customHeight="1" x14ac:dyDescent="0.35">
      <c r="B33" s="1"/>
      <c r="C33" s="105" t="s">
        <v>61</v>
      </c>
      <c r="D33" s="108"/>
      <c r="E33" s="110" t="s">
        <v>1672</v>
      </c>
      <c r="F33" s="2"/>
    </row>
    <row r="34" spans="2:6" ht="15" hidden="1" customHeight="1" x14ac:dyDescent="0.35">
      <c r="B34" s="1"/>
      <c r="C34" s="105" t="s">
        <v>62</v>
      </c>
      <c r="D34" s="108"/>
      <c r="E34" s="110" t="s">
        <v>1673</v>
      </c>
      <c r="F34" s="2"/>
    </row>
    <row r="35" spans="2:6" ht="15" hidden="1" customHeight="1" x14ac:dyDescent="0.35">
      <c r="B35" s="1"/>
      <c r="C35" s="105" t="s">
        <v>63</v>
      </c>
      <c r="D35" s="108"/>
      <c r="E35" s="110" t="s">
        <v>1674</v>
      </c>
      <c r="F35" s="2"/>
    </row>
    <row r="36" spans="2:6" ht="15" hidden="1" customHeight="1" x14ac:dyDescent="0.35">
      <c r="B36" s="1"/>
      <c r="C36" s="105" t="s">
        <v>64</v>
      </c>
      <c r="D36" s="108"/>
      <c r="E36" s="110" t="s">
        <v>1675</v>
      </c>
      <c r="F36" s="2"/>
    </row>
    <row r="37" spans="2:6" ht="15" hidden="1" customHeight="1" x14ac:dyDescent="0.35">
      <c r="B37" s="1"/>
      <c r="C37" s="105" t="s">
        <v>65</v>
      </c>
      <c r="D37" s="108"/>
      <c r="E37" s="110" t="s">
        <v>1676</v>
      </c>
      <c r="F37" s="2"/>
    </row>
    <row r="38" spans="2:6" ht="15" hidden="1" customHeight="1" x14ac:dyDescent="0.35">
      <c r="B38" s="1"/>
      <c r="C38" s="105" t="s">
        <v>66</v>
      </c>
      <c r="D38" s="108"/>
      <c r="E38" s="110" t="s">
        <v>1677</v>
      </c>
      <c r="F38" s="2"/>
    </row>
    <row r="39" spans="2:6" ht="15" hidden="1" customHeight="1" x14ac:dyDescent="0.35">
      <c r="B39" s="1"/>
      <c r="C39" s="105" t="s">
        <v>67</v>
      </c>
      <c r="D39" s="108"/>
      <c r="E39" s="110" t="s">
        <v>1678</v>
      </c>
      <c r="F39" s="2"/>
    </row>
    <row r="40" spans="2:6" ht="15" hidden="1" customHeight="1" x14ac:dyDescent="0.35">
      <c r="B40" s="1"/>
      <c r="C40" s="105" t="s">
        <v>68</v>
      </c>
      <c r="D40" s="108"/>
      <c r="E40" s="110" t="s">
        <v>1679</v>
      </c>
      <c r="F40" s="2"/>
    </row>
    <row r="41" spans="2:6" ht="15" hidden="1" customHeight="1" x14ac:dyDescent="0.35">
      <c r="B41" s="1"/>
      <c r="C41" s="105" t="s">
        <v>69</v>
      </c>
      <c r="D41" s="108"/>
      <c r="E41" s="110" t="s">
        <v>1680</v>
      </c>
      <c r="F41" s="2"/>
    </row>
    <row r="42" spans="2:6" ht="15" hidden="1" customHeight="1" x14ac:dyDescent="0.35">
      <c r="B42" s="1"/>
      <c r="C42" s="105" t="s">
        <v>70</v>
      </c>
      <c r="D42" s="108"/>
      <c r="E42" s="110" t="s">
        <v>1681</v>
      </c>
      <c r="F42" s="2"/>
    </row>
    <row r="43" spans="2:6" ht="15" hidden="1" customHeight="1" x14ac:dyDescent="0.35">
      <c r="B43" s="1"/>
      <c r="C43" s="105" t="s">
        <v>71</v>
      </c>
      <c r="D43" s="108"/>
      <c r="E43" s="110" t="s">
        <v>1682</v>
      </c>
      <c r="F43" s="2"/>
    </row>
    <row r="44" spans="2:6" ht="15" hidden="1" customHeight="1" x14ac:dyDescent="0.35">
      <c r="B44" s="1"/>
      <c r="C44" s="105" t="s">
        <v>72</v>
      </c>
      <c r="D44" s="108"/>
      <c r="E44" s="110" t="s">
        <v>1683</v>
      </c>
      <c r="F44" s="2"/>
    </row>
    <row r="45" spans="2:6" ht="15" hidden="1" customHeight="1" x14ac:dyDescent="0.25">
      <c r="B45" s="1"/>
      <c r="C45" s="101"/>
      <c r="D45" s="101"/>
      <c r="E45" s="101"/>
      <c r="F45" s="2"/>
    </row>
    <row r="46" spans="2:6" ht="15" hidden="1" customHeight="1" x14ac:dyDescent="0.25">
      <c r="B46" s="1"/>
      <c r="C46" s="101" t="s">
        <v>42</v>
      </c>
      <c r="D46" s="101"/>
      <c r="E46" s="101"/>
      <c r="F46" s="2"/>
    </row>
    <row r="47" spans="2:6" ht="15" hidden="1" customHeight="1" x14ac:dyDescent="0.25">
      <c r="B47" s="1"/>
      <c r="C47" s="104" t="s">
        <v>38</v>
      </c>
      <c r="D47" s="107" t="str">
        <f>IF(I.Facility.ComplianceYear="","Compliance year",I.Facility.ComplianceYear)</f>
        <v>Compliance year</v>
      </c>
      <c r="E47" s="103" t="s">
        <v>39</v>
      </c>
      <c r="F47" s="2"/>
    </row>
    <row r="48" spans="2:6" ht="15" hidden="1" customHeight="1" x14ac:dyDescent="0.35">
      <c r="B48" s="1"/>
      <c r="C48" s="105" t="s">
        <v>52</v>
      </c>
      <c r="D48" s="108"/>
      <c r="E48" s="110" t="s">
        <v>1663</v>
      </c>
      <c r="F48" s="2"/>
    </row>
    <row r="49" spans="2:6" ht="15" hidden="1" customHeight="1" x14ac:dyDescent="0.35">
      <c r="B49" s="1"/>
      <c r="C49" s="105" t="s">
        <v>53</v>
      </c>
      <c r="D49" s="108"/>
      <c r="E49" s="110" t="s">
        <v>1664</v>
      </c>
      <c r="F49" s="2"/>
    </row>
    <row r="50" spans="2:6" ht="15" hidden="1" customHeight="1" x14ac:dyDescent="0.35">
      <c r="B50" s="1"/>
      <c r="C50" s="105" t="s">
        <v>54</v>
      </c>
      <c r="D50" s="108"/>
      <c r="E50" s="110" t="s">
        <v>1665</v>
      </c>
      <c r="F50" s="2"/>
    </row>
    <row r="51" spans="2:6" ht="15" hidden="1" customHeight="1" x14ac:dyDescent="0.35">
      <c r="B51" s="1"/>
      <c r="C51" s="105" t="s">
        <v>55</v>
      </c>
      <c r="D51" s="108"/>
      <c r="E51" s="110" t="s">
        <v>1666</v>
      </c>
      <c r="F51" s="2"/>
    </row>
    <row r="52" spans="2:6" ht="15" hidden="1" customHeight="1" x14ac:dyDescent="0.35">
      <c r="B52" s="1"/>
      <c r="C52" s="105" t="s">
        <v>56</v>
      </c>
      <c r="D52" s="108"/>
      <c r="E52" s="110" t="s">
        <v>1667</v>
      </c>
      <c r="F52" s="2"/>
    </row>
    <row r="53" spans="2:6" ht="15" hidden="1" customHeight="1" x14ac:dyDescent="0.35">
      <c r="B53" s="1"/>
      <c r="C53" s="105" t="s">
        <v>57</v>
      </c>
      <c r="D53" s="108"/>
      <c r="E53" s="110" t="s">
        <v>1668</v>
      </c>
      <c r="F53" s="2"/>
    </row>
    <row r="54" spans="2:6" ht="15" hidden="1" customHeight="1" x14ac:dyDescent="0.35">
      <c r="B54" s="1"/>
      <c r="C54" s="105" t="s">
        <v>58</v>
      </c>
      <c r="D54" s="108"/>
      <c r="E54" s="110" t="s">
        <v>1669</v>
      </c>
      <c r="F54" s="2"/>
    </row>
    <row r="55" spans="2:6" ht="15" hidden="1" customHeight="1" x14ac:dyDescent="0.35">
      <c r="B55" s="1"/>
      <c r="C55" s="105" t="s">
        <v>59</v>
      </c>
      <c r="D55" s="108"/>
      <c r="E55" s="110" t="s">
        <v>1670</v>
      </c>
      <c r="F55" s="2"/>
    </row>
    <row r="56" spans="2:6" ht="15" hidden="1" customHeight="1" x14ac:dyDescent="0.35">
      <c r="B56" s="1"/>
      <c r="C56" s="105" t="s">
        <v>60</v>
      </c>
      <c r="D56" s="108"/>
      <c r="E56" s="110" t="s">
        <v>1671</v>
      </c>
      <c r="F56" s="2"/>
    </row>
    <row r="57" spans="2:6" ht="15" hidden="1" customHeight="1" x14ac:dyDescent="0.35">
      <c r="B57" s="1"/>
      <c r="C57" s="105" t="s">
        <v>61</v>
      </c>
      <c r="D57" s="108"/>
      <c r="E57" s="110" t="s">
        <v>1672</v>
      </c>
      <c r="F57" s="2"/>
    </row>
    <row r="58" spans="2:6" ht="15" hidden="1" customHeight="1" x14ac:dyDescent="0.35">
      <c r="B58" s="1"/>
      <c r="C58" s="105" t="s">
        <v>62</v>
      </c>
      <c r="D58" s="108"/>
      <c r="E58" s="110" t="s">
        <v>1673</v>
      </c>
      <c r="F58" s="2"/>
    </row>
    <row r="59" spans="2:6" ht="15" hidden="1" customHeight="1" x14ac:dyDescent="0.35">
      <c r="B59" s="1"/>
      <c r="C59" s="105" t="s">
        <v>63</v>
      </c>
      <c r="D59" s="108"/>
      <c r="E59" s="110" t="s">
        <v>1674</v>
      </c>
      <c r="F59" s="2"/>
    </row>
    <row r="60" spans="2:6" ht="15" hidden="1" customHeight="1" x14ac:dyDescent="0.35">
      <c r="B60" s="1"/>
      <c r="C60" s="105" t="s">
        <v>64</v>
      </c>
      <c r="D60" s="108"/>
      <c r="E60" s="110" t="s">
        <v>1675</v>
      </c>
      <c r="F60" s="2"/>
    </row>
    <row r="61" spans="2:6" ht="15" hidden="1" customHeight="1" x14ac:dyDescent="0.35">
      <c r="B61" s="1"/>
      <c r="C61" s="105" t="s">
        <v>65</v>
      </c>
      <c r="D61" s="108"/>
      <c r="E61" s="110" t="s">
        <v>1676</v>
      </c>
      <c r="F61" s="2"/>
    </row>
    <row r="62" spans="2:6" ht="15" hidden="1" customHeight="1" x14ac:dyDescent="0.35">
      <c r="B62" s="1"/>
      <c r="C62" s="105" t="s">
        <v>66</v>
      </c>
      <c r="D62" s="108"/>
      <c r="E62" s="110" t="s">
        <v>1677</v>
      </c>
      <c r="F62" s="2"/>
    </row>
    <row r="63" spans="2:6" ht="15" hidden="1" customHeight="1" x14ac:dyDescent="0.35">
      <c r="B63" s="1"/>
      <c r="C63" s="105" t="s">
        <v>67</v>
      </c>
      <c r="D63" s="108"/>
      <c r="E63" s="110" t="s">
        <v>1678</v>
      </c>
      <c r="F63" s="2"/>
    </row>
    <row r="64" spans="2:6" ht="15" hidden="1" customHeight="1" x14ac:dyDescent="0.35">
      <c r="B64" s="1"/>
      <c r="C64" s="105" t="s">
        <v>68</v>
      </c>
      <c r="D64" s="108"/>
      <c r="E64" s="110" t="s">
        <v>1679</v>
      </c>
      <c r="F64" s="2"/>
    </row>
    <row r="65" spans="2:6" ht="15" hidden="1" customHeight="1" x14ac:dyDescent="0.35">
      <c r="B65" s="1"/>
      <c r="C65" s="105" t="s">
        <v>69</v>
      </c>
      <c r="D65" s="108"/>
      <c r="E65" s="110" t="s">
        <v>1680</v>
      </c>
      <c r="F65" s="2"/>
    </row>
    <row r="66" spans="2:6" ht="15" hidden="1" customHeight="1" x14ac:dyDescent="0.35">
      <c r="B66" s="1"/>
      <c r="C66" s="105" t="s">
        <v>70</v>
      </c>
      <c r="D66" s="108"/>
      <c r="E66" s="110" t="s">
        <v>1681</v>
      </c>
      <c r="F66" s="2"/>
    </row>
    <row r="67" spans="2:6" ht="15" hidden="1" customHeight="1" x14ac:dyDescent="0.35">
      <c r="B67" s="1"/>
      <c r="C67" s="105" t="s">
        <v>71</v>
      </c>
      <c r="D67" s="108"/>
      <c r="E67" s="110" t="s">
        <v>1682</v>
      </c>
      <c r="F67" s="2"/>
    </row>
    <row r="68" spans="2:6" ht="15" hidden="1" customHeight="1" x14ac:dyDescent="0.35">
      <c r="B68" s="1"/>
      <c r="C68" s="105" t="s">
        <v>72</v>
      </c>
      <c r="D68" s="108"/>
      <c r="E68" s="110" t="s">
        <v>1683</v>
      </c>
      <c r="F68" s="2"/>
    </row>
    <row r="69" spans="2:6" ht="15" hidden="1" customHeight="1" x14ac:dyDescent="0.25">
      <c r="B69" s="1"/>
      <c r="C69" s="101"/>
      <c r="D69" s="101"/>
      <c r="E69" s="101"/>
      <c r="F69" s="2"/>
    </row>
    <row r="70" spans="2:6" ht="15" hidden="1" customHeight="1" x14ac:dyDescent="0.25">
      <c r="B70" s="1"/>
      <c r="C70" s="101" t="s">
        <v>43</v>
      </c>
      <c r="D70" s="101"/>
      <c r="E70" s="101"/>
      <c r="F70" s="2"/>
    </row>
    <row r="71" spans="2:6" ht="15" hidden="1" customHeight="1" x14ac:dyDescent="0.25">
      <c r="B71" s="1"/>
      <c r="C71" s="104" t="s">
        <v>38</v>
      </c>
      <c r="D71" s="107" t="str">
        <f>IF(I.Facility.ComplianceYear="","Compliance year",I.Facility.ComplianceYear)</f>
        <v>Compliance year</v>
      </c>
      <c r="E71" s="103" t="s">
        <v>39</v>
      </c>
      <c r="F71" s="2"/>
    </row>
    <row r="72" spans="2:6" ht="15" hidden="1" customHeight="1" x14ac:dyDescent="0.35">
      <c r="B72" s="1"/>
      <c r="C72" s="105" t="s">
        <v>49</v>
      </c>
      <c r="D72" s="108"/>
      <c r="E72" s="110" t="s">
        <v>1660</v>
      </c>
      <c r="F72" s="2"/>
    </row>
    <row r="73" spans="2:6" ht="15" hidden="1" customHeight="1" x14ac:dyDescent="0.35">
      <c r="B73" s="1"/>
      <c r="C73" s="105" t="s">
        <v>50</v>
      </c>
      <c r="D73" s="108"/>
      <c r="E73" s="110" t="s">
        <v>1661</v>
      </c>
      <c r="F73" s="2"/>
    </row>
    <row r="74" spans="2:6" ht="15" hidden="1" customHeight="1" x14ac:dyDescent="0.35">
      <c r="B74" s="1"/>
      <c r="C74" s="105" t="s">
        <v>51</v>
      </c>
      <c r="D74" s="108"/>
      <c r="E74" s="110" t="s">
        <v>1662</v>
      </c>
      <c r="F74" s="2"/>
    </row>
    <row r="75" spans="2:6" ht="15" hidden="1" customHeight="1" x14ac:dyDescent="0.25">
      <c r="B75" s="1"/>
      <c r="C75" s="101"/>
      <c r="D75" s="101"/>
      <c r="E75" s="101"/>
      <c r="F75" s="2"/>
    </row>
    <row r="76" spans="2:6" ht="15" hidden="1" customHeight="1" x14ac:dyDescent="0.25">
      <c r="B76" s="1"/>
      <c r="C76" s="101" t="s">
        <v>44</v>
      </c>
      <c r="D76" s="101"/>
      <c r="E76" s="101"/>
      <c r="F76" s="2"/>
    </row>
    <row r="77" spans="2:6" ht="15" hidden="1" customHeight="1" x14ac:dyDescent="0.25">
      <c r="B77" s="1"/>
      <c r="C77" s="104" t="s">
        <v>38</v>
      </c>
      <c r="D77" s="107" t="str">
        <f>IF(I.Facility.ComplianceYear="","Compliance year",I.Facility.ComplianceYear)</f>
        <v>Compliance year</v>
      </c>
      <c r="E77" s="103" t="s">
        <v>39</v>
      </c>
      <c r="F77" s="2"/>
    </row>
    <row r="78" spans="2:6" ht="15" hidden="1" customHeight="1" x14ac:dyDescent="0.35">
      <c r="B78" s="1"/>
      <c r="C78" s="105" t="s">
        <v>49</v>
      </c>
      <c r="D78" s="108"/>
      <c r="E78" s="110" t="s">
        <v>1660</v>
      </c>
      <c r="F78" s="2"/>
    </row>
    <row r="79" spans="2:6" ht="15" hidden="1" customHeight="1" x14ac:dyDescent="0.35">
      <c r="B79" s="1"/>
      <c r="C79" s="105" t="s">
        <v>50</v>
      </c>
      <c r="D79" s="108"/>
      <c r="E79" s="110" t="s">
        <v>1661</v>
      </c>
      <c r="F79" s="2"/>
    </row>
    <row r="80" spans="2:6" ht="15" hidden="1" customHeight="1" x14ac:dyDescent="0.35">
      <c r="B80" s="1"/>
      <c r="C80" s="105" t="s">
        <v>51</v>
      </c>
      <c r="D80" s="108"/>
      <c r="E80" s="110" t="s">
        <v>1662</v>
      </c>
      <c r="F80" s="2"/>
    </row>
    <row r="81" spans="2:6" ht="15" hidden="1" customHeight="1" x14ac:dyDescent="0.25">
      <c r="B81" s="1"/>
      <c r="C81" s="101"/>
      <c r="D81" s="101"/>
      <c r="E81" s="101"/>
      <c r="F81" s="2"/>
    </row>
    <row r="82" spans="2:6" ht="15" hidden="1" customHeight="1" x14ac:dyDescent="0.25">
      <c r="B82" s="1"/>
      <c r="C82" s="101" t="s">
        <v>45</v>
      </c>
      <c r="D82" s="101"/>
      <c r="E82" s="101"/>
      <c r="F82" s="2"/>
    </row>
    <row r="83" spans="2:6" ht="15" hidden="1" customHeight="1" x14ac:dyDescent="0.25">
      <c r="B83" s="1"/>
      <c r="C83" s="104" t="s">
        <v>38</v>
      </c>
      <c r="D83" s="107" t="str">
        <f>IF(I.Facility.ComplianceYear="","Compliance year",I.Facility.ComplianceYear)</f>
        <v>Compliance year</v>
      </c>
      <c r="E83" s="103" t="s">
        <v>39</v>
      </c>
      <c r="F83" s="2"/>
    </row>
    <row r="84" spans="2:6" ht="15" hidden="1" customHeight="1" x14ac:dyDescent="0.35">
      <c r="B84" s="1"/>
      <c r="C84" s="105" t="s">
        <v>49</v>
      </c>
      <c r="D84" s="108"/>
      <c r="E84" s="110" t="s">
        <v>1660</v>
      </c>
      <c r="F84" s="2"/>
    </row>
    <row r="85" spans="2:6" ht="15" hidden="1" customHeight="1" x14ac:dyDescent="0.35">
      <c r="B85" s="1"/>
      <c r="C85" s="105" t="s">
        <v>50</v>
      </c>
      <c r="D85" s="108"/>
      <c r="E85" s="110" t="s">
        <v>1661</v>
      </c>
      <c r="F85" s="2"/>
    </row>
    <row r="86" spans="2:6" ht="15" hidden="1" customHeight="1" x14ac:dyDescent="0.35">
      <c r="B86" s="1"/>
      <c r="C86" s="105" t="s">
        <v>51</v>
      </c>
      <c r="D86" s="108"/>
      <c r="E86" s="110" t="s">
        <v>1662</v>
      </c>
      <c r="F86" s="2"/>
    </row>
    <row r="87" spans="2:6" ht="15" hidden="1" customHeight="1" x14ac:dyDescent="0.25">
      <c r="B87" s="1"/>
      <c r="C87" s="101"/>
      <c r="D87" s="101"/>
      <c r="E87" s="101"/>
      <c r="F87" s="2"/>
    </row>
    <row r="88" spans="2:6" ht="15" hidden="1" customHeight="1" x14ac:dyDescent="0.25">
      <c r="B88" s="1"/>
      <c r="C88" s="101" t="s">
        <v>46</v>
      </c>
      <c r="D88" s="101"/>
      <c r="E88" s="101"/>
      <c r="F88" s="2"/>
    </row>
    <row r="89" spans="2:6" ht="15" hidden="1" customHeight="1" x14ac:dyDescent="0.25">
      <c r="B89" s="1"/>
      <c r="C89" s="104" t="s">
        <v>38</v>
      </c>
      <c r="D89" s="107" t="str">
        <f>IF(I.Facility.ComplianceYear="","Compliance year",I.Facility.ComplianceYear)</f>
        <v>Compliance year</v>
      </c>
      <c r="E89" s="103" t="s">
        <v>39</v>
      </c>
      <c r="F89" s="2"/>
    </row>
    <row r="90" spans="2:6" ht="15" hidden="1" customHeight="1" x14ac:dyDescent="0.35">
      <c r="B90" s="1"/>
      <c r="C90" s="105" t="s">
        <v>49</v>
      </c>
      <c r="D90" s="108"/>
      <c r="E90" s="110" t="s">
        <v>1660</v>
      </c>
      <c r="F90" s="2"/>
    </row>
    <row r="91" spans="2:6" ht="15" hidden="1" customHeight="1" x14ac:dyDescent="0.35">
      <c r="B91" s="1"/>
      <c r="C91" s="105" t="s">
        <v>50</v>
      </c>
      <c r="D91" s="108"/>
      <c r="E91" s="110" t="s">
        <v>1661</v>
      </c>
      <c r="F91" s="2"/>
    </row>
    <row r="92" spans="2:6" ht="15" hidden="1" customHeight="1" x14ac:dyDescent="0.35">
      <c r="B92" s="1"/>
      <c r="C92" s="105" t="s">
        <v>51</v>
      </c>
      <c r="D92" s="108"/>
      <c r="E92" s="110" t="s">
        <v>1662</v>
      </c>
      <c r="F92" s="2"/>
    </row>
    <row r="93" spans="2:6" ht="15" hidden="1" customHeight="1" x14ac:dyDescent="0.25">
      <c r="B93" s="1"/>
      <c r="C93" s="101"/>
      <c r="D93" s="101"/>
      <c r="E93" s="101"/>
      <c r="F93" s="2"/>
    </row>
    <row r="94" spans="2:6" ht="15" hidden="1" customHeight="1" x14ac:dyDescent="0.25">
      <c r="B94" s="1"/>
      <c r="C94" s="101" t="s">
        <v>47</v>
      </c>
      <c r="D94" s="101"/>
      <c r="E94" s="101"/>
      <c r="F94" s="2"/>
    </row>
    <row r="95" spans="2:6" ht="15" hidden="1" customHeight="1" x14ac:dyDescent="0.25">
      <c r="B95" s="1"/>
      <c r="C95" s="104" t="s">
        <v>38</v>
      </c>
      <c r="D95" s="107" t="str">
        <f>IF(I.Facility.ComplianceYear="","Compliance year",I.Facility.ComplianceYear)</f>
        <v>Compliance year</v>
      </c>
      <c r="E95" s="103" t="s">
        <v>39</v>
      </c>
      <c r="F95" s="2"/>
    </row>
    <row r="96" spans="2:6" ht="15" hidden="1" customHeight="1" x14ac:dyDescent="0.35">
      <c r="B96" s="1"/>
      <c r="C96" s="105" t="s">
        <v>49</v>
      </c>
      <c r="D96" s="108"/>
      <c r="E96" s="110" t="s">
        <v>1660</v>
      </c>
      <c r="F96" s="2"/>
    </row>
    <row r="97" spans="2:6" ht="15" hidden="1" customHeight="1" x14ac:dyDescent="0.35">
      <c r="B97" s="1"/>
      <c r="C97" s="105" t="s">
        <v>50</v>
      </c>
      <c r="D97" s="108"/>
      <c r="E97" s="110" t="s">
        <v>1661</v>
      </c>
      <c r="F97" s="2"/>
    </row>
    <row r="98" spans="2:6" ht="15" hidden="1" customHeight="1" x14ac:dyDescent="0.35">
      <c r="B98" s="1"/>
      <c r="C98" s="105" t="s">
        <v>51</v>
      </c>
      <c r="D98" s="108"/>
      <c r="E98" s="110" t="s">
        <v>1662</v>
      </c>
      <c r="F98" s="2"/>
    </row>
    <row r="99" spans="2:6" ht="15" hidden="1" customHeight="1" x14ac:dyDescent="0.25">
      <c r="B99" s="1"/>
      <c r="C99" s="101"/>
      <c r="D99" s="101"/>
      <c r="E99" s="101"/>
      <c r="F99" s="2"/>
    </row>
    <row r="100" spans="2:6" ht="15" hidden="1" customHeight="1" x14ac:dyDescent="0.25">
      <c r="B100" s="1"/>
      <c r="C100" s="101" t="s">
        <v>48</v>
      </c>
      <c r="D100" s="101"/>
      <c r="E100" s="101"/>
      <c r="F100" s="2"/>
    </row>
    <row r="101" spans="2:6" ht="15" hidden="1" customHeight="1" x14ac:dyDescent="0.25">
      <c r="B101" s="1"/>
      <c r="C101" s="104" t="s">
        <v>38</v>
      </c>
      <c r="D101" s="107" t="str">
        <f>IF(I.Facility.ComplianceYear="","Compliance year",I.Facility.ComplianceYear)</f>
        <v>Compliance year</v>
      </c>
      <c r="E101" s="103" t="s">
        <v>39</v>
      </c>
      <c r="F101" s="2"/>
    </row>
    <row r="102" spans="2:6" ht="15" hidden="1" customHeight="1" x14ac:dyDescent="0.35">
      <c r="B102" s="1"/>
      <c r="C102" s="105" t="s">
        <v>49</v>
      </c>
      <c r="D102" s="108"/>
      <c r="E102" s="110" t="s">
        <v>1660</v>
      </c>
      <c r="F102" s="2"/>
    </row>
    <row r="103" spans="2:6" ht="15" hidden="1" customHeight="1" x14ac:dyDescent="0.35">
      <c r="B103" s="1"/>
      <c r="C103" s="105" t="s">
        <v>50</v>
      </c>
      <c r="D103" s="108"/>
      <c r="E103" s="110" t="s">
        <v>1661</v>
      </c>
      <c r="F103" s="2"/>
    </row>
    <row r="104" spans="2:6" ht="15" hidden="1" customHeight="1" x14ac:dyDescent="0.35">
      <c r="B104" s="1"/>
      <c r="C104" s="105" t="s">
        <v>51</v>
      </c>
      <c r="D104" s="108"/>
      <c r="E104" s="110" t="s">
        <v>1662</v>
      </c>
      <c r="F104" s="2"/>
    </row>
    <row r="105" spans="2:6" ht="15" hidden="1" customHeight="1" x14ac:dyDescent="0.25">
      <c r="B105" s="1"/>
      <c r="C105" s="101"/>
      <c r="D105" s="101"/>
      <c r="E105" s="101"/>
      <c r="F105" s="2"/>
    </row>
    <row r="106" spans="2:6" ht="20.100000000000001" hidden="1" customHeight="1" x14ac:dyDescent="0.25">
      <c r="B106" s="12"/>
      <c r="C106" s="121" t="s">
        <v>31</v>
      </c>
      <c r="D106" s="121"/>
      <c r="E106" s="121"/>
      <c r="F106" s="13"/>
    </row>
    <row r="107" spans="2:6" ht="15" hidden="1" customHeight="1" x14ac:dyDescent="0.25">
      <c r="B107" s="1"/>
      <c r="C107" s="101"/>
      <c r="D107" s="101"/>
      <c r="E107" s="101"/>
      <c r="F107" s="2"/>
    </row>
    <row r="108" spans="2:6" ht="15" hidden="1" customHeight="1" x14ac:dyDescent="0.25">
      <c r="B108" s="1"/>
      <c r="C108" s="101" t="s">
        <v>29</v>
      </c>
      <c r="D108" s="101"/>
      <c r="E108" s="101"/>
      <c r="F108" s="2"/>
    </row>
    <row r="109" spans="2:6" ht="15" hidden="1" customHeight="1" x14ac:dyDescent="0.25">
      <c r="B109" s="1"/>
      <c r="C109" s="102" t="str">
        <f>IF(I.Product.P2Name="","",I.Product.P2Name)</f>
        <v/>
      </c>
      <c r="D109" s="101"/>
      <c r="E109" s="101"/>
      <c r="F109" s="2"/>
    </row>
    <row r="110" spans="2:6" ht="15" hidden="1" customHeight="1" x14ac:dyDescent="0.25">
      <c r="B110" s="1"/>
      <c r="C110" s="101"/>
      <c r="D110" s="101"/>
      <c r="E110" s="101"/>
      <c r="F110" s="2"/>
    </row>
    <row r="111" spans="2:6" ht="15" hidden="1" customHeight="1" x14ac:dyDescent="0.25">
      <c r="B111" s="1"/>
      <c r="C111" s="101" t="s">
        <v>40</v>
      </c>
      <c r="D111" s="101"/>
      <c r="E111" s="101"/>
      <c r="F111" s="2"/>
    </row>
    <row r="112" spans="2:6" ht="15" hidden="1" customHeight="1" x14ac:dyDescent="0.25">
      <c r="B112" s="1"/>
      <c r="C112" s="104" t="s">
        <v>38</v>
      </c>
      <c r="D112" s="107" t="str">
        <f>IF(I.Facility.ComplianceYear="","Compliance year",I.Facility.ComplianceYear)</f>
        <v>Compliance year</v>
      </c>
      <c r="E112" s="103" t="s">
        <v>39</v>
      </c>
      <c r="F112" s="2"/>
    </row>
    <row r="113" spans="2:6" ht="15" hidden="1" customHeight="1" x14ac:dyDescent="0.35">
      <c r="B113" s="1"/>
      <c r="C113" s="105" t="s">
        <v>49</v>
      </c>
      <c r="D113" s="108"/>
      <c r="E113" s="110" t="s">
        <v>1660</v>
      </c>
      <c r="F113" s="2"/>
    </row>
    <row r="114" spans="2:6" ht="15" hidden="1" customHeight="1" x14ac:dyDescent="0.35">
      <c r="B114" s="1"/>
      <c r="C114" s="105" t="s">
        <v>50</v>
      </c>
      <c r="D114" s="108"/>
      <c r="E114" s="110" t="s">
        <v>1661</v>
      </c>
      <c r="F114" s="2"/>
    </row>
    <row r="115" spans="2:6" ht="15" hidden="1" customHeight="1" x14ac:dyDescent="0.35">
      <c r="B115" s="1"/>
      <c r="C115" s="105" t="s">
        <v>51</v>
      </c>
      <c r="D115" s="108"/>
      <c r="E115" s="110" t="s">
        <v>1662</v>
      </c>
      <c r="F115" s="2"/>
    </row>
    <row r="116" spans="2:6" ht="15" hidden="1" customHeight="1" x14ac:dyDescent="0.25">
      <c r="B116" s="1"/>
      <c r="C116" s="101"/>
      <c r="D116" s="101"/>
      <c r="E116" s="101"/>
      <c r="F116" s="2"/>
    </row>
    <row r="117" spans="2:6" ht="15" hidden="1" customHeight="1" x14ac:dyDescent="0.25">
      <c r="B117" s="1"/>
      <c r="C117" s="101" t="s">
        <v>41</v>
      </c>
      <c r="D117" s="101"/>
      <c r="E117" s="101"/>
      <c r="F117" s="2"/>
    </row>
    <row r="118" spans="2:6" ht="15" hidden="1" customHeight="1" x14ac:dyDescent="0.25">
      <c r="B118" s="1"/>
      <c r="C118" s="104" t="s">
        <v>38</v>
      </c>
      <c r="D118" s="107" t="str">
        <f>IF(I.Facility.ComplianceYear="","Compliance year",I.Facility.ComplianceYear)</f>
        <v>Compliance year</v>
      </c>
      <c r="E118" s="103" t="s">
        <v>39</v>
      </c>
      <c r="F118" s="2"/>
    </row>
    <row r="119" spans="2:6" ht="15" hidden="1" customHeight="1" x14ac:dyDescent="0.35">
      <c r="B119" s="1"/>
      <c r="C119" s="105" t="s">
        <v>49</v>
      </c>
      <c r="D119" s="108"/>
      <c r="E119" s="110" t="s">
        <v>1660</v>
      </c>
      <c r="F119" s="2"/>
    </row>
    <row r="120" spans="2:6" ht="15" hidden="1" customHeight="1" x14ac:dyDescent="0.35">
      <c r="B120" s="1"/>
      <c r="C120" s="105" t="s">
        <v>50</v>
      </c>
      <c r="D120" s="108"/>
      <c r="E120" s="110" t="s">
        <v>1661</v>
      </c>
      <c r="F120" s="2"/>
    </row>
    <row r="121" spans="2:6" ht="15" hidden="1" customHeight="1" x14ac:dyDescent="0.35">
      <c r="B121" s="1"/>
      <c r="C121" s="105" t="s">
        <v>51</v>
      </c>
      <c r="D121" s="108"/>
      <c r="E121" s="110" t="s">
        <v>1662</v>
      </c>
      <c r="F121" s="2"/>
    </row>
    <row r="122" spans="2:6" ht="15" hidden="1" customHeight="1" x14ac:dyDescent="0.35">
      <c r="B122" s="1"/>
      <c r="C122" s="105" t="s">
        <v>52</v>
      </c>
      <c r="D122" s="108"/>
      <c r="E122" s="110" t="s">
        <v>1663</v>
      </c>
      <c r="F122" s="2"/>
    </row>
    <row r="123" spans="2:6" ht="15" hidden="1" customHeight="1" x14ac:dyDescent="0.35">
      <c r="B123" s="1"/>
      <c r="C123" s="105" t="s">
        <v>53</v>
      </c>
      <c r="D123" s="108"/>
      <c r="E123" s="110" t="s">
        <v>1664</v>
      </c>
      <c r="F123" s="2"/>
    </row>
    <row r="124" spans="2:6" ht="15" hidden="1" customHeight="1" x14ac:dyDescent="0.35">
      <c r="B124" s="1"/>
      <c r="C124" s="105" t="s">
        <v>54</v>
      </c>
      <c r="D124" s="108"/>
      <c r="E124" s="110" t="s">
        <v>1665</v>
      </c>
      <c r="F124" s="2"/>
    </row>
    <row r="125" spans="2:6" ht="15" hidden="1" customHeight="1" x14ac:dyDescent="0.35">
      <c r="B125" s="1"/>
      <c r="C125" s="105" t="s">
        <v>55</v>
      </c>
      <c r="D125" s="108"/>
      <c r="E125" s="110" t="s">
        <v>1666</v>
      </c>
      <c r="F125" s="2"/>
    </row>
    <row r="126" spans="2:6" ht="15" hidden="1" customHeight="1" x14ac:dyDescent="0.35">
      <c r="B126" s="1"/>
      <c r="C126" s="105" t="s">
        <v>56</v>
      </c>
      <c r="D126" s="108"/>
      <c r="E126" s="110" t="s">
        <v>1667</v>
      </c>
      <c r="F126" s="2"/>
    </row>
    <row r="127" spans="2:6" ht="15" hidden="1" customHeight="1" x14ac:dyDescent="0.35">
      <c r="B127" s="1"/>
      <c r="C127" s="105" t="s">
        <v>57</v>
      </c>
      <c r="D127" s="108"/>
      <c r="E127" s="110" t="s">
        <v>1668</v>
      </c>
      <c r="F127" s="2"/>
    </row>
    <row r="128" spans="2:6" ht="15" hidden="1" customHeight="1" x14ac:dyDescent="0.35">
      <c r="B128" s="1"/>
      <c r="C128" s="105" t="s">
        <v>58</v>
      </c>
      <c r="D128" s="108"/>
      <c r="E128" s="110" t="s">
        <v>1669</v>
      </c>
      <c r="F128" s="2"/>
    </row>
    <row r="129" spans="2:6" ht="15" hidden="1" customHeight="1" x14ac:dyDescent="0.35">
      <c r="B129" s="1"/>
      <c r="C129" s="105" t="s">
        <v>59</v>
      </c>
      <c r="D129" s="108"/>
      <c r="E129" s="110" t="s">
        <v>1670</v>
      </c>
      <c r="F129" s="2"/>
    </row>
    <row r="130" spans="2:6" ht="15" hidden="1" customHeight="1" x14ac:dyDescent="0.35">
      <c r="B130" s="1"/>
      <c r="C130" s="105" t="s">
        <v>60</v>
      </c>
      <c r="D130" s="108"/>
      <c r="E130" s="110" t="s">
        <v>1671</v>
      </c>
      <c r="F130" s="2"/>
    </row>
    <row r="131" spans="2:6" ht="15" hidden="1" customHeight="1" x14ac:dyDescent="0.35">
      <c r="B131" s="1"/>
      <c r="C131" s="105" t="s">
        <v>61</v>
      </c>
      <c r="D131" s="108"/>
      <c r="E131" s="110" t="s">
        <v>1672</v>
      </c>
      <c r="F131" s="2"/>
    </row>
    <row r="132" spans="2:6" ht="15" hidden="1" customHeight="1" x14ac:dyDescent="0.35">
      <c r="B132" s="1"/>
      <c r="C132" s="105" t="s">
        <v>62</v>
      </c>
      <c r="D132" s="108"/>
      <c r="E132" s="110" t="s">
        <v>1673</v>
      </c>
      <c r="F132" s="2"/>
    </row>
    <row r="133" spans="2:6" ht="15" hidden="1" customHeight="1" x14ac:dyDescent="0.35">
      <c r="B133" s="1"/>
      <c r="C133" s="105" t="s">
        <v>63</v>
      </c>
      <c r="D133" s="108"/>
      <c r="E133" s="110" t="s">
        <v>1674</v>
      </c>
      <c r="F133" s="2"/>
    </row>
    <row r="134" spans="2:6" ht="15" hidden="1" customHeight="1" x14ac:dyDescent="0.35">
      <c r="B134" s="1"/>
      <c r="C134" s="105" t="s">
        <v>64</v>
      </c>
      <c r="D134" s="108"/>
      <c r="E134" s="110" t="s">
        <v>1675</v>
      </c>
      <c r="F134" s="2"/>
    </row>
    <row r="135" spans="2:6" ht="15" hidden="1" customHeight="1" x14ac:dyDescent="0.35">
      <c r="B135" s="1"/>
      <c r="C135" s="105" t="s">
        <v>65</v>
      </c>
      <c r="D135" s="108"/>
      <c r="E135" s="110" t="s">
        <v>1676</v>
      </c>
      <c r="F135" s="2"/>
    </row>
    <row r="136" spans="2:6" ht="15" hidden="1" customHeight="1" x14ac:dyDescent="0.35">
      <c r="B136" s="1"/>
      <c r="C136" s="105" t="s">
        <v>66</v>
      </c>
      <c r="D136" s="108"/>
      <c r="E136" s="110" t="s">
        <v>1677</v>
      </c>
      <c r="F136" s="2"/>
    </row>
    <row r="137" spans="2:6" ht="15" hidden="1" customHeight="1" x14ac:dyDescent="0.35">
      <c r="B137" s="1"/>
      <c r="C137" s="105" t="s">
        <v>67</v>
      </c>
      <c r="D137" s="108"/>
      <c r="E137" s="110" t="s">
        <v>1678</v>
      </c>
      <c r="F137" s="2"/>
    </row>
    <row r="138" spans="2:6" ht="15" hidden="1" customHeight="1" x14ac:dyDescent="0.35">
      <c r="B138" s="1"/>
      <c r="C138" s="105" t="s">
        <v>68</v>
      </c>
      <c r="D138" s="108"/>
      <c r="E138" s="110" t="s">
        <v>1679</v>
      </c>
      <c r="F138" s="2"/>
    </row>
    <row r="139" spans="2:6" ht="15" hidden="1" customHeight="1" x14ac:dyDescent="0.35">
      <c r="B139" s="1"/>
      <c r="C139" s="105" t="s">
        <v>69</v>
      </c>
      <c r="D139" s="108"/>
      <c r="E139" s="110" t="s">
        <v>1680</v>
      </c>
      <c r="F139" s="2"/>
    </row>
    <row r="140" spans="2:6" ht="15" hidden="1" customHeight="1" x14ac:dyDescent="0.35">
      <c r="B140" s="1"/>
      <c r="C140" s="105" t="s">
        <v>70</v>
      </c>
      <c r="D140" s="108"/>
      <c r="E140" s="110" t="s">
        <v>1681</v>
      </c>
      <c r="F140" s="2"/>
    </row>
    <row r="141" spans="2:6" ht="15" hidden="1" customHeight="1" x14ac:dyDescent="0.35">
      <c r="B141" s="1"/>
      <c r="C141" s="105" t="s">
        <v>71</v>
      </c>
      <c r="D141" s="108"/>
      <c r="E141" s="110" t="s">
        <v>1682</v>
      </c>
      <c r="F141" s="2"/>
    </row>
    <row r="142" spans="2:6" ht="15" hidden="1" customHeight="1" x14ac:dyDescent="0.35">
      <c r="B142" s="1"/>
      <c r="C142" s="105" t="s">
        <v>72</v>
      </c>
      <c r="D142" s="108"/>
      <c r="E142" s="110" t="s">
        <v>1683</v>
      </c>
      <c r="F142" s="2"/>
    </row>
    <row r="143" spans="2:6" ht="15" hidden="1" customHeight="1" x14ac:dyDescent="0.25">
      <c r="B143" s="1"/>
      <c r="C143" s="101"/>
      <c r="D143" s="101"/>
      <c r="E143" s="101"/>
      <c r="F143" s="2"/>
    </row>
    <row r="144" spans="2:6" ht="15" hidden="1" customHeight="1" x14ac:dyDescent="0.25">
      <c r="B144" s="1"/>
      <c r="C144" s="101" t="s">
        <v>42</v>
      </c>
      <c r="D144" s="101"/>
      <c r="E144" s="101"/>
      <c r="F144" s="2"/>
    </row>
    <row r="145" spans="2:6" ht="15" hidden="1" customHeight="1" x14ac:dyDescent="0.25">
      <c r="B145" s="1"/>
      <c r="C145" s="104" t="s">
        <v>38</v>
      </c>
      <c r="D145" s="107" t="str">
        <f>IF(I.Facility.ComplianceYear="","Compliance year",I.Facility.ComplianceYear)</f>
        <v>Compliance year</v>
      </c>
      <c r="E145" s="103" t="s">
        <v>39</v>
      </c>
      <c r="F145" s="2"/>
    </row>
    <row r="146" spans="2:6" ht="15" hidden="1" customHeight="1" x14ac:dyDescent="0.35">
      <c r="B146" s="1"/>
      <c r="C146" s="105" t="s">
        <v>52</v>
      </c>
      <c r="D146" s="108"/>
      <c r="E146" s="110" t="s">
        <v>1663</v>
      </c>
      <c r="F146" s="2"/>
    </row>
    <row r="147" spans="2:6" ht="15" hidden="1" customHeight="1" x14ac:dyDescent="0.35">
      <c r="B147" s="1"/>
      <c r="C147" s="105" t="s">
        <v>53</v>
      </c>
      <c r="D147" s="108"/>
      <c r="E147" s="110" t="s">
        <v>1664</v>
      </c>
      <c r="F147" s="2"/>
    </row>
    <row r="148" spans="2:6" ht="15" hidden="1" customHeight="1" x14ac:dyDescent="0.35">
      <c r="B148" s="1"/>
      <c r="C148" s="105" t="s">
        <v>54</v>
      </c>
      <c r="D148" s="108"/>
      <c r="E148" s="110" t="s">
        <v>1665</v>
      </c>
      <c r="F148" s="2"/>
    </row>
    <row r="149" spans="2:6" ht="15" hidden="1" customHeight="1" x14ac:dyDescent="0.35">
      <c r="B149" s="1"/>
      <c r="C149" s="105" t="s">
        <v>55</v>
      </c>
      <c r="D149" s="108"/>
      <c r="E149" s="110" t="s">
        <v>1666</v>
      </c>
      <c r="F149" s="2"/>
    </row>
    <row r="150" spans="2:6" ht="15" hidden="1" customHeight="1" x14ac:dyDescent="0.35">
      <c r="B150" s="1"/>
      <c r="C150" s="105" t="s">
        <v>56</v>
      </c>
      <c r="D150" s="108"/>
      <c r="E150" s="110" t="s">
        <v>1667</v>
      </c>
      <c r="F150" s="2"/>
    </row>
    <row r="151" spans="2:6" ht="15" hidden="1" customHeight="1" x14ac:dyDescent="0.35">
      <c r="B151" s="1"/>
      <c r="C151" s="105" t="s">
        <v>57</v>
      </c>
      <c r="D151" s="108"/>
      <c r="E151" s="110" t="s">
        <v>1668</v>
      </c>
      <c r="F151" s="2"/>
    </row>
    <row r="152" spans="2:6" ht="15" hidden="1" customHeight="1" x14ac:dyDescent="0.35">
      <c r="B152" s="1"/>
      <c r="C152" s="105" t="s">
        <v>58</v>
      </c>
      <c r="D152" s="108"/>
      <c r="E152" s="110" t="s">
        <v>1669</v>
      </c>
      <c r="F152" s="2"/>
    </row>
    <row r="153" spans="2:6" ht="15" hidden="1" customHeight="1" x14ac:dyDescent="0.35">
      <c r="B153" s="1"/>
      <c r="C153" s="105" t="s">
        <v>59</v>
      </c>
      <c r="D153" s="108"/>
      <c r="E153" s="110" t="s">
        <v>1670</v>
      </c>
      <c r="F153" s="2"/>
    </row>
    <row r="154" spans="2:6" ht="15" hidden="1" customHeight="1" x14ac:dyDescent="0.35">
      <c r="B154" s="1"/>
      <c r="C154" s="105" t="s">
        <v>60</v>
      </c>
      <c r="D154" s="108"/>
      <c r="E154" s="110" t="s">
        <v>1671</v>
      </c>
      <c r="F154" s="2"/>
    </row>
    <row r="155" spans="2:6" ht="15" hidden="1" customHeight="1" x14ac:dyDescent="0.35">
      <c r="B155" s="1"/>
      <c r="C155" s="105" t="s">
        <v>61</v>
      </c>
      <c r="D155" s="108"/>
      <c r="E155" s="110" t="s">
        <v>1672</v>
      </c>
      <c r="F155" s="2"/>
    </row>
    <row r="156" spans="2:6" ht="15" hidden="1" customHeight="1" x14ac:dyDescent="0.35">
      <c r="B156" s="1"/>
      <c r="C156" s="105" t="s">
        <v>62</v>
      </c>
      <c r="D156" s="108"/>
      <c r="E156" s="110" t="s">
        <v>1673</v>
      </c>
      <c r="F156" s="2"/>
    </row>
    <row r="157" spans="2:6" ht="15" hidden="1" customHeight="1" x14ac:dyDescent="0.35">
      <c r="B157" s="1"/>
      <c r="C157" s="105" t="s">
        <v>63</v>
      </c>
      <c r="D157" s="108"/>
      <c r="E157" s="110" t="s">
        <v>1674</v>
      </c>
      <c r="F157" s="2"/>
    </row>
    <row r="158" spans="2:6" ht="15" hidden="1" customHeight="1" x14ac:dyDescent="0.35">
      <c r="B158" s="1"/>
      <c r="C158" s="105" t="s">
        <v>64</v>
      </c>
      <c r="D158" s="108"/>
      <c r="E158" s="110" t="s">
        <v>1675</v>
      </c>
      <c r="F158" s="2"/>
    </row>
    <row r="159" spans="2:6" ht="15" hidden="1" customHeight="1" x14ac:dyDescent="0.35">
      <c r="B159" s="1"/>
      <c r="C159" s="105" t="s">
        <v>65</v>
      </c>
      <c r="D159" s="108"/>
      <c r="E159" s="110" t="s">
        <v>1676</v>
      </c>
      <c r="F159" s="2"/>
    </row>
    <row r="160" spans="2:6" ht="15" hidden="1" customHeight="1" x14ac:dyDescent="0.35">
      <c r="B160" s="1"/>
      <c r="C160" s="105" t="s">
        <v>66</v>
      </c>
      <c r="D160" s="108"/>
      <c r="E160" s="110" t="s">
        <v>1677</v>
      </c>
      <c r="F160" s="2"/>
    </row>
    <row r="161" spans="2:6" ht="15" hidden="1" customHeight="1" x14ac:dyDescent="0.35">
      <c r="B161" s="1"/>
      <c r="C161" s="105" t="s">
        <v>67</v>
      </c>
      <c r="D161" s="108"/>
      <c r="E161" s="110" t="s">
        <v>1678</v>
      </c>
      <c r="F161" s="2"/>
    </row>
    <row r="162" spans="2:6" ht="15" hidden="1" customHeight="1" x14ac:dyDescent="0.35">
      <c r="B162" s="1"/>
      <c r="C162" s="105" t="s">
        <v>68</v>
      </c>
      <c r="D162" s="108"/>
      <c r="E162" s="110" t="s">
        <v>1679</v>
      </c>
      <c r="F162" s="2"/>
    </row>
    <row r="163" spans="2:6" ht="15" hidden="1" customHeight="1" x14ac:dyDescent="0.35">
      <c r="B163" s="1"/>
      <c r="C163" s="105" t="s">
        <v>69</v>
      </c>
      <c r="D163" s="108"/>
      <c r="E163" s="110" t="s">
        <v>1680</v>
      </c>
      <c r="F163" s="2"/>
    </row>
    <row r="164" spans="2:6" ht="15" hidden="1" customHeight="1" x14ac:dyDescent="0.35">
      <c r="B164" s="1"/>
      <c r="C164" s="105" t="s">
        <v>70</v>
      </c>
      <c r="D164" s="108"/>
      <c r="E164" s="110" t="s">
        <v>1681</v>
      </c>
      <c r="F164" s="2"/>
    </row>
    <row r="165" spans="2:6" ht="15" hidden="1" customHeight="1" x14ac:dyDescent="0.35">
      <c r="B165" s="1"/>
      <c r="C165" s="105" t="s">
        <v>71</v>
      </c>
      <c r="D165" s="108"/>
      <c r="E165" s="110" t="s">
        <v>1682</v>
      </c>
      <c r="F165" s="2"/>
    </row>
    <row r="166" spans="2:6" ht="15" hidden="1" customHeight="1" x14ac:dyDescent="0.35">
      <c r="B166" s="1"/>
      <c r="C166" s="105" t="s">
        <v>72</v>
      </c>
      <c r="D166" s="108"/>
      <c r="E166" s="110" t="s">
        <v>1683</v>
      </c>
      <c r="F166" s="2"/>
    </row>
    <row r="167" spans="2:6" ht="15" hidden="1" customHeight="1" x14ac:dyDescent="0.25">
      <c r="B167" s="1"/>
      <c r="C167" s="101"/>
      <c r="D167" s="101"/>
      <c r="E167" s="101"/>
      <c r="F167" s="2"/>
    </row>
    <row r="168" spans="2:6" ht="15" hidden="1" customHeight="1" x14ac:dyDescent="0.25">
      <c r="B168" s="1"/>
      <c r="C168" s="101" t="s">
        <v>43</v>
      </c>
      <c r="D168" s="101"/>
      <c r="E168" s="101"/>
      <c r="F168" s="2"/>
    </row>
    <row r="169" spans="2:6" ht="15" hidden="1" customHeight="1" x14ac:dyDescent="0.25">
      <c r="B169" s="1"/>
      <c r="C169" s="104" t="s">
        <v>38</v>
      </c>
      <c r="D169" s="107" t="str">
        <f>IF(I.Facility.ComplianceYear="","Compliance year",I.Facility.ComplianceYear)</f>
        <v>Compliance year</v>
      </c>
      <c r="E169" s="103" t="s">
        <v>39</v>
      </c>
      <c r="F169" s="2"/>
    </row>
    <row r="170" spans="2:6" ht="15" hidden="1" customHeight="1" x14ac:dyDescent="0.35">
      <c r="B170" s="1"/>
      <c r="C170" s="105" t="s">
        <v>49</v>
      </c>
      <c r="D170" s="108"/>
      <c r="E170" s="110" t="s">
        <v>1660</v>
      </c>
      <c r="F170" s="2"/>
    </row>
    <row r="171" spans="2:6" ht="15" hidden="1" customHeight="1" x14ac:dyDescent="0.35">
      <c r="B171" s="1"/>
      <c r="C171" s="105" t="s">
        <v>50</v>
      </c>
      <c r="D171" s="108"/>
      <c r="E171" s="110" t="s">
        <v>1661</v>
      </c>
      <c r="F171" s="2"/>
    </row>
    <row r="172" spans="2:6" ht="15" hidden="1" customHeight="1" x14ac:dyDescent="0.35">
      <c r="B172" s="1"/>
      <c r="C172" s="105" t="s">
        <v>51</v>
      </c>
      <c r="D172" s="108"/>
      <c r="E172" s="110" t="s">
        <v>1662</v>
      </c>
      <c r="F172" s="2"/>
    </row>
    <row r="173" spans="2:6" ht="15" hidden="1" customHeight="1" x14ac:dyDescent="0.25">
      <c r="B173" s="1"/>
      <c r="C173" s="101"/>
      <c r="D173" s="101"/>
      <c r="E173" s="101"/>
      <c r="F173" s="2"/>
    </row>
    <row r="174" spans="2:6" ht="15" hidden="1" customHeight="1" x14ac:dyDescent="0.25">
      <c r="B174" s="1"/>
      <c r="C174" s="101" t="s">
        <v>44</v>
      </c>
      <c r="D174" s="101"/>
      <c r="E174" s="101"/>
      <c r="F174" s="2"/>
    </row>
    <row r="175" spans="2:6" ht="15" hidden="1" customHeight="1" x14ac:dyDescent="0.25">
      <c r="B175" s="1"/>
      <c r="C175" s="104" t="s">
        <v>38</v>
      </c>
      <c r="D175" s="107" t="str">
        <f>IF(I.Facility.ComplianceYear="","Compliance year",I.Facility.ComplianceYear)</f>
        <v>Compliance year</v>
      </c>
      <c r="E175" s="103" t="s">
        <v>39</v>
      </c>
      <c r="F175" s="2"/>
    </row>
    <row r="176" spans="2:6" ht="15" hidden="1" customHeight="1" x14ac:dyDescent="0.35">
      <c r="B176" s="1"/>
      <c r="C176" s="105" t="s">
        <v>49</v>
      </c>
      <c r="D176" s="108"/>
      <c r="E176" s="110" t="s">
        <v>1660</v>
      </c>
      <c r="F176" s="2"/>
    </row>
    <row r="177" spans="2:6" ht="15" hidden="1" customHeight="1" x14ac:dyDescent="0.35">
      <c r="B177" s="1"/>
      <c r="C177" s="105" t="s">
        <v>50</v>
      </c>
      <c r="D177" s="108"/>
      <c r="E177" s="110" t="s">
        <v>1661</v>
      </c>
      <c r="F177" s="2"/>
    </row>
    <row r="178" spans="2:6" ht="15" hidden="1" customHeight="1" x14ac:dyDescent="0.35">
      <c r="B178" s="1"/>
      <c r="C178" s="105" t="s">
        <v>51</v>
      </c>
      <c r="D178" s="108"/>
      <c r="E178" s="110" t="s">
        <v>1662</v>
      </c>
      <c r="F178" s="2"/>
    </row>
    <row r="179" spans="2:6" ht="15" hidden="1" customHeight="1" x14ac:dyDescent="0.25">
      <c r="B179" s="1"/>
      <c r="C179" s="101"/>
      <c r="D179" s="101"/>
      <c r="E179" s="101"/>
      <c r="F179" s="2"/>
    </row>
    <row r="180" spans="2:6" ht="15" hidden="1" customHeight="1" x14ac:dyDescent="0.25">
      <c r="B180" s="1"/>
      <c r="C180" s="101" t="s">
        <v>45</v>
      </c>
      <c r="D180" s="101"/>
      <c r="E180" s="101"/>
      <c r="F180" s="2"/>
    </row>
    <row r="181" spans="2:6" ht="15" hidden="1" customHeight="1" x14ac:dyDescent="0.25">
      <c r="B181" s="1"/>
      <c r="C181" s="104" t="s">
        <v>38</v>
      </c>
      <c r="D181" s="107" t="str">
        <f>IF(I.Facility.ComplianceYear="","Compliance year",I.Facility.ComplianceYear)</f>
        <v>Compliance year</v>
      </c>
      <c r="E181" s="103" t="s">
        <v>39</v>
      </c>
      <c r="F181" s="2"/>
    </row>
    <row r="182" spans="2:6" ht="15" hidden="1" customHeight="1" x14ac:dyDescent="0.35">
      <c r="B182" s="1"/>
      <c r="C182" s="105" t="s">
        <v>49</v>
      </c>
      <c r="D182" s="108"/>
      <c r="E182" s="110" t="s">
        <v>1660</v>
      </c>
      <c r="F182" s="2"/>
    </row>
    <row r="183" spans="2:6" ht="15" hidden="1" customHeight="1" x14ac:dyDescent="0.35">
      <c r="B183" s="1"/>
      <c r="C183" s="105" t="s">
        <v>50</v>
      </c>
      <c r="D183" s="108"/>
      <c r="E183" s="110" t="s">
        <v>1661</v>
      </c>
      <c r="F183" s="2"/>
    </row>
    <row r="184" spans="2:6" ht="15" hidden="1" customHeight="1" x14ac:dyDescent="0.35">
      <c r="B184" s="1"/>
      <c r="C184" s="105" t="s">
        <v>51</v>
      </c>
      <c r="D184" s="108"/>
      <c r="E184" s="110" t="s">
        <v>1662</v>
      </c>
      <c r="F184" s="2"/>
    </row>
    <row r="185" spans="2:6" ht="15" hidden="1" customHeight="1" x14ac:dyDescent="0.25">
      <c r="B185" s="1"/>
      <c r="C185" s="101"/>
      <c r="D185" s="101"/>
      <c r="E185" s="101"/>
      <c r="F185" s="2"/>
    </row>
    <row r="186" spans="2:6" ht="15" hidden="1" customHeight="1" x14ac:dyDescent="0.25">
      <c r="B186" s="1"/>
      <c r="C186" s="101" t="s">
        <v>46</v>
      </c>
      <c r="D186" s="101"/>
      <c r="E186" s="101"/>
      <c r="F186" s="2"/>
    </row>
    <row r="187" spans="2:6" ht="15" hidden="1" customHeight="1" x14ac:dyDescent="0.25">
      <c r="B187" s="1"/>
      <c r="C187" s="104" t="s">
        <v>38</v>
      </c>
      <c r="D187" s="107" t="str">
        <f>IF(I.Facility.ComplianceYear="","Compliance year",I.Facility.ComplianceYear)</f>
        <v>Compliance year</v>
      </c>
      <c r="E187" s="103" t="s">
        <v>39</v>
      </c>
      <c r="F187" s="2"/>
    </row>
    <row r="188" spans="2:6" ht="15" hidden="1" customHeight="1" x14ac:dyDescent="0.35">
      <c r="B188" s="1"/>
      <c r="C188" s="105" t="s">
        <v>49</v>
      </c>
      <c r="D188" s="108"/>
      <c r="E188" s="110" t="s">
        <v>1660</v>
      </c>
      <c r="F188" s="2"/>
    </row>
    <row r="189" spans="2:6" ht="15" hidden="1" customHeight="1" x14ac:dyDescent="0.35">
      <c r="B189" s="1"/>
      <c r="C189" s="105" t="s">
        <v>50</v>
      </c>
      <c r="D189" s="108"/>
      <c r="E189" s="110" t="s">
        <v>1661</v>
      </c>
      <c r="F189" s="2"/>
    </row>
    <row r="190" spans="2:6" ht="15" hidden="1" customHeight="1" x14ac:dyDescent="0.35">
      <c r="B190" s="1"/>
      <c r="C190" s="105" t="s">
        <v>51</v>
      </c>
      <c r="D190" s="108"/>
      <c r="E190" s="110" t="s">
        <v>1662</v>
      </c>
      <c r="F190" s="2"/>
    </row>
    <row r="191" spans="2:6" ht="15" hidden="1" customHeight="1" x14ac:dyDescent="0.25">
      <c r="B191" s="1"/>
      <c r="C191" s="101"/>
      <c r="D191" s="101"/>
      <c r="E191" s="101"/>
      <c r="F191" s="2"/>
    </row>
    <row r="192" spans="2:6" ht="15" hidden="1" customHeight="1" x14ac:dyDescent="0.25">
      <c r="B192" s="1"/>
      <c r="C192" s="101" t="s">
        <v>47</v>
      </c>
      <c r="D192" s="101"/>
      <c r="E192" s="101"/>
      <c r="F192" s="2"/>
    </row>
    <row r="193" spans="2:6" ht="15" hidden="1" customHeight="1" x14ac:dyDescent="0.25">
      <c r="B193" s="1"/>
      <c r="C193" s="104" t="s">
        <v>38</v>
      </c>
      <c r="D193" s="107" t="str">
        <f>IF(I.Facility.ComplianceYear="","Compliance year",I.Facility.ComplianceYear)</f>
        <v>Compliance year</v>
      </c>
      <c r="E193" s="103" t="s">
        <v>39</v>
      </c>
      <c r="F193" s="2"/>
    </row>
    <row r="194" spans="2:6" ht="15" hidden="1" customHeight="1" x14ac:dyDescent="0.35">
      <c r="B194" s="1"/>
      <c r="C194" s="105" t="s">
        <v>49</v>
      </c>
      <c r="D194" s="108"/>
      <c r="E194" s="110" t="s">
        <v>1660</v>
      </c>
      <c r="F194" s="2"/>
    </row>
    <row r="195" spans="2:6" ht="15" hidden="1" customHeight="1" x14ac:dyDescent="0.35">
      <c r="B195" s="1"/>
      <c r="C195" s="105" t="s">
        <v>50</v>
      </c>
      <c r="D195" s="108"/>
      <c r="E195" s="110" t="s">
        <v>1661</v>
      </c>
      <c r="F195" s="2"/>
    </row>
    <row r="196" spans="2:6" ht="15" hidden="1" customHeight="1" x14ac:dyDescent="0.35">
      <c r="B196" s="1"/>
      <c r="C196" s="105" t="s">
        <v>51</v>
      </c>
      <c r="D196" s="108"/>
      <c r="E196" s="110" t="s">
        <v>1662</v>
      </c>
      <c r="F196" s="2"/>
    </row>
    <row r="197" spans="2:6" ht="15" hidden="1" customHeight="1" x14ac:dyDescent="0.25">
      <c r="B197" s="1"/>
      <c r="C197" s="101"/>
      <c r="D197" s="101"/>
      <c r="E197" s="101"/>
      <c r="F197" s="2"/>
    </row>
    <row r="198" spans="2:6" ht="15" hidden="1" customHeight="1" x14ac:dyDescent="0.25">
      <c r="B198" s="1"/>
      <c r="C198" s="101" t="s">
        <v>48</v>
      </c>
      <c r="D198" s="101"/>
      <c r="E198" s="101"/>
      <c r="F198" s="2"/>
    </row>
    <row r="199" spans="2:6" ht="15" hidden="1" customHeight="1" x14ac:dyDescent="0.25">
      <c r="B199" s="1"/>
      <c r="C199" s="104" t="s">
        <v>38</v>
      </c>
      <c r="D199" s="107" t="str">
        <f>IF(I.Facility.ComplianceYear="","Compliance year",I.Facility.ComplianceYear)</f>
        <v>Compliance year</v>
      </c>
      <c r="E199" s="103" t="s">
        <v>39</v>
      </c>
      <c r="F199" s="2"/>
    </row>
    <row r="200" spans="2:6" ht="15" hidden="1" customHeight="1" x14ac:dyDescent="0.35">
      <c r="B200" s="1"/>
      <c r="C200" s="105" t="s">
        <v>49</v>
      </c>
      <c r="D200" s="108"/>
      <c r="E200" s="110" t="s">
        <v>1660</v>
      </c>
      <c r="F200" s="2"/>
    </row>
    <row r="201" spans="2:6" ht="15" hidden="1" customHeight="1" x14ac:dyDescent="0.35">
      <c r="B201" s="1"/>
      <c r="C201" s="105" t="s">
        <v>50</v>
      </c>
      <c r="D201" s="108"/>
      <c r="E201" s="110" t="s">
        <v>1661</v>
      </c>
      <c r="F201" s="2"/>
    </row>
    <row r="202" spans="2:6" ht="15" hidden="1" customHeight="1" x14ac:dyDescent="0.35">
      <c r="B202" s="1"/>
      <c r="C202" s="105" t="s">
        <v>51</v>
      </c>
      <c r="D202" s="108"/>
      <c r="E202" s="110" t="s">
        <v>1662</v>
      </c>
      <c r="F202" s="2"/>
    </row>
    <row r="203" spans="2:6" ht="15" hidden="1" customHeight="1" x14ac:dyDescent="0.25">
      <c r="B203" s="1"/>
      <c r="C203" s="101"/>
      <c r="D203" s="101"/>
      <c r="E203" s="101"/>
      <c r="F203" s="2"/>
    </row>
    <row r="204" spans="2:6" ht="20.100000000000001" hidden="1" customHeight="1" x14ac:dyDescent="0.25">
      <c r="B204" s="12"/>
      <c r="C204" s="121" t="s">
        <v>32</v>
      </c>
      <c r="D204" s="121"/>
      <c r="E204" s="121"/>
      <c r="F204" s="13"/>
    </row>
    <row r="205" spans="2:6" ht="15" hidden="1" customHeight="1" x14ac:dyDescent="0.25">
      <c r="B205" s="1"/>
      <c r="C205" s="101"/>
      <c r="D205" s="101"/>
      <c r="E205" s="101"/>
      <c r="F205" s="2"/>
    </row>
    <row r="206" spans="2:6" ht="15" hidden="1" customHeight="1" x14ac:dyDescent="0.25">
      <c r="B206" s="1"/>
      <c r="C206" s="101" t="s">
        <v>29</v>
      </c>
      <c r="D206" s="101"/>
      <c r="E206" s="101"/>
      <c r="F206" s="2"/>
    </row>
    <row r="207" spans="2:6" ht="15" hidden="1" customHeight="1" x14ac:dyDescent="0.25">
      <c r="B207" s="1"/>
      <c r="C207" s="102" t="str">
        <f>IF(I.Product.P3Name="","",I.Product.P3Name)</f>
        <v/>
      </c>
      <c r="D207" s="101"/>
      <c r="E207" s="101"/>
      <c r="F207" s="2"/>
    </row>
    <row r="208" spans="2:6" ht="15" hidden="1" customHeight="1" x14ac:dyDescent="0.25">
      <c r="B208" s="1"/>
      <c r="C208" s="101"/>
      <c r="D208" s="101"/>
      <c r="E208" s="101"/>
      <c r="F208" s="2"/>
    </row>
    <row r="209" spans="2:6" ht="15" hidden="1" customHeight="1" x14ac:dyDescent="0.25">
      <c r="B209" s="1"/>
      <c r="C209" s="101" t="s">
        <v>40</v>
      </c>
      <c r="D209" s="101"/>
      <c r="E209" s="101"/>
      <c r="F209" s="2"/>
    </row>
    <row r="210" spans="2:6" ht="15" hidden="1" customHeight="1" x14ac:dyDescent="0.25">
      <c r="B210" s="1"/>
      <c r="C210" s="104" t="s">
        <v>38</v>
      </c>
      <c r="D210" s="107" t="str">
        <f>IF(I.Facility.ComplianceYear="","Compliance year",I.Facility.ComplianceYear)</f>
        <v>Compliance year</v>
      </c>
      <c r="E210" s="103" t="s">
        <v>39</v>
      </c>
      <c r="F210" s="2"/>
    </row>
    <row r="211" spans="2:6" ht="15" hidden="1" customHeight="1" x14ac:dyDescent="0.35">
      <c r="B211" s="1"/>
      <c r="C211" s="105" t="s">
        <v>49</v>
      </c>
      <c r="D211" s="108"/>
      <c r="E211" s="110" t="s">
        <v>1660</v>
      </c>
      <c r="F211" s="2"/>
    </row>
    <row r="212" spans="2:6" ht="15" hidden="1" customHeight="1" x14ac:dyDescent="0.35">
      <c r="B212" s="1"/>
      <c r="C212" s="105" t="s">
        <v>50</v>
      </c>
      <c r="D212" s="108"/>
      <c r="E212" s="110" t="s">
        <v>1661</v>
      </c>
      <c r="F212" s="2"/>
    </row>
    <row r="213" spans="2:6" ht="15" hidden="1" customHeight="1" x14ac:dyDescent="0.35">
      <c r="B213" s="1"/>
      <c r="C213" s="105" t="s">
        <v>51</v>
      </c>
      <c r="D213" s="108"/>
      <c r="E213" s="110" t="s">
        <v>1662</v>
      </c>
      <c r="F213" s="2"/>
    </row>
    <row r="214" spans="2:6" ht="15" hidden="1" customHeight="1" x14ac:dyDescent="0.25">
      <c r="B214" s="1"/>
      <c r="C214" s="101"/>
      <c r="D214" s="101"/>
      <c r="E214" s="101"/>
      <c r="F214" s="2"/>
    </row>
    <row r="215" spans="2:6" ht="15" hidden="1" customHeight="1" x14ac:dyDescent="0.25">
      <c r="B215" s="1"/>
      <c r="C215" s="101" t="s">
        <v>41</v>
      </c>
      <c r="D215" s="101"/>
      <c r="E215" s="101"/>
      <c r="F215" s="2"/>
    </row>
    <row r="216" spans="2:6" ht="15" hidden="1" customHeight="1" x14ac:dyDescent="0.25">
      <c r="B216" s="1"/>
      <c r="C216" s="104" t="s">
        <v>38</v>
      </c>
      <c r="D216" s="107" t="str">
        <f>IF(I.Facility.ComplianceYear="","Compliance year",I.Facility.ComplianceYear)</f>
        <v>Compliance year</v>
      </c>
      <c r="E216" s="103" t="s">
        <v>39</v>
      </c>
      <c r="F216" s="2"/>
    </row>
    <row r="217" spans="2:6" ht="15" hidden="1" customHeight="1" x14ac:dyDescent="0.35">
      <c r="B217" s="1"/>
      <c r="C217" s="105" t="s">
        <v>49</v>
      </c>
      <c r="D217" s="108"/>
      <c r="E217" s="110" t="s">
        <v>1660</v>
      </c>
      <c r="F217" s="2"/>
    </row>
    <row r="218" spans="2:6" ht="15" hidden="1" customHeight="1" x14ac:dyDescent="0.35">
      <c r="B218" s="1"/>
      <c r="C218" s="105" t="s">
        <v>50</v>
      </c>
      <c r="D218" s="108"/>
      <c r="E218" s="110" t="s">
        <v>1661</v>
      </c>
      <c r="F218" s="2"/>
    </row>
    <row r="219" spans="2:6" ht="15" hidden="1" customHeight="1" x14ac:dyDescent="0.35">
      <c r="B219" s="1"/>
      <c r="C219" s="105" t="s">
        <v>51</v>
      </c>
      <c r="D219" s="108"/>
      <c r="E219" s="110" t="s">
        <v>1662</v>
      </c>
      <c r="F219" s="2"/>
    </row>
    <row r="220" spans="2:6" ht="15" hidden="1" customHeight="1" x14ac:dyDescent="0.35">
      <c r="B220" s="1"/>
      <c r="C220" s="105" t="s">
        <v>52</v>
      </c>
      <c r="D220" s="108"/>
      <c r="E220" s="110" t="s">
        <v>1663</v>
      </c>
      <c r="F220" s="2"/>
    </row>
    <row r="221" spans="2:6" ht="15" hidden="1" customHeight="1" x14ac:dyDescent="0.35">
      <c r="B221" s="1"/>
      <c r="C221" s="105" t="s">
        <v>53</v>
      </c>
      <c r="D221" s="108"/>
      <c r="E221" s="110" t="s">
        <v>1664</v>
      </c>
      <c r="F221" s="2"/>
    </row>
    <row r="222" spans="2:6" ht="15" hidden="1" customHeight="1" x14ac:dyDescent="0.35">
      <c r="B222" s="1"/>
      <c r="C222" s="105" t="s">
        <v>54</v>
      </c>
      <c r="D222" s="108"/>
      <c r="E222" s="110" t="s">
        <v>1665</v>
      </c>
      <c r="F222" s="2"/>
    </row>
    <row r="223" spans="2:6" ht="15" hidden="1" customHeight="1" x14ac:dyDescent="0.35">
      <c r="B223" s="1"/>
      <c r="C223" s="105" t="s">
        <v>55</v>
      </c>
      <c r="D223" s="108"/>
      <c r="E223" s="110" t="s">
        <v>1666</v>
      </c>
      <c r="F223" s="2"/>
    </row>
    <row r="224" spans="2:6" ht="15" hidden="1" customHeight="1" x14ac:dyDescent="0.35">
      <c r="B224" s="1"/>
      <c r="C224" s="105" t="s">
        <v>56</v>
      </c>
      <c r="D224" s="108"/>
      <c r="E224" s="110" t="s">
        <v>1667</v>
      </c>
      <c r="F224" s="2"/>
    </row>
    <row r="225" spans="2:6" ht="15" hidden="1" customHeight="1" x14ac:dyDescent="0.35">
      <c r="B225" s="1"/>
      <c r="C225" s="105" t="s">
        <v>57</v>
      </c>
      <c r="D225" s="108"/>
      <c r="E225" s="110" t="s">
        <v>1668</v>
      </c>
      <c r="F225" s="2"/>
    </row>
    <row r="226" spans="2:6" ht="15" hidden="1" customHeight="1" x14ac:dyDescent="0.35">
      <c r="B226" s="1"/>
      <c r="C226" s="105" t="s">
        <v>58</v>
      </c>
      <c r="D226" s="108"/>
      <c r="E226" s="110" t="s">
        <v>1669</v>
      </c>
      <c r="F226" s="2"/>
    </row>
    <row r="227" spans="2:6" ht="15" hidden="1" customHeight="1" x14ac:dyDescent="0.35">
      <c r="B227" s="1"/>
      <c r="C227" s="105" t="s">
        <v>59</v>
      </c>
      <c r="D227" s="108"/>
      <c r="E227" s="110" t="s">
        <v>1670</v>
      </c>
      <c r="F227" s="2"/>
    </row>
    <row r="228" spans="2:6" ht="15" hidden="1" customHeight="1" x14ac:dyDescent="0.35">
      <c r="B228" s="1"/>
      <c r="C228" s="105" t="s">
        <v>60</v>
      </c>
      <c r="D228" s="108"/>
      <c r="E228" s="110" t="s">
        <v>1671</v>
      </c>
      <c r="F228" s="2"/>
    </row>
    <row r="229" spans="2:6" ht="15" hidden="1" customHeight="1" x14ac:dyDescent="0.35">
      <c r="B229" s="1"/>
      <c r="C229" s="105" t="s">
        <v>61</v>
      </c>
      <c r="D229" s="108"/>
      <c r="E229" s="110" t="s">
        <v>1672</v>
      </c>
      <c r="F229" s="2"/>
    </row>
    <row r="230" spans="2:6" ht="15" hidden="1" customHeight="1" x14ac:dyDescent="0.35">
      <c r="B230" s="1"/>
      <c r="C230" s="105" t="s">
        <v>62</v>
      </c>
      <c r="D230" s="108"/>
      <c r="E230" s="110" t="s">
        <v>1673</v>
      </c>
      <c r="F230" s="2"/>
    </row>
    <row r="231" spans="2:6" ht="15" hidden="1" customHeight="1" x14ac:dyDescent="0.35">
      <c r="B231" s="1"/>
      <c r="C231" s="105" t="s">
        <v>63</v>
      </c>
      <c r="D231" s="108"/>
      <c r="E231" s="110" t="s">
        <v>1674</v>
      </c>
      <c r="F231" s="2"/>
    </row>
    <row r="232" spans="2:6" ht="15" hidden="1" customHeight="1" x14ac:dyDescent="0.35">
      <c r="B232" s="1"/>
      <c r="C232" s="105" t="s">
        <v>64</v>
      </c>
      <c r="D232" s="108"/>
      <c r="E232" s="110" t="s">
        <v>1675</v>
      </c>
      <c r="F232" s="2"/>
    </row>
    <row r="233" spans="2:6" ht="15" hidden="1" customHeight="1" x14ac:dyDescent="0.35">
      <c r="B233" s="1"/>
      <c r="C233" s="105" t="s">
        <v>65</v>
      </c>
      <c r="D233" s="108"/>
      <c r="E233" s="110" t="s">
        <v>1676</v>
      </c>
      <c r="F233" s="2"/>
    </row>
    <row r="234" spans="2:6" ht="15" hidden="1" customHeight="1" x14ac:dyDescent="0.35">
      <c r="B234" s="1"/>
      <c r="C234" s="105" t="s">
        <v>66</v>
      </c>
      <c r="D234" s="108"/>
      <c r="E234" s="110" t="s">
        <v>1677</v>
      </c>
      <c r="F234" s="2"/>
    </row>
    <row r="235" spans="2:6" ht="15" hidden="1" customHeight="1" x14ac:dyDescent="0.35">
      <c r="B235" s="1"/>
      <c r="C235" s="105" t="s">
        <v>67</v>
      </c>
      <c r="D235" s="108"/>
      <c r="E235" s="110" t="s">
        <v>1678</v>
      </c>
      <c r="F235" s="2"/>
    </row>
    <row r="236" spans="2:6" ht="15" hidden="1" customHeight="1" x14ac:dyDescent="0.35">
      <c r="B236" s="1"/>
      <c r="C236" s="105" t="s">
        <v>68</v>
      </c>
      <c r="D236" s="108"/>
      <c r="E236" s="110" t="s">
        <v>1679</v>
      </c>
      <c r="F236" s="2"/>
    </row>
    <row r="237" spans="2:6" ht="15" hidden="1" customHeight="1" x14ac:dyDescent="0.35">
      <c r="B237" s="1"/>
      <c r="C237" s="105" t="s">
        <v>69</v>
      </c>
      <c r="D237" s="108"/>
      <c r="E237" s="110" t="s">
        <v>1680</v>
      </c>
      <c r="F237" s="2"/>
    </row>
    <row r="238" spans="2:6" ht="15" hidden="1" customHeight="1" x14ac:dyDescent="0.35">
      <c r="B238" s="1"/>
      <c r="C238" s="105" t="s">
        <v>70</v>
      </c>
      <c r="D238" s="108"/>
      <c r="E238" s="110" t="s">
        <v>1681</v>
      </c>
      <c r="F238" s="2"/>
    </row>
    <row r="239" spans="2:6" ht="15" hidden="1" customHeight="1" x14ac:dyDescent="0.35">
      <c r="B239" s="1"/>
      <c r="C239" s="105" t="s">
        <v>71</v>
      </c>
      <c r="D239" s="108"/>
      <c r="E239" s="110" t="s">
        <v>1682</v>
      </c>
      <c r="F239" s="2"/>
    </row>
    <row r="240" spans="2:6" ht="15" hidden="1" customHeight="1" x14ac:dyDescent="0.35">
      <c r="B240" s="1"/>
      <c r="C240" s="105" t="s">
        <v>72</v>
      </c>
      <c r="D240" s="108"/>
      <c r="E240" s="110" t="s">
        <v>1683</v>
      </c>
      <c r="F240" s="2"/>
    </row>
    <row r="241" spans="2:6" ht="15" hidden="1" customHeight="1" x14ac:dyDescent="0.25">
      <c r="B241" s="1"/>
      <c r="C241" s="101"/>
      <c r="D241" s="101"/>
      <c r="E241" s="101"/>
      <c r="F241" s="2"/>
    </row>
    <row r="242" spans="2:6" ht="15" hidden="1" customHeight="1" x14ac:dyDescent="0.25">
      <c r="B242" s="1"/>
      <c r="C242" s="101" t="s">
        <v>42</v>
      </c>
      <c r="D242" s="101"/>
      <c r="E242" s="101"/>
      <c r="F242" s="2"/>
    </row>
    <row r="243" spans="2:6" ht="15" hidden="1" customHeight="1" x14ac:dyDescent="0.25">
      <c r="B243" s="1"/>
      <c r="C243" s="104" t="s">
        <v>38</v>
      </c>
      <c r="D243" s="107" t="str">
        <f>IF(I.Facility.ComplianceYear="","Compliance year",I.Facility.ComplianceYear)</f>
        <v>Compliance year</v>
      </c>
      <c r="E243" s="103" t="s">
        <v>39</v>
      </c>
      <c r="F243" s="2"/>
    </row>
    <row r="244" spans="2:6" ht="15" hidden="1" customHeight="1" x14ac:dyDescent="0.35">
      <c r="B244" s="1"/>
      <c r="C244" s="105" t="s">
        <v>52</v>
      </c>
      <c r="D244" s="108"/>
      <c r="E244" s="110" t="s">
        <v>1663</v>
      </c>
      <c r="F244" s="2"/>
    </row>
    <row r="245" spans="2:6" ht="15" hidden="1" customHeight="1" x14ac:dyDescent="0.35">
      <c r="B245" s="1"/>
      <c r="C245" s="105" t="s">
        <v>53</v>
      </c>
      <c r="D245" s="108"/>
      <c r="E245" s="110" t="s">
        <v>1664</v>
      </c>
      <c r="F245" s="2"/>
    </row>
    <row r="246" spans="2:6" ht="15" hidden="1" customHeight="1" x14ac:dyDescent="0.35">
      <c r="B246" s="1"/>
      <c r="C246" s="105" t="s">
        <v>54</v>
      </c>
      <c r="D246" s="108"/>
      <c r="E246" s="110" t="s">
        <v>1665</v>
      </c>
      <c r="F246" s="2"/>
    </row>
    <row r="247" spans="2:6" ht="15" hidden="1" customHeight="1" x14ac:dyDescent="0.35">
      <c r="B247" s="1"/>
      <c r="C247" s="105" t="s">
        <v>55</v>
      </c>
      <c r="D247" s="108"/>
      <c r="E247" s="110" t="s">
        <v>1666</v>
      </c>
      <c r="F247" s="2"/>
    </row>
    <row r="248" spans="2:6" ht="15" hidden="1" customHeight="1" x14ac:dyDescent="0.35">
      <c r="B248" s="1"/>
      <c r="C248" s="105" t="s">
        <v>56</v>
      </c>
      <c r="D248" s="108"/>
      <c r="E248" s="110" t="s">
        <v>1667</v>
      </c>
      <c r="F248" s="2"/>
    </row>
    <row r="249" spans="2:6" ht="15" hidden="1" customHeight="1" x14ac:dyDescent="0.35">
      <c r="B249" s="1"/>
      <c r="C249" s="105" t="s">
        <v>57</v>
      </c>
      <c r="D249" s="108"/>
      <c r="E249" s="110" t="s">
        <v>1668</v>
      </c>
      <c r="F249" s="2"/>
    </row>
    <row r="250" spans="2:6" ht="15" hidden="1" customHeight="1" x14ac:dyDescent="0.35">
      <c r="B250" s="1"/>
      <c r="C250" s="105" t="s">
        <v>58</v>
      </c>
      <c r="D250" s="108"/>
      <c r="E250" s="110" t="s">
        <v>1669</v>
      </c>
      <c r="F250" s="2"/>
    </row>
    <row r="251" spans="2:6" ht="15" hidden="1" customHeight="1" x14ac:dyDescent="0.35">
      <c r="B251" s="1"/>
      <c r="C251" s="105" t="s">
        <v>59</v>
      </c>
      <c r="D251" s="108"/>
      <c r="E251" s="110" t="s">
        <v>1670</v>
      </c>
      <c r="F251" s="2"/>
    </row>
    <row r="252" spans="2:6" ht="15" hidden="1" customHeight="1" x14ac:dyDescent="0.35">
      <c r="B252" s="1"/>
      <c r="C252" s="105" t="s">
        <v>60</v>
      </c>
      <c r="D252" s="108"/>
      <c r="E252" s="110" t="s">
        <v>1671</v>
      </c>
      <c r="F252" s="2"/>
    </row>
    <row r="253" spans="2:6" ht="15" hidden="1" customHeight="1" x14ac:dyDescent="0.35">
      <c r="B253" s="1"/>
      <c r="C253" s="105" t="s">
        <v>61</v>
      </c>
      <c r="D253" s="108"/>
      <c r="E253" s="110" t="s">
        <v>1672</v>
      </c>
      <c r="F253" s="2"/>
    </row>
    <row r="254" spans="2:6" ht="15" hidden="1" customHeight="1" x14ac:dyDescent="0.35">
      <c r="B254" s="1"/>
      <c r="C254" s="105" t="s">
        <v>62</v>
      </c>
      <c r="D254" s="108"/>
      <c r="E254" s="110" t="s">
        <v>1673</v>
      </c>
      <c r="F254" s="2"/>
    </row>
    <row r="255" spans="2:6" ht="15" hidden="1" customHeight="1" x14ac:dyDescent="0.35">
      <c r="B255" s="1"/>
      <c r="C255" s="105" t="s">
        <v>63</v>
      </c>
      <c r="D255" s="108"/>
      <c r="E255" s="110" t="s">
        <v>1674</v>
      </c>
      <c r="F255" s="2"/>
    </row>
    <row r="256" spans="2:6" ht="15" hidden="1" customHeight="1" x14ac:dyDescent="0.35">
      <c r="B256" s="1"/>
      <c r="C256" s="105" t="s">
        <v>64</v>
      </c>
      <c r="D256" s="108"/>
      <c r="E256" s="110" t="s">
        <v>1675</v>
      </c>
      <c r="F256" s="2"/>
    </row>
    <row r="257" spans="2:6" ht="15" hidden="1" customHeight="1" x14ac:dyDescent="0.35">
      <c r="B257" s="1"/>
      <c r="C257" s="105" t="s">
        <v>65</v>
      </c>
      <c r="D257" s="108"/>
      <c r="E257" s="110" t="s">
        <v>1676</v>
      </c>
      <c r="F257" s="2"/>
    </row>
    <row r="258" spans="2:6" ht="15" hidden="1" customHeight="1" x14ac:dyDescent="0.35">
      <c r="B258" s="1"/>
      <c r="C258" s="105" t="s">
        <v>66</v>
      </c>
      <c r="D258" s="108"/>
      <c r="E258" s="110" t="s">
        <v>1677</v>
      </c>
      <c r="F258" s="2"/>
    </row>
    <row r="259" spans="2:6" ht="15" hidden="1" customHeight="1" x14ac:dyDescent="0.35">
      <c r="B259" s="1"/>
      <c r="C259" s="105" t="s">
        <v>67</v>
      </c>
      <c r="D259" s="108"/>
      <c r="E259" s="110" t="s">
        <v>1678</v>
      </c>
      <c r="F259" s="2"/>
    </row>
    <row r="260" spans="2:6" ht="15" hidden="1" customHeight="1" x14ac:dyDescent="0.35">
      <c r="B260" s="1"/>
      <c r="C260" s="105" t="s">
        <v>68</v>
      </c>
      <c r="D260" s="108"/>
      <c r="E260" s="110" t="s">
        <v>1679</v>
      </c>
      <c r="F260" s="2"/>
    </row>
    <row r="261" spans="2:6" ht="15" hidden="1" customHeight="1" x14ac:dyDescent="0.35">
      <c r="B261" s="1"/>
      <c r="C261" s="105" t="s">
        <v>69</v>
      </c>
      <c r="D261" s="108"/>
      <c r="E261" s="110" t="s">
        <v>1680</v>
      </c>
      <c r="F261" s="2"/>
    </row>
    <row r="262" spans="2:6" ht="15" hidden="1" customHeight="1" x14ac:dyDescent="0.35">
      <c r="B262" s="1"/>
      <c r="C262" s="105" t="s">
        <v>70</v>
      </c>
      <c r="D262" s="108"/>
      <c r="E262" s="110" t="s">
        <v>1681</v>
      </c>
      <c r="F262" s="2"/>
    </row>
    <row r="263" spans="2:6" ht="15" hidden="1" customHeight="1" x14ac:dyDescent="0.35">
      <c r="B263" s="1"/>
      <c r="C263" s="105" t="s">
        <v>71</v>
      </c>
      <c r="D263" s="108"/>
      <c r="E263" s="110" t="s">
        <v>1682</v>
      </c>
      <c r="F263" s="2"/>
    </row>
    <row r="264" spans="2:6" ht="15" hidden="1" customHeight="1" x14ac:dyDescent="0.35">
      <c r="B264" s="1"/>
      <c r="C264" s="105" t="s">
        <v>72</v>
      </c>
      <c r="D264" s="108"/>
      <c r="E264" s="110" t="s">
        <v>1683</v>
      </c>
      <c r="F264" s="2"/>
    </row>
    <row r="265" spans="2:6" ht="15" hidden="1" customHeight="1" x14ac:dyDescent="0.25">
      <c r="B265" s="1"/>
      <c r="C265" s="101"/>
      <c r="D265" s="101"/>
      <c r="E265" s="101"/>
      <c r="F265" s="2"/>
    </row>
    <row r="266" spans="2:6" ht="15" hidden="1" customHeight="1" x14ac:dyDescent="0.25">
      <c r="B266" s="1"/>
      <c r="C266" s="101" t="s">
        <v>43</v>
      </c>
      <c r="D266" s="101"/>
      <c r="E266" s="101"/>
      <c r="F266" s="2"/>
    </row>
    <row r="267" spans="2:6" ht="15" hidden="1" customHeight="1" x14ac:dyDescent="0.25">
      <c r="B267" s="1"/>
      <c r="C267" s="104" t="s">
        <v>38</v>
      </c>
      <c r="D267" s="107" t="str">
        <f>IF(I.Facility.ComplianceYear="","Compliance year",I.Facility.ComplianceYear)</f>
        <v>Compliance year</v>
      </c>
      <c r="E267" s="103" t="s">
        <v>39</v>
      </c>
      <c r="F267" s="2"/>
    </row>
    <row r="268" spans="2:6" ht="15" hidden="1" customHeight="1" x14ac:dyDescent="0.35">
      <c r="B268" s="1"/>
      <c r="C268" s="105" t="s">
        <v>49</v>
      </c>
      <c r="D268" s="108"/>
      <c r="E268" s="110" t="s">
        <v>1660</v>
      </c>
      <c r="F268" s="2"/>
    </row>
    <row r="269" spans="2:6" ht="15" hidden="1" customHeight="1" x14ac:dyDescent="0.35">
      <c r="B269" s="1"/>
      <c r="C269" s="105" t="s">
        <v>50</v>
      </c>
      <c r="D269" s="108"/>
      <c r="E269" s="110" t="s">
        <v>1661</v>
      </c>
      <c r="F269" s="2"/>
    </row>
    <row r="270" spans="2:6" ht="15" hidden="1" customHeight="1" x14ac:dyDescent="0.35">
      <c r="B270" s="1"/>
      <c r="C270" s="105" t="s">
        <v>51</v>
      </c>
      <c r="D270" s="108"/>
      <c r="E270" s="110" t="s">
        <v>1662</v>
      </c>
      <c r="F270" s="2"/>
    </row>
    <row r="271" spans="2:6" ht="15" hidden="1" customHeight="1" x14ac:dyDescent="0.25">
      <c r="B271" s="1"/>
      <c r="C271" s="101"/>
      <c r="D271" s="101"/>
      <c r="E271" s="101"/>
      <c r="F271" s="2"/>
    </row>
    <row r="272" spans="2:6" ht="15" hidden="1" customHeight="1" x14ac:dyDescent="0.25">
      <c r="B272" s="1"/>
      <c r="C272" s="101" t="s">
        <v>44</v>
      </c>
      <c r="D272" s="101"/>
      <c r="E272" s="101"/>
      <c r="F272" s="2"/>
    </row>
    <row r="273" spans="2:6" ht="15" hidden="1" customHeight="1" x14ac:dyDescent="0.25">
      <c r="B273" s="1"/>
      <c r="C273" s="104" t="s">
        <v>38</v>
      </c>
      <c r="D273" s="107" t="str">
        <f>IF(I.Facility.ComplianceYear="","Compliance year",I.Facility.ComplianceYear)</f>
        <v>Compliance year</v>
      </c>
      <c r="E273" s="103" t="s">
        <v>39</v>
      </c>
      <c r="F273" s="2"/>
    </row>
    <row r="274" spans="2:6" ht="15" hidden="1" customHeight="1" x14ac:dyDescent="0.35">
      <c r="B274" s="1"/>
      <c r="C274" s="105" t="s">
        <v>49</v>
      </c>
      <c r="D274" s="108"/>
      <c r="E274" s="110" t="s">
        <v>1660</v>
      </c>
      <c r="F274" s="2"/>
    </row>
    <row r="275" spans="2:6" ht="15" hidden="1" customHeight="1" x14ac:dyDescent="0.35">
      <c r="B275" s="1"/>
      <c r="C275" s="105" t="s">
        <v>50</v>
      </c>
      <c r="D275" s="108"/>
      <c r="E275" s="110" t="s">
        <v>1661</v>
      </c>
      <c r="F275" s="2"/>
    </row>
    <row r="276" spans="2:6" ht="15" hidden="1" customHeight="1" x14ac:dyDescent="0.35">
      <c r="B276" s="1"/>
      <c r="C276" s="105" t="s">
        <v>51</v>
      </c>
      <c r="D276" s="108"/>
      <c r="E276" s="110" t="s">
        <v>1662</v>
      </c>
      <c r="F276" s="2"/>
    </row>
    <row r="277" spans="2:6" ht="15" hidden="1" customHeight="1" x14ac:dyDescent="0.25">
      <c r="B277" s="1"/>
      <c r="C277" s="101"/>
      <c r="D277" s="101"/>
      <c r="E277" s="101"/>
      <c r="F277" s="2"/>
    </row>
    <row r="278" spans="2:6" ht="15" hidden="1" customHeight="1" x14ac:dyDescent="0.25">
      <c r="B278" s="1"/>
      <c r="C278" s="101" t="s">
        <v>45</v>
      </c>
      <c r="D278" s="101"/>
      <c r="E278" s="101"/>
      <c r="F278" s="2"/>
    </row>
    <row r="279" spans="2:6" ht="15" hidden="1" customHeight="1" x14ac:dyDescent="0.25">
      <c r="B279" s="1"/>
      <c r="C279" s="104" t="s">
        <v>38</v>
      </c>
      <c r="D279" s="107" t="str">
        <f>IF(I.Facility.ComplianceYear="","Compliance year",I.Facility.ComplianceYear)</f>
        <v>Compliance year</v>
      </c>
      <c r="E279" s="103" t="s">
        <v>39</v>
      </c>
      <c r="F279" s="2"/>
    </row>
    <row r="280" spans="2:6" ht="15" hidden="1" customHeight="1" x14ac:dyDescent="0.35">
      <c r="B280" s="1"/>
      <c r="C280" s="105" t="s">
        <v>49</v>
      </c>
      <c r="D280" s="108"/>
      <c r="E280" s="110" t="s">
        <v>1660</v>
      </c>
      <c r="F280" s="2"/>
    </row>
    <row r="281" spans="2:6" ht="15" hidden="1" customHeight="1" x14ac:dyDescent="0.35">
      <c r="B281" s="1"/>
      <c r="C281" s="105" t="s">
        <v>50</v>
      </c>
      <c r="D281" s="108"/>
      <c r="E281" s="110" t="s">
        <v>1661</v>
      </c>
      <c r="F281" s="2"/>
    </row>
    <row r="282" spans="2:6" ht="15" hidden="1" customHeight="1" x14ac:dyDescent="0.35">
      <c r="B282" s="1"/>
      <c r="C282" s="105" t="s">
        <v>51</v>
      </c>
      <c r="D282" s="108"/>
      <c r="E282" s="110" t="s">
        <v>1662</v>
      </c>
      <c r="F282" s="2"/>
    </row>
    <row r="283" spans="2:6" ht="15" hidden="1" customHeight="1" x14ac:dyDescent="0.25">
      <c r="B283" s="1"/>
      <c r="C283" s="101"/>
      <c r="D283" s="101"/>
      <c r="E283" s="101"/>
      <c r="F283" s="2"/>
    </row>
    <row r="284" spans="2:6" ht="15" hidden="1" customHeight="1" x14ac:dyDescent="0.25">
      <c r="B284" s="1"/>
      <c r="C284" s="101" t="s">
        <v>46</v>
      </c>
      <c r="D284" s="101"/>
      <c r="E284" s="101"/>
      <c r="F284" s="2"/>
    </row>
    <row r="285" spans="2:6" ht="15" hidden="1" customHeight="1" x14ac:dyDescent="0.25">
      <c r="B285" s="1"/>
      <c r="C285" s="104" t="s">
        <v>38</v>
      </c>
      <c r="D285" s="107" t="str">
        <f>IF(I.Facility.ComplianceYear="","Compliance year",I.Facility.ComplianceYear)</f>
        <v>Compliance year</v>
      </c>
      <c r="E285" s="103" t="s">
        <v>39</v>
      </c>
      <c r="F285" s="2"/>
    </row>
    <row r="286" spans="2:6" ht="15" hidden="1" customHeight="1" x14ac:dyDescent="0.35">
      <c r="B286" s="1"/>
      <c r="C286" s="105" t="s">
        <v>49</v>
      </c>
      <c r="D286" s="108"/>
      <c r="E286" s="110" t="s">
        <v>1660</v>
      </c>
      <c r="F286" s="2"/>
    </row>
    <row r="287" spans="2:6" ht="15" hidden="1" customHeight="1" x14ac:dyDescent="0.35">
      <c r="B287" s="1"/>
      <c r="C287" s="105" t="s">
        <v>50</v>
      </c>
      <c r="D287" s="108"/>
      <c r="E287" s="110" t="s">
        <v>1661</v>
      </c>
      <c r="F287" s="2"/>
    </row>
    <row r="288" spans="2:6" ht="15" hidden="1" customHeight="1" x14ac:dyDescent="0.35">
      <c r="B288" s="1"/>
      <c r="C288" s="105" t="s">
        <v>51</v>
      </c>
      <c r="D288" s="108"/>
      <c r="E288" s="110" t="s">
        <v>1662</v>
      </c>
      <c r="F288" s="2"/>
    </row>
    <row r="289" spans="2:6" ht="15" hidden="1" customHeight="1" x14ac:dyDescent="0.25">
      <c r="B289" s="1"/>
      <c r="C289" s="101"/>
      <c r="D289" s="101"/>
      <c r="E289" s="101"/>
      <c r="F289" s="2"/>
    </row>
    <row r="290" spans="2:6" ht="15" hidden="1" customHeight="1" x14ac:dyDescent="0.25">
      <c r="B290" s="1"/>
      <c r="C290" s="101" t="s">
        <v>47</v>
      </c>
      <c r="D290" s="101"/>
      <c r="E290" s="101"/>
      <c r="F290" s="2"/>
    </row>
    <row r="291" spans="2:6" ht="15" hidden="1" customHeight="1" x14ac:dyDescent="0.25">
      <c r="B291" s="1"/>
      <c r="C291" s="104" t="s">
        <v>38</v>
      </c>
      <c r="D291" s="107" t="str">
        <f>IF(I.Facility.ComplianceYear="","Compliance year",I.Facility.ComplianceYear)</f>
        <v>Compliance year</v>
      </c>
      <c r="E291" s="103" t="s">
        <v>39</v>
      </c>
      <c r="F291" s="2"/>
    </row>
    <row r="292" spans="2:6" ht="15" hidden="1" customHeight="1" x14ac:dyDescent="0.35">
      <c r="B292" s="1"/>
      <c r="C292" s="105" t="s">
        <v>49</v>
      </c>
      <c r="D292" s="108"/>
      <c r="E292" s="110" t="s">
        <v>1660</v>
      </c>
      <c r="F292" s="2"/>
    </row>
    <row r="293" spans="2:6" ht="15" hidden="1" customHeight="1" x14ac:dyDescent="0.35">
      <c r="B293" s="1"/>
      <c r="C293" s="105" t="s">
        <v>50</v>
      </c>
      <c r="D293" s="108"/>
      <c r="E293" s="110" t="s">
        <v>1661</v>
      </c>
      <c r="F293" s="2"/>
    </row>
    <row r="294" spans="2:6" ht="15" hidden="1" customHeight="1" x14ac:dyDescent="0.35">
      <c r="B294" s="1"/>
      <c r="C294" s="105" t="s">
        <v>51</v>
      </c>
      <c r="D294" s="108"/>
      <c r="E294" s="110" t="s">
        <v>1662</v>
      </c>
      <c r="F294" s="2"/>
    </row>
    <row r="295" spans="2:6" ht="15" hidden="1" customHeight="1" x14ac:dyDescent="0.25">
      <c r="B295" s="1"/>
      <c r="C295" s="101"/>
      <c r="D295" s="101"/>
      <c r="E295" s="101"/>
      <c r="F295" s="2"/>
    </row>
    <row r="296" spans="2:6" ht="15" hidden="1" customHeight="1" x14ac:dyDescent="0.25">
      <c r="B296" s="1"/>
      <c r="C296" s="101" t="s">
        <v>48</v>
      </c>
      <c r="D296" s="101"/>
      <c r="E296" s="101"/>
      <c r="F296" s="2"/>
    </row>
    <row r="297" spans="2:6" ht="15" hidden="1" customHeight="1" x14ac:dyDescent="0.25">
      <c r="B297" s="1"/>
      <c r="C297" s="104" t="s">
        <v>38</v>
      </c>
      <c r="D297" s="107" t="str">
        <f>IF(I.Facility.ComplianceYear="","Compliance year",I.Facility.ComplianceYear)</f>
        <v>Compliance year</v>
      </c>
      <c r="E297" s="103" t="s">
        <v>39</v>
      </c>
      <c r="F297" s="2"/>
    </row>
    <row r="298" spans="2:6" ht="15" hidden="1" customHeight="1" x14ac:dyDescent="0.35">
      <c r="B298" s="1"/>
      <c r="C298" s="105" t="s">
        <v>49</v>
      </c>
      <c r="D298" s="108"/>
      <c r="E298" s="110" t="s">
        <v>1660</v>
      </c>
      <c r="F298" s="2"/>
    </row>
    <row r="299" spans="2:6" ht="15" hidden="1" customHeight="1" x14ac:dyDescent="0.35">
      <c r="B299" s="1"/>
      <c r="C299" s="105" t="s">
        <v>50</v>
      </c>
      <c r="D299" s="108"/>
      <c r="E299" s="110" t="s">
        <v>1661</v>
      </c>
      <c r="F299" s="2"/>
    </row>
    <row r="300" spans="2:6" ht="15" hidden="1" customHeight="1" x14ac:dyDescent="0.35">
      <c r="B300" s="1"/>
      <c r="C300" s="105" t="s">
        <v>51</v>
      </c>
      <c r="D300" s="108"/>
      <c r="E300" s="110" t="s">
        <v>1662</v>
      </c>
      <c r="F300" s="2"/>
    </row>
    <row r="301" spans="2:6" ht="15" hidden="1" customHeight="1" x14ac:dyDescent="0.25">
      <c r="B301" s="1"/>
      <c r="C301" s="101"/>
      <c r="D301" s="101"/>
      <c r="E301" s="101"/>
      <c r="F301" s="2"/>
    </row>
    <row r="302" spans="2:6" ht="20.100000000000001" hidden="1" customHeight="1" x14ac:dyDescent="0.25">
      <c r="B302" s="12"/>
      <c r="C302" s="121" t="s">
        <v>33</v>
      </c>
      <c r="D302" s="121"/>
      <c r="E302" s="121"/>
      <c r="F302" s="13"/>
    </row>
    <row r="303" spans="2:6" ht="15" hidden="1" customHeight="1" x14ac:dyDescent="0.25">
      <c r="B303" s="1"/>
      <c r="C303" s="101"/>
      <c r="D303" s="101"/>
      <c r="E303" s="101"/>
      <c r="F303" s="2"/>
    </row>
    <row r="304" spans="2:6" ht="15" hidden="1" customHeight="1" x14ac:dyDescent="0.25">
      <c r="B304" s="1"/>
      <c r="C304" s="101" t="s">
        <v>29</v>
      </c>
      <c r="D304" s="101"/>
      <c r="E304" s="101"/>
      <c r="F304" s="2"/>
    </row>
    <row r="305" spans="2:6" ht="15" hidden="1" customHeight="1" x14ac:dyDescent="0.25">
      <c r="B305" s="1"/>
      <c r="C305" s="102" t="str">
        <f>IF(I.Product.P4Name="","",I.Product.P4Name)</f>
        <v/>
      </c>
      <c r="D305" s="101"/>
      <c r="E305" s="101"/>
      <c r="F305" s="2"/>
    </row>
    <row r="306" spans="2:6" ht="15" hidden="1" customHeight="1" x14ac:dyDescent="0.25">
      <c r="B306" s="1"/>
      <c r="C306" s="101"/>
      <c r="D306" s="101"/>
      <c r="E306" s="101"/>
      <c r="F306" s="2"/>
    </row>
    <row r="307" spans="2:6" ht="15" hidden="1" customHeight="1" x14ac:dyDescent="0.25">
      <c r="B307" s="1"/>
      <c r="C307" s="101" t="s">
        <v>40</v>
      </c>
      <c r="D307" s="101"/>
      <c r="E307" s="101"/>
      <c r="F307" s="2"/>
    </row>
    <row r="308" spans="2:6" ht="15" hidden="1" customHeight="1" x14ac:dyDescent="0.25">
      <c r="B308" s="1"/>
      <c r="C308" s="104" t="s">
        <v>38</v>
      </c>
      <c r="D308" s="107" t="str">
        <f>IF(I.Facility.ComplianceYear="","Compliance year",I.Facility.ComplianceYear)</f>
        <v>Compliance year</v>
      </c>
      <c r="E308" s="103" t="s">
        <v>39</v>
      </c>
      <c r="F308" s="2"/>
    </row>
    <row r="309" spans="2:6" ht="15" hidden="1" customHeight="1" x14ac:dyDescent="0.35">
      <c r="B309" s="1"/>
      <c r="C309" s="105" t="s">
        <v>49</v>
      </c>
      <c r="D309" s="108"/>
      <c r="E309" s="110" t="s">
        <v>1660</v>
      </c>
      <c r="F309" s="2"/>
    </row>
    <row r="310" spans="2:6" ht="15" hidden="1" customHeight="1" x14ac:dyDescent="0.35">
      <c r="B310" s="1"/>
      <c r="C310" s="105" t="s">
        <v>50</v>
      </c>
      <c r="D310" s="108"/>
      <c r="E310" s="110" t="s">
        <v>1661</v>
      </c>
      <c r="F310" s="2"/>
    </row>
    <row r="311" spans="2:6" ht="15" hidden="1" customHeight="1" x14ac:dyDescent="0.35">
      <c r="B311" s="1"/>
      <c r="C311" s="105" t="s">
        <v>51</v>
      </c>
      <c r="D311" s="108"/>
      <c r="E311" s="110" t="s">
        <v>1662</v>
      </c>
      <c r="F311" s="2"/>
    </row>
    <row r="312" spans="2:6" ht="15" hidden="1" customHeight="1" x14ac:dyDescent="0.25">
      <c r="B312" s="1"/>
      <c r="C312" s="101"/>
      <c r="D312" s="101"/>
      <c r="E312" s="101"/>
      <c r="F312" s="2"/>
    </row>
    <row r="313" spans="2:6" ht="15" hidden="1" customHeight="1" x14ac:dyDescent="0.25">
      <c r="B313" s="1"/>
      <c r="C313" s="101" t="s">
        <v>41</v>
      </c>
      <c r="D313" s="101"/>
      <c r="E313" s="101"/>
      <c r="F313" s="2"/>
    </row>
    <row r="314" spans="2:6" ht="15" hidden="1" customHeight="1" x14ac:dyDescent="0.25">
      <c r="B314" s="1"/>
      <c r="C314" s="104" t="s">
        <v>38</v>
      </c>
      <c r="D314" s="107" t="str">
        <f>IF(I.Facility.ComplianceYear="","Compliance year",I.Facility.ComplianceYear)</f>
        <v>Compliance year</v>
      </c>
      <c r="E314" s="103" t="s">
        <v>39</v>
      </c>
      <c r="F314" s="2"/>
    </row>
    <row r="315" spans="2:6" ht="15" hidden="1" customHeight="1" x14ac:dyDescent="0.35">
      <c r="B315" s="1"/>
      <c r="C315" s="105" t="s">
        <v>49</v>
      </c>
      <c r="D315" s="108"/>
      <c r="E315" s="110" t="s">
        <v>1660</v>
      </c>
      <c r="F315" s="2"/>
    </row>
    <row r="316" spans="2:6" ht="15" hidden="1" customHeight="1" x14ac:dyDescent="0.35">
      <c r="B316" s="1"/>
      <c r="C316" s="105" t="s">
        <v>50</v>
      </c>
      <c r="D316" s="108"/>
      <c r="E316" s="110" t="s">
        <v>1661</v>
      </c>
      <c r="F316" s="2"/>
    </row>
    <row r="317" spans="2:6" ht="15" hidden="1" customHeight="1" x14ac:dyDescent="0.35">
      <c r="B317" s="1"/>
      <c r="C317" s="105" t="s">
        <v>51</v>
      </c>
      <c r="D317" s="108"/>
      <c r="E317" s="110" t="s">
        <v>1662</v>
      </c>
      <c r="F317" s="2"/>
    </row>
    <row r="318" spans="2:6" ht="15" hidden="1" customHeight="1" x14ac:dyDescent="0.35">
      <c r="B318" s="1"/>
      <c r="C318" s="105" t="s">
        <v>52</v>
      </c>
      <c r="D318" s="108"/>
      <c r="E318" s="110" t="s">
        <v>1663</v>
      </c>
      <c r="F318" s="2"/>
    </row>
    <row r="319" spans="2:6" ht="15" hidden="1" customHeight="1" x14ac:dyDescent="0.35">
      <c r="B319" s="1"/>
      <c r="C319" s="105" t="s">
        <v>53</v>
      </c>
      <c r="D319" s="108"/>
      <c r="E319" s="110" t="s">
        <v>1664</v>
      </c>
      <c r="F319" s="2"/>
    </row>
    <row r="320" spans="2:6" ht="15" hidden="1" customHeight="1" x14ac:dyDescent="0.35">
      <c r="B320" s="1"/>
      <c r="C320" s="105" t="s">
        <v>54</v>
      </c>
      <c r="D320" s="108"/>
      <c r="E320" s="110" t="s">
        <v>1665</v>
      </c>
      <c r="F320" s="2"/>
    </row>
    <row r="321" spans="2:6" ht="15" hidden="1" customHeight="1" x14ac:dyDescent="0.35">
      <c r="B321" s="1"/>
      <c r="C321" s="105" t="s">
        <v>55</v>
      </c>
      <c r="D321" s="108"/>
      <c r="E321" s="110" t="s">
        <v>1666</v>
      </c>
      <c r="F321" s="2"/>
    </row>
    <row r="322" spans="2:6" ht="15" hidden="1" customHeight="1" x14ac:dyDescent="0.35">
      <c r="B322" s="1"/>
      <c r="C322" s="105" t="s">
        <v>56</v>
      </c>
      <c r="D322" s="108"/>
      <c r="E322" s="110" t="s">
        <v>1667</v>
      </c>
      <c r="F322" s="2"/>
    </row>
    <row r="323" spans="2:6" ht="15" hidden="1" customHeight="1" x14ac:dyDescent="0.35">
      <c r="B323" s="1"/>
      <c r="C323" s="105" t="s">
        <v>57</v>
      </c>
      <c r="D323" s="108"/>
      <c r="E323" s="110" t="s">
        <v>1668</v>
      </c>
      <c r="F323" s="2"/>
    </row>
    <row r="324" spans="2:6" ht="15" hidden="1" customHeight="1" x14ac:dyDescent="0.35">
      <c r="B324" s="1"/>
      <c r="C324" s="105" t="s">
        <v>58</v>
      </c>
      <c r="D324" s="108"/>
      <c r="E324" s="110" t="s">
        <v>1669</v>
      </c>
      <c r="F324" s="2"/>
    </row>
    <row r="325" spans="2:6" ht="15" hidden="1" customHeight="1" x14ac:dyDescent="0.35">
      <c r="B325" s="1"/>
      <c r="C325" s="105" t="s">
        <v>59</v>
      </c>
      <c r="D325" s="108"/>
      <c r="E325" s="110" t="s">
        <v>1670</v>
      </c>
      <c r="F325" s="2"/>
    </row>
    <row r="326" spans="2:6" ht="15" hidden="1" customHeight="1" x14ac:dyDescent="0.35">
      <c r="B326" s="1"/>
      <c r="C326" s="105" t="s">
        <v>60</v>
      </c>
      <c r="D326" s="108"/>
      <c r="E326" s="110" t="s">
        <v>1671</v>
      </c>
      <c r="F326" s="2"/>
    </row>
    <row r="327" spans="2:6" ht="15" hidden="1" customHeight="1" x14ac:dyDescent="0.35">
      <c r="B327" s="1"/>
      <c r="C327" s="105" t="s">
        <v>61</v>
      </c>
      <c r="D327" s="108"/>
      <c r="E327" s="110" t="s">
        <v>1672</v>
      </c>
      <c r="F327" s="2"/>
    </row>
    <row r="328" spans="2:6" ht="15" hidden="1" customHeight="1" x14ac:dyDescent="0.35">
      <c r="B328" s="1"/>
      <c r="C328" s="105" t="s">
        <v>62</v>
      </c>
      <c r="D328" s="108"/>
      <c r="E328" s="110" t="s">
        <v>1673</v>
      </c>
      <c r="F328" s="2"/>
    </row>
    <row r="329" spans="2:6" ht="15" hidden="1" customHeight="1" x14ac:dyDescent="0.35">
      <c r="B329" s="1"/>
      <c r="C329" s="105" t="s">
        <v>63</v>
      </c>
      <c r="D329" s="108"/>
      <c r="E329" s="110" t="s">
        <v>1674</v>
      </c>
      <c r="F329" s="2"/>
    </row>
    <row r="330" spans="2:6" ht="15" hidden="1" customHeight="1" x14ac:dyDescent="0.35">
      <c r="B330" s="1"/>
      <c r="C330" s="105" t="s">
        <v>64</v>
      </c>
      <c r="D330" s="108"/>
      <c r="E330" s="110" t="s">
        <v>1675</v>
      </c>
      <c r="F330" s="2"/>
    </row>
    <row r="331" spans="2:6" ht="15" hidden="1" customHeight="1" x14ac:dyDescent="0.35">
      <c r="B331" s="1"/>
      <c r="C331" s="105" t="s">
        <v>65</v>
      </c>
      <c r="D331" s="108"/>
      <c r="E331" s="110" t="s">
        <v>1676</v>
      </c>
      <c r="F331" s="2"/>
    </row>
    <row r="332" spans="2:6" ht="15" hidden="1" customHeight="1" x14ac:dyDescent="0.35">
      <c r="B332" s="1"/>
      <c r="C332" s="105" t="s">
        <v>66</v>
      </c>
      <c r="D332" s="108"/>
      <c r="E332" s="110" t="s">
        <v>1677</v>
      </c>
      <c r="F332" s="2"/>
    </row>
    <row r="333" spans="2:6" ht="15" hidden="1" customHeight="1" x14ac:dyDescent="0.35">
      <c r="B333" s="1"/>
      <c r="C333" s="105" t="s">
        <v>67</v>
      </c>
      <c r="D333" s="108"/>
      <c r="E333" s="110" t="s">
        <v>1678</v>
      </c>
      <c r="F333" s="2"/>
    </row>
    <row r="334" spans="2:6" ht="15" hidden="1" customHeight="1" x14ac:dyDescent="0.35">
      <c r="B334" s="1"/>
      <c r="C334" s="105" t="s">
        <v>68</v>
      </c>
      <c r="D334" s="108"/>
      <c r="E334" s="110" t="s">
        <v>1679</v>
      </c>
      <c r="F334" s="2"/>
    </row>
    <row r="335" spans="2:6" ht="15" hidden="1" customHeight="1" x14ac:dyDescent="0.35">
      <c r="B335" s="1"/>
      <c r="C335" s="105" t="s">
        <v>69</v>
      </c>
      <c r="D335" s="108"/>
      <c r="E335" s="110" t="s">
        <v>1680</v>
      </c>
      <c r="F335" s="2"/>
    </row>
    <row r="336" spans="2:6" ht="15" hidden="1" customHeight="1" x14ac:dyDescent="0.35">
      <c r="B336" s="1"/>
      <c r="C336" s="105" t="s">
        <v>70</v>
      </c>
      <c r="D336" s="108"/>
      <c r="E336" s="110" t="s">
        <v>1681</v>
      </c>
      <c r="F336" s="2"/>
    </row>
    <row r="337" spans="2:6" ht="15" hidden="1" customHeight="1" x14ac:dyDescent="0.35">
      <c r="B337" s="1"/>
      <c r="C337" s="105" t="s">
        <v>71</v>
      </c>
      <c r="D337" s="108"/>
      <c r="E337" s="110" t="s">
        <v>1682</v>
      </c>
      <c r="F337" s="2"/>
    </row>
    <row r="338" spans="2:6" ht="15" hidden="1" customHeight="1" x14ac:dyDescent="0.35">
      <c r="B338" s="1"/>
      <c r="C338" s="105" t="s">
        <v>72</v>
      </c>
      <c r="D338" s="108"/>
      <c r="E338" s="110" t="s">
        <v>1683</v>
      </c>
      <c r="F338" s="2"/>
    </row>
    <row r="339" spans="2:6" ht="15" hidden="1" customHeight="1" x14ac:dyDescent="0.25">
      <c r="B339" s="1"/>
      <c r="C339" s="101"/>
      <c r="D339" s="101"/>
      <c r="E339" s="101"/>
      <c r="F339" s="2"/>
    </row>
    <row r="340" spans="2:6" ht="15" hidden="1" customHeight="1" x14ac:dyDescent="0.25">
      <c r="B340" s="1"/>
      <c r="C340" s="101" t="s">
        <v>42</v>
      </c>
      <c r="D340" s="101"/>
      <c r="E340" s="101"/>
      <c r="F340" s="2"/>
    </row>
    <row r="341" spans="2:6" ht="15" hidden="1" customHeight="1" x14ac:dyDescent="0.25">
      <c r="B341" s="1"/>
      <c r="C341" s="104" t="s">
        <v>38</v>
      </c>
      <c r="D341" s="107" t="str">
        <f>IF(I.Facility.ComplianceYear="","Compliance year",I.Facility.ComplianceYear)</f>
        <v>Compliance year</v>
      </c>
      <c r="E341" s="103" t="s">
        <v>39</v>
      </c>
      <c r="F341" s="2"/>
    </row>
    <row r="342" spans="2:6" ht="15" hidden="1" customHeight="1" x14ac:dyDescent="0.35">
      <c r="B342" s="1"/>
      <c r="C342" s="105" t="s">
        <v>52</v>
      </c>
      <c r="D342" s="108"/>
      <c r="E342" s="110" t="s">
        <v>1663</v>
      </c>
      <c r="F342" s="2"/>
    </row>
    <row r="343" spans="2:6" ht="15" hidden="1" customHeight="1" x14ac:dyDescent="0.35">
      <c r="B343" s="1"/>
      <c r="C343" s="105" t="s">
        <v>53</v>
      </c>
      <c r="D343" s="108"/>
      <c r="E343" s="110" t="s">
        <v>1664</v>
      </c>
      <c r="F343" s="2"/>
    </row>
    <row r="344" spans="2:6" ht="15" hidden="1" customHeight="1" x14ac:dyDescent="0.35">
      <c r="B344" s="1"/>
      <c r="C344" s="105" t="s">
        <v>54</v>
      </c>
      <c r="D344" s="108"/>
      <c r="E344" s="110" t="s">
        <v>1665</v>
      </c>
      <c r="F344" s="2"/>
    </row>
    <row r="345" spans="2:6" ht="15" hidden="1" customHeight="1" x14ac:dyDescent="0.35">
      <c r="B345" s="1"/>
      <c r="C345" s="105" t="s">
        <v>55</v>
      </c>
      <c r="D345" s="108"/>
      <c r="E345" s="110" t="s">
        <v>1666</v>
      </c>
      <c r="F345" s="2"/>
    </row>
    <row r="346" spans="2:6" ht="15" hidden="1" customHeight="1" x14ac:dyDescent="0.35">
      <c r="B346" s="1"/>
      <c r="C346" s="105" t="s">
        <v>56</v>
      </c>
      <c r="D346" s="108"/>
      <c r="E346" s="110" t="s">
        <v>1667</v>
      </c>
      <c r="F346" s="2"/>
    </row>
    <row r="347" spans="2:6" ht="15" hidden="1" customHeight="1" x14ac:dyDescent="0.35">
      <c r="B347" s="1"/>
      <c r="C347" s="105" t="s">
        <v>57</v>
      </c>
      <c r="D347" s="108"/>
      <c r="E347" s="110" t="s">
        <v>1668</v>
      </c>
      <c r="F347" s="2"/>
    </row>
    <row r="348" spans="2:6" ht="15" hidden="1" customHeight="1" x14ac:dyDescent="0.35">
      <c r="B348" s="1"/>
      <c r="C348" s="105" t="s">
        <v>58</v>
      </c>
      <c r="D348" s="108"/>
      <c r="E348" s="110" t="s">
        <v>1669</v>
      </c>
      <c r="F348" s="2"/>
    </row>
    <row r="349" spans="2:6" ht="15" hidden="1" customHeight="1" x14ac:dyDescent="0.35">
      <c r="B349" s="1"/>
      <c r="C349" s="105" t="s">
        <v>59</v>
      </c>
      <c r="D349" s="108"/>
      <c r="E349" s="110" t="s">
        <v>1670</v>
      </c>
      <c r="F349" s="2"/>
    </row>
    <row r="350" spans="2:6" ht="15" hidden="1" customHeight="1" x14ac:dyDescent="0.35">
      <c r="B350" s="1"/>
      <c r="C350" s="105" t="s">
        <v>60</v>
      </c>
      <c r="D350" s="108"/>
      <c r="E350" s="110" t="s">
        <v>1671</v>
      </c>
      <c r="F350" s="2"/>
    </row>
    <row r="351" spans="2:6" ht="15" hidden="1" customHeight="1" x14ac:dyDescent="0.35">
      <c r="B351" s="1"/>
      <c r="C351" s="105" t="s">
        <v>61</v>
      </c>
      <c r="D351" s="108"/>
      <c r="E351" s="110" t="s">
        <v>1672</v>
      </c>
      <c r="F351" s="2"/>
    </row>
    <row r="352" spans="2:6" ht="15" hidden="1" customHeight="1" x14ac:dyDescent="0.35">
      <c r="B352" s="1"/>
      <c r="C352" s="105" t="s">
        <v>62</v>
      </c>
      <c r="D352" s="108"/>
      <c r="E352" s="110" t="s">
        <v>1673</v>
      </c>
      <c r="F352" s="2"/>
    </row>
    <row r="353" spans="2:6" ht="15" hidden="1" customHeight="1" x14ac:dyDescent="0.35">
      <c r="B353" s="1"/>
      <c r="C353" s="105" t="s">
        <v>63</v>
      </c>
      <c r="D353" s="108"/>
      <c r="E353" s="110" t="s">
        <v>1674</v>
      </c>
      <c r="F353" s="2"/>
    </row>
    <row r="354" spans="2:6" ht="15" hidden="1" customHeight="1" x14ac:dyDescent="0.35">
      <c r="B354" s="1"/>
      <c r="C354" s="105" t="s">
        <v>64</v>
      </c>
      <c r="D354" s="108"/>
      <c r="E354" s="110" t="s">
        <v>1675</v>
      </c>
      <c r="F354" s="2"/>
    </row>
    <row r="355" spans="2:6" ht="15" hidden="1" customHeight="1" x14ac:dyDescent="0.35">
      <c r="B355" s="1"/>
      <c r="C355" s="105" t="s">
        <v>65</v>
      </c>
      <c r="D355" s="108"/>
      <c r="E355" s="110" t="s">
        <v>1676</v>
      </c>
      <c r="F355" s="2"/>
    </row>
    <row r="356" spans="2:6" ht="15" hidden="1" customHeight="1" x14ac:dyDescent="0.35">
      <c r="B356" s="1"/>
      <c r="C356" s="105" t="s">
        <v>66</v>
      </c>
      <c r="D356" s="108"/>
      <c r="E356" s="110" t="s">
        <v>1677</v>
      </c>
      <c r="F356" s="2"/>
    </row>
    <row r="357" spans="2:6" ht="15" hidden="1" customHeight="1" x14ac:dyDescent="0.35">
      <c r="B357" s="1"/>
      <c r="C357" s="105" t="s">
        <v>67</v>
      </c>
      <c r="D357" s="108"/>
      <c r="E357" s="110" t="s">
        <v>1678</v>
      </c>
      <c r="F357" s="2"/>
    </row>
    <row r="358" spans="2:6" ht="15" hidden="1" customHeight="1" x14ac:dyDescent="0.35">
      <c r="B358" s="1"/>
      <c r="C358" s="105" t="s">
        <v>68</v>
      </c>
      <c r="D358" s="108"/>
      <c r="E358" s="110" t="s">
        <v>1679</v>
      </c>
      <c r="F358" s="2"/>
    </row>
    <row r="359" spans="2:6" ht="15" hidden="1" customHeight="1" x14ac:dyDescent="0.35">
      <c r="B359" s="1"/>
      <c r="C359" s="105" t="s">
        <v>69</v>
      </c>
      <c r="D359" s="108"/>
      <c r="E359" s="110" t="s">
        <v>1680</v>
      </c>
      <c r="F359" s="2"/>
    </row>
    <row r="360" spans="2:6" ht="15" hidden="1" customHeight="1" x14ac:dyDescent="0.35">
      <c r="B360" s="1"/>
      <c r="C360" s="105" t="s">
        <v>70</v>
      </c>
      <c r="D360" s="108"/>
      <c r="E360" s="110" t="s">
        <v>1681</v>
      </c>
      <c r="F360" s="2"/>
    </row>
    <row r="361" spans="2:6" ht="15" hidden="1" customHeight="1" x14ac:dyDescent="0.35">
      <c r="B361" s="1"/>
      <c r="C361" s="105" t="s">
        <v>71</v>
      </c>
      <c r="D361" s="108"/>
      <c r="E361" s="110" t="s">
        <v>1682</v>
      </c>
      <c r="F361" s="2"/>
    </row>
    <row r="362" spans="2:6" ht="15" hidden="1" customHeight="1" x14ac:dyDescent="0.35">
      <c r="B362" s="1"/>
      <c r="C362" s="105" t="s">
        <v>72</v>
      </c>
      <c r="D362" s="108"/>
      <c r="E362" s="110" t="s">
        <v>1683</v>
      </c>
      <c r="F362" s="2"/>
    </row>
    <row r="363" spans="2:6" ht="15" hidden="1" customHeight="1" x14ac:dyDescent="0.25">
      <c r="B363" s="1"/>
      <c r="C363" s="101"/>
      <c r="D363" s="101"/>
      <c r="E363" s="101"/>
      <c r="F363" s="2"/>
    </row>
    <row r="364" spans="2:6" ht="15" hidden="1" customHeight="1" x14ac:dyDescent="0.25">
      <c r="B364" s="1"/>
      <c r="C364" s="101" t="s">
        <v>43</v>
      </c>
      <c r="D364" s="101"/>
      <c r="E364" s="101"/>
      <c r="F364" s="2"/>
    </row>
    <row r="365" spans="2:6" ht="15" hidden="1" customHeight="1" x14ac:dyDescent="0.25">
      <c r="B365" s="1"/>
      <c r="C365" s="104" t="s">
        <v>38</v>
      </c>
      <c r="D365" s="107" t="str">
        <f>IF(I.Facility.ComplianceYear="","Compliance year",I.Facility.ComplianceYear)</f>
        <v>Compliance year</v>
      </c>
      <c r="E365" s="103" t="s">
        <v>39</v>
      </c>
      <c r="F365" s="2"/>
    </row>
    <row r="366" spans="2:6" ht="15" hidden="1" customHeight="1" x14ac:dyDescent="0.35">
      <c r="B366" s="1"/>
      <c r="C366" s="105" t="s">
        <v>49</v>
      </c>
      <c r="D366" s="108"/>
      <c r="E366" s="110" t="s">
        <v>1660</v>
      </c>
      <c r="F366" s="2"/>
    </row>
    <row r="367" spans="2:6" ht="15" hidden="1" customHeight="1" x14ac:dyDescent="0.35">
      <c r="B367" s="1"/>
      <c r="C367" s="105" t="s">
        <v>50</v>
      </c>
      <c r="D367" s="108"/>
      <c r="E367" s="110" t="s">
        <v>1661</v>
      </c>
      <c r="F367" s="2"/>
    </row>
    <row r="368" spans="2:6" ht="15" hidden="1" customHeight="1" x14ac:dyDescent="0.35">
      <c r="B368" s="1"/>
      <c r="C368" s="105" t="s">
        <v>51</v>
      </c>
      <c r="D368" s="108"/>
      <c r="E368" s="110" t="s">
        <v>1662</v>
      </c>
      <c r="F368" s="2"/>
    </row>
    <row r="369" spans="2:6" ht="15" hidden="1" customHeight="1" x14ac:dyDescent="0.25">
      <c r="B369" s="1"/>
      <c r="C369" s="101"/>
      <c r="D369" s="101"/>
      <c r="E369" s="101"/>
      <c r="F369" s="2"/>
    </row>
    <row r="370" spans="2:6" ht="15" hidden="1" customHeight="1" x14ac:dyDescent="0.25">
      <c r="B370" s="1"/>
      <c r="C370" s="101" t="s">
        <v>44</v>
      </c>
      <c r="D370" s="101"/>
      <c r="E370" s="101"/>
      <c r="F370" s="2"/>
    </row>
    <row r="371" spans="2:6" ht="15" hidden="1" customHeight="1" x14ac:dyDescent="0.25">
      <c r="B371" s="1"/>
      <c r="C371" s="104" t="s">
        <v>38</v>
      </c>
      <c r="D371" s="107" t="str">
        <f>IF(I.Facility.ComplianceYear="","Compliance year",I.Facility.ComplianceYear)</f>
        <v>Compliance year</v>
      </c>
      <c r="E371" s="103" t="s">
        <v>39</v>
      </c>
      <c r="F371" s="2"/>
    </row>
    <row r="372" spans="2:6" ht="15" hidden="1" customHeight="1" x14ac:dyDescent="0.35">
      <c r="B372" s="1"/>
      <c r="C372" s="105" t="s">
        <v>49</v>
      </c>
      <c r="D372" s="108"/>
      <c r="E372" s="110" t="s">
        <v>1660</v>
      </c>
      <c r="F372" s="2"/>
    </row>
    <row r="373" spans="2:6" ht="15" hidden="1" customHeight="1" x14ac:dyDescent="0.35">
      <c r="B373" s="1"/>
      <c r="C373" s="105" t="s">
        <v>50</v>
      </c>
      <c r="D373" s="108"/>
      <c r="E373" s="110" t="s">
        <v>1661</v>
      </c>
      <c r="F373" s="2"/>
    </row>
    <row r="374" spans="2:6" ht="15" hidden="1" customHeight="1" x14ac:dyDescent="0.35">
      <c r="B374" s="1"/>
      <c r="C374" s="105" t="s">
        <v>51</v>
      </c>
      <c r="D374" s="108"/>
      <c r="E374" s="110" t="s">
        <v>1662</v>
      </c>
      <c r="F374" s="2"/>
    </row>
    <row r="375" spans="2:6" ht="15" hidden="1" customHeight="1" x14ac:dyDescent="0.25">
      <c r="B375" s="1"/>
      <c r="C375" s="101"/>
      <c r="D375" s="101"/>
      <c r="E375" s="101"/>
      <c r="F375" s="2"/>
    </row>
    <row r="376" spans="2:6" ht="15" hidden="1" customHeight="1" x14ac:dyDescent="0.25">
      <c r="B376" s="1"/>
      <c r="C376" s="101" t="s">
        <v>45</v>
      </c>
      <c r="D376" s="101"/>
      <c r="E376" s="101"/>
      <c r="F376" s="2"/>
    </row>
    <row r="377" spans="2:6" ht="15" hidden="1" customHeight="1" x14ac:dyDescent="0.25">
      <c r="B377" s="1"/>
      <c r="C377" s="104" t="s">
        <v>38</v>
      </c>
      <c r="D377" s="107" t="str">
        <f>IF(I.Facility.ComplianceYear="","Compliance year",I.Facility.ComplianceYear)</f>
        <v>Compliance year</v>
      </c>
      <c r="E377" s="103" t="s">
        <v>39</v>
      </c>
      <c r="F377" s="2"/>
    </row>
    <row r="378" spans="2:6" ht="15" hidden="1" customHeight="1" x14ac:dyDescent="0.35">
      <c r="B378" s="1"/>
      <c r="C378" s="105" t="s">
        <v>49</v>
      </c>
      <c r="D378" s="108"/>
      <c r="E378" s="110" t="s">
        <v>1660</v>
      </c>
      <c r="F378" s="2"/>
    </row>
    <row r="379" spans="2:6" ht="15" hidden="1" customHeight="1" x14ac:dyDescent="0.35">
      <c r="B379" s="1"/>
      <c r="C379" s="105" t="s">
        <v>50</v>
      </c>
      <c r="D379" s="108"/>
      <c r="E379" s="110" t="s">
        <v>1661</v>
      </c>
      <c r="F379" s="2"/>
    </row>
    <row r="380" spans="2:6" ht="15" hidden="1" customHeight="1" x14ac:dyDescent="0.35">
      <c r="B380" s="1"/>
      <c r="C380" s="105" t="s">
        <v>51</v>
      </c>
      <c r="D380" s="108"/>
      <c r="E380" s="110" t="s">
        <v>1662</v>
      </c>
      <c r="F380" s="2"/>
    </row>
    <row r="381" spans="2:6" ht="15" hidden="1" customHeight="1" x14ac:dyDescent="0.25">
      <c r="B381" s="1"/>
      <c r="C381" s="101"/>
      <c r="D381" s="101"/>
      <c r="E381" s="101"/>
      <c r="F381" s="2"/>
    </row>
    <row r="382" spans="2:6" ht="15" hidden="1" customHeight="1" x14ac:dyDescent="0.25">
      <c r="B382" s="1"/>
      <c r="C382" s="101" t="s">
        <v>46</v>
      </c>
      <c r="D382" s="101"/>
      <c r="E382" s="101"/>
      <c r="F382" s="2"/>
    </row>
    <row r="383" spans="2:6" ht="15" hidden="1" customHeight="1" x14ac:dyDescent="0.25">
      <c r="B383" s="1"/>
      <c r="C383" s="104" t="s">
        <v>38</v>
      </c>
      <c r="D383" s="107" t="str">
        <f>IF(I.Facility.ComplianceYear="","Compliance year",I.Facility.ComplianceYear)</f>
        <v>Compliance year</v>
      </c>
      <c r="E383" s="103" t="s">
        <v>39</v>
      </c>
      <c r="F383" s="2"/>
    </row>
    <row r="384" spans="2:6" ht="15" hidden="1" customHeight="1" x14ac:dyDescent="0.35">
      <c r="B384" s="1"/>
      <c r="C384" s="105" t="s">
        <v>49</v>
      </c>
      <c r="D384" s="108"/>
      <c r="E384" s="110" t="s">
        <v>1660</v>
      </c>
      <c r="F384" s="2"/>
    </row>
    <row r="385" spans="2:6" ht="15" hidden="1" customHeight="1" x14ac:dyDescent="0.35">
      <c r="B385" s="1"/>
      <c r="C385" s="105" t="s">
        <v>50</v>
      </c>
      <c r="D385" s="108"/>
      <c r="E385" s="110" t="s">
        <v>1661</v>
      </c>
      <c r="F385" s="2"/>
    </row>
    <row r="386" spans="2:6" ht="15" hidden="1" customHeight="1" x14ac:dyDescent="0.35">
      <c r="B386" s="1"/>
      <c r="C386" s="105" t="s">
        <v>51</v>
      </c>
      <c r="D386" s="108"/>
      <c r="E386" s="110" t="s">
        <v>1662</v>
      </c>
      <c r="F386" s="2"/>
    </row>
    <row r="387" spans="2:6" ht="15" hidden="1" customHeight="1" x14ac:dyDescent="0.25">
      <c r="B387" s="1"/>
      <c r="C387" s="101"/>
      <c r="D387" s="101"/>
      <c r="E387" s="101"/>
      <c r="F387" s="2"/>
    </row>
    <row r="388" spans="2:6" ht="15" hidden="1" customHeight="1" x14ac:dyDescent="0.25">
      <c r="B388" s="1"/>
      <c r="C388" s="101" t="s">
        <v>47</v>
      </c>
      <c r="D388" s="101"/>
      <c r="E388" s="101"/>
      <c r="F388" s="2"/>
    </row>
    <row r="389" spans="2:6" ht="15" hidden="1" customHeight="1" x14ac:dyDescent="0.25">
      <c r="B389" s="1"/>
      <c r="C389" s="104" t="s">
        <v>38</v>
      </c>
      <c r="D389" s="107" t="str">
        <f>IF(I.Facility.ComplianceYear="","Compliance year",I.Facility.ComplianceYear)</f>
        <v>Compliance year</v>
      </c>
      <c r="E389" s="103" t="s">
        <v>39</v>
      </c>
      <c r="F389" s="2"/>
    </row>
    <row r="390" spans="2:6" ht="15" hidden="1" customHeight="1" x14ac:dyDescent="0.35">
      <c r="B390" s="1"/>
      <c r="C390" s="105" t="s">
        <v>49</v>
      </c>
      <c r="D390" s="108"/>
      <c r="E390" s="110" t="s">
        <v>1660</v>
      </c>
      <c r="F390" s="2"/>
    </row>
    <row r="391" spans="2:6" ht="15" hidden="1" customHeight="1" x14ac:dyDescent="0.35">
      <c r="B391" s="1"/>
      <c r="C391" s="105" t="s">
        <v>50</v>
      </c>
      <c r="D391" s="108"/>
      <c r="E391" s="110" t="s">
        <v>1661</v>
      </c>
      <c r="F391" s="2"/>
    </row>
    <row r="392" spans="2:6" ht="15" hidden="1" customHeight="1" x14ac:dyDescent="0.35">
      <c r="B392" s="1"/>
      <c r="C392" s="105" t="s">
        <v>51</v>
      </c>
      <c r="D392" s="108"/>
      <c r="E392" s="110" t="s">
        <v>1662</v>
      </c>
      <c r="F392" s="2"/>
    </row>
    <row r="393" spans="2:6" ht="15" hidden="1" customHeight="1" x14ac:dyDescent="0.25">
      <c r="B393" s="1"/>
      <c r="C393" s="101"/>
      <c r="D393" s="101"/>
      <c r="E393" s="101"/>
      <c r="F393" s="2"/>
    </row>
    <row r="394" spans="2:6" ht="15" hidden="1" customHeight="1" x14ac:dyDescent="0.25">
      <c r="B394" s="1"/>
      <c r="C394" s="101" t="s">
        <v>48</v>
      </c>
      <c r="D394" s="101"/>
      <c r="E394" s="101"/>
      <c r="F394" s="2"/>
    </row>
    <row r="395" spans="2:6" ht="15" hidden="1" customHeight="1" x14ac:dyDescent="0.25">
      <c r="B395" s="1"/>
      <c r="C395" s="104" t="s">
        <v>38</v>
      </c>
      <c r="D395" s="107" t="str">
        <f>IF(I.Facility.ComplianceYear="","Compliance year",I.Facility.ComplianceYear)</f>
        <v>Compliance year</v>
      </c>
      <c r="E395" s="103" t="s">
        <v>39</v>
      </c>
      <c r="F395" s="2"/>
    </row>
    <row r="396" spans="2:6" ht="15" hidden="1" customHeight="1" x14ac:dyDescent="0.35">
      <c r="B396" s="1"/>
      <c r="C396" s="105" t="s">
        <v>49</v>
      </c>
      <c r="D396" s="108"/>
      <c r="E396" s="110" t="s">
        <v>1660</v>
      </c>
      <c r="F396" s="2"/>
    </row>
    <row r="397" spans="2:6" ht="15" hidden="1" customHeight="1" x14ac:dyDescent="0.35">
      <c r="B397" s="1"/>
      <c r="C397" s="105" t="s">
        <v>50</v>
      </c>
      <c r="D397" s="108"/>
      <c r="E397" s="110" t="s">
        <v>1661</v>
      </c>
      <c r="F397" s="2"/>
    </row>
    <row r="398" spans="2:6" ht="15" hidden="1" customHeight="1" x14ac:dyDescent="0.35">
      <c r="B398" s="1"/>
      <c r="C398" s="105" t="s">
        <v>51</v>
      </c>
      <c r="D398" s="108"/>
      <c r="E398" s="110" t="s">
        <v>1662</v>
      </c>
      <c r="F398" s="2"/>
    </row>
    <row r="399" spans="2:6" ht="15" hidden="1" customHeight="1" x14ac:dyDescent="0.25">
      <c r="B399" s="1"/>
      <c r="C399" s="101"/>
      <c r="D399" s="101"/>
      <c r="E399" s="101"/>
      <c r="F399" s="2"/>
    </row>
    <row r="400" spans="2:6" ht="20.100000000000001" hidden="1" customHeight="1" x14ac:dyDescent="0.25">
      <c r="B400" s="12"/>
      <c r="C400" s="121" t="s">
        <v>34</v>
      </c>
      <c r="D400" s="121"/>
      <c r="E400" s="121"/>
      <c r="F400" s="13"/>
    </row>
    <row r="401" spans="2:6" ht="15" hidden="1" customHeight="1" x14ac:dyDescent="0.25">
      <c r="B401" s="1"/>
      <c r="C401" s="101"/>
      <c r="D401" s="101"/>
      <c r="E401" s="101"/>
      <c r="F401" s="2"/>
    </row>
    <row r="402" spans="2:6" ht="15" hidden="1" customHeight="1" x14ac:dyDescent="0.25">
      <c r="B402" s="1"/>
      <c r="C402" s="101" t="s">
        <v>29</v>
      </c>
      <c r="D402" s="101"/>
      <c r="E402" s="101"/>
      <c r="F402" s="2"/>
    </row>
    <row r="403" spans="2:6" ht="15" hidden="1" customHeight="1" x14ac:dyDescent="0.25">
      <c r="B403" s="1"/>
      <c r="C403" s="102" t="str">
        <f>IF(I.Product.P5Name="","",I.Product.P5Name)</f>
        <v/>
      </c>
      <c r="D403" s="101"/>
      <c r="E403" s="101"/>
      <c r="F403" s="2"/>
    </row>
    <row r="404" spans="2:6" ht="15" hidden="1" customHeight="1" x14ac:dyDescent="0.25">
      <c r="B404" s="1"/>
      <c r="C404" s="101"/>
      <c r="D404" s="101"/>
      <c r="E404" s="101"/>
      <c r="F404" s="2"/>
    </row>
    <row r="405" spans="2:6" ht="15" hidden="1" customHeight="1" x14ac:dyDescent="0.25">
      <c r="B405" s="1"/>
      <c r="C405" s="101" t="s">
        <v>40</v>
      </c>
      <c r="D405" s="101"/>
      <c r="E405" s="101"/>
      <c r="F405" s="2"/>
    </row>
    <row r="406" spans="2:6" ht="15" hidden="1" customHeight="1" x14ac:dyDescent="0.25">
      <c r="B406" s="1"/>
      <c r="C406" s="104" t="s">
        <v>38</v>
      </c>
      <c r="D406" s="107" t="str">
        <f>IF(I.Facility.ComplianceYear="","Compliance year",I.Facility.ComplianceYear)</f>
        <v>Compliance year</v>
      </c>
      <c r="E406" s="103" t="s">
        <v>39</v>
      </c>
      <c r="F406" s="2"/>
    </row>
    <row r="407" spans="2:6" ht="15" hidden="1" customHeight="1" x14ac:dyDescent="0.35">
      <c r="B407" s="1"/>
      <c r="C407" s="105" t="s">
        <v>49</v>
      </c>
      <c r="D407" s="108"/>
      <c r="E407" s="110" t="s">
        <v>1660</v>
      </c>
      <c r="F407" s="2"/>
    </row>
    <row r="408" spans="2:6" ht="15" hidden="1" customHeight="1" x14ac:dyDescent="0.35">
      <c r="B408" s="1"/>
      <c r="C408" s="105" t="s">
        <v>50</v>
      </c>
      <c r="D408" s="108"/>
      <c r="E408" s="110" t="s">
        <v>1661</v>
      </c>
      <c r="F408" s="2"/>
    </row>
    <row r="409" spans="2:6" ht="15" hidden="1" customHeight="1" x14ac:dyDescent="0.35">
      <c r="B409" s="1"/>
      <c r="C409" s="105" t="s">
        <v>51</v>
      </c>
      <c r="D409" s="108"/>
      <c r="E409" s="110" t="s">
        <v>1662</v>
      </c>
      <c r="F409" s="2"/>
    </row>
    <row r="410" spans="2:6" ht="15" hidden="1" customHeight="1" x14ac:dyDescent="0.25">
      <c r="B410" s="1"/>
      <c r="C410" s="101"/>
      <c r="D410" s="101"/>
      <c r="E410" s="101"/>
      <c r="F410" s="2"/>
    </row>
    <row r="411" spans="2:6" ht="15" hidden="1" customHeight="1" x14ac:dyDescent="0.25">
      <c r="B411" s="1"/>
      <c r="C411" s="101" t="s">
        <v>41</v>
      </c>
      <c r="D411" s="101"/>
      <c r="E411" s="101"/>
      <c r="F411" s="2"/>
    </row>
    <row r="412" spans="2:6" ht="15" hidden="1" customHeight="1" x14ac:dyDescent="0.25">
      <c r="B412" s="1"/>
      <c r="C412" s="104" t="s">
        <v>38</v>
      </c>
      <c r="D412" s="107" t="str">
        <f>IF(I.Facility.ComplianceYear="","Compliance year",I.Facility.ComplianceYear)</f>
        <v>Compliance year</v>
      </c>
      <c r="E412" s="103" t="s">
        <v>39</v>
      </c>
      <c r="F412" s="2"/>
    </row>
    <row r="413" spans="2:6" ht="15" hidden="1" customHeight="1" x14ac:dyDescent="0.35">
      <c r="B413" s="1"/>
      <c r="C413" s="105" t="s">
        <v>49</v>
      </c>
      <c r="D413" s="108"/>
      <c r="E413" s="110" t="s">
        <v>1660</v>
      </c>
      <c r="F413" s="2"/>
    </row>
    <row r="414" spans="2:6" ht="15" hidden="1" customHeight="1" x14ac:dyDescent="0.35">
      <c r="B414" s="1"/>
      <c r="C414" s="105" t="s">
        <v>50</v>
      </c>
      <c r="D414" s="108"/>
      <c r="E414" s="110" t="s">
        <v>1661</v>
      </c>
      <c r="F414" s="2"/>
    </row>
    <row r="415" spans="2:6" ht="15" hidden="1" customHeight="1" x14ac:dyDescent="0.35">
      <c r="B415" s="1"/>
      <c r="C415" s="105" t="s">
        <v>51</v>
      </c>
      <c r="D415" s="108"/>
      <c r="E415" s="110" t="s">
        <v>1662</v>
      </c>
      <c r="F415" s="2"/>
    </row>
    <row r="416" spans="2:6" ht="15" hidden="1" customHeight="1" x14ac:dyDescent="0.35">
      <c r="B416" s="1"/>
      <c r="C416" s="105" t="s">
        <v>52</v>
      </c>
      <c r="D416" s="108"/>
      <c r="E416" s="110" t="s">
        <v>1663</v>
      </c>
      <c r="F416" s="2"/>
    </row>
    <row r="417" spans="2:6" ht="15" hidden="1" customHeight="1" x14ac:dyDescent="0.35">
      <c r="B417" s="1"/>
      <c r="C417" s="105" t="s">
        <v>53</v>
      </c>
      <c r="D417" s="108"/>
      <c r="E417" s="110" t="s">
        <v>1664</v>
      </c>
      <c r="F417" s="2"/>
    </row>
    <row r="418" spans="2:6" ht="15" hidden="1" customHeight="1" x14ac:dyDescent="0.35">
      <c r="B418" s="1"/>
      <c r="C418" s="105" t="s">
        <v>54</v>
      </c>
      <c r="D418" s="108"/>
      <c r="E418" s="110" t="s">
        <v>1665</v>
      </c>
      <c r="F418" s="2"/>
    </row>
    <row r="419" spans="2:6" ht="15" hidden="1" customHeight="1" x14ac:dyDescent="0.35">
      <c r="B419" s="1"/>
      <c r="C419" s="105" t="s">
        <v>55</v>
      </c>
      <c r="D419" s="108"/>
      <c r="E419" s="110" t="s">
        <v>1666</v>
      </c>
      <c r="F419" s="2"/>
    </row>
    <row r="420" spans="2:6" ht="15" hidden="1" customHeight="1" x14ac:dyDescent="0.35">
      <c r="B420" s="1"/>
      <c r="C420" s="105" t="s">
        <v>56</v>
      </c>
      <c r="D420" s="108"/>
      <c r="E420" s="110" t="s">
        <v>1667</v>
      </c>
      <c r="F420" s="2"/>
    </row>
    <row r="421" spans="2:6" ht="15" hidden="1" customHeight="1" x14ac:dyDescent="0.35">
      <c r="B421" s="1"/>
      <c r="C421" s="105" t="s">
        <v>57</v>
      </c>
      <c r="D421" s="108"/>
      <c r="E421" s="110" t="s">
        <v>1668</v>
      </c>
      <c r="F421" s="2"/>
    </row>
    <row r="422" spans="2:6" ht="15" hidden="1" customHeight="1" x14ac:dyDescent="0.35">
      <c r="B422" s="1"/>
      <c r="C422" s="105" t="s">
        <v>58</v>
      </c>
      <c r="D422" s="108"/>
      <c r="E422" s="110" t="s">
        <v>1669</v>
      </c>
      <c r="F422" s="2"/>
    </row>
    <row r="423" spans="2:6" ht="15" hidden="1" customHeight="1" x14ac:dyDescent="0.35">
      <c r="B423" s="1"/>
      <c r="C423" s="105" t="s">
        <v>59</v>
      </c>
      <c r="D423" s="108"/>
      <c r="E423" s="110" t="s">
        <v>1670</v>
      </c>
      <c r="F423" s="2"/>
    </row>
    <row r="424" spans="2:6" ht="15" hidden="1" customHeight="1" x14ac:dyDescent="0.35">
      <c r="B424" s="1"/>
      <c r="C424" s="105" t="s">
        <v>60</v>
      </c>
      <c r="D424" s="108"/>
      <c r="E424" s="110" t="s">
        <v>1671</v>
      </c>
      <c r="F424" s="2"/>
    </row>
    <row r="425" spans="2:6" ht="15" hidden="1" customHeight="1" x14ac:dyDescent="0.35">
      <c r="B425" s="1"/>
      <c r="C425" s="105" t="s">
        <v>61</v>
      </c>
      <c r="D425" s="108"/>
      <c r="E425" s="110" t="s">
        <v>1672</v>
      </c>
      <c r="F425" s="2"/>
    </row>
    <row r="426" spans="2:6" ht="15" hidden="1" customHeight="1" x14ac:dyDescent="0.35">
      <c r="B426" s="1"/>
      <c r="C426" s="105" t="s">
        <v>62</v>
      </c>
      <c r="D426" s="108"/>
      <c r="E426" s="110" t="s">
        <v>1673</v>
      </c>
      <c r="F426" s="2"/>
    </row>
    <row r="427" spans="2:6" ht="15" hidden="1" customHeight="1" x14ac:dyDescent="0.35">
      <c r="B427" s="1"/>
      <c r="C427" s="105" t="s">
        <v>63</v>
      </c>
      <c r="D427" s="108"/>
      <c r="E427" s="110" t="s">
        <v>1674</v>
      </c>
      <c r="F427" s="2"/>
    </row>
    <row r="428" spans="2:6" ht="15" hidden="1" customHeight="1" x14ac:dyDescent="0.35">
      <c r="B428" s="1"/>
      <c r="C428" s="105" t="s">
        <v>64</v>
      </c>
      <c r="D428" s="108"/>
      <c r="E428" s="110" t="s">
        <v>1675</v>
      </c>
      <c r="F428" s="2"/>
    </row>
    <row r="429" spans="2:6" ht="15" hidden="1" customHeight="1" x14ac:dyDescent="0.35">
      <c r="B429" s="1"/>
      <c r="C429" s="105" t="s">
        <v>65</v>
      </c>
      <c r="D429" s="108"/>
      <c r="E429" s="110" t="s">
        <v>1676</v>
      </c>
      <c r="F429" s="2"/>
    </row>
    <row r="430" spans="2:6" ht="15" hidden="1" customHeight="1" x14ac:dyDescent="0.35">
      <c r="B430" s="1"/>
      <c r="C430" s="105" t="s">
        <v>66</v>
      </c>
      <c r="D430" s="108"/>
      <c r="E430" s="110" t="s">
        <v>1677</v>
      </c>
      <c r="F430" s="2"/>
    </row>
    <row r="431" spans="2:6" ht="15" hidden="1" customHeight="1" x14ac:dyDescent="0.35">
      <c r="B431" s="1"/>
      <c r="C431" s="105" t="s">
        <v>67</v>
      </c>
      <c r="D431" s="108"/>
      <c r="E431" s="110" t="s">
        <v>1678</v>
      </c>
      <c r="F431" s="2"/>
    </row>
    <row r="432" spans="2:6" ht="15" hidden="1" customHeight="1" x14ac:dyDescent="0.35">
      <c r="B432" s="1"/>
      <c r="C432" s="105" t="s">
        <v>68</v>
      </c>
      <c r="D432" s="108"/>
      <c r="E432" s="110" t="s">
        <v>1679</v>
      </c>
      <c r="F432" s="2"/>
    </row>
    <row r="433" spans="2:6" ht="15" hidden="1" customHeight="1" x14ac:dyDescent="0.35">
      <c r="B433" s="1"/>
      <c r="C433" s="105" t="s">
        <v>69</v>
      </c>
      <c r="D433" s="108"/>
      <c r="E433" s="110" t="s">
        <v>1680</v>
      </c>
      <c r="F433" s="2"/>
    </row>
    <row r="434" spans="2:6" ht="15" hidden="1" customHeight="1" x14ac:dyDescent="0.35">
      <c r="B434" s="1"/>
      <c r="C434" s="105" t="s">
        <v>70</v>
      </c>
      <c r="D434" s="108"/>
      <c r="E434" s="110" t="s">
        <v>1681</v>
      </c>
      <c r="F434" s="2"/>
    </row>
    <row r="435" spans="2:6" ht="15" hidden="1" customHeight="1" x14ac:dyDescent="0.35">
      <c r="B435" s="1"/>
      <c r="C435" s="105" t="s">
        <v>71</v>
      </c>
      <c r="D435" s="108"/>
      <c r="E435" s="110" t="s">
        <v>1682</v>
      </c>
      <c r="F435" s="2"/>
    </row>
    <row r="436" spans="2:6" ht="15" hidden="1" customHeight="1" x14ac:dyDescent="0.35">
      <c r="B436" s="1"/>
      <c r="C436" s="105" t="s">
        <v>72</v>
      </c>
      <c r="D436" s="108"/>
      <c r="E436" s="110" t="s">
        <v>1683</v>
      </c>
      <c r="F436" s="2"/>
    </row>
    <row r="437" spans="2:6" ht="15" hidden="1" customHeight="1" x14ac:dyDescent="0.25">
      <c r="B437" s="1"/>
      <c r="C437" s="101"/>
      <c r="D437" s="101"/>
      <c r="E437" s="101"/>
      <c r="F437" s="2"/>
    </row>
    <row r="438" spans="2:6" ht="15" hidden="1" customHeight="1" x14ac:dyDescent="0.25">
      <c r="B438" s="1"/>
      <c r="C438" s="101" t="s">
        <v>42</v>
      </c>
      <c r="D438" s="101"/>
      <c r="E438" s="101"/>
      <c r="F438" s="2"/>
    </row>
    <row r="439" spans="2:6" ht="15" hidden="1" customHeight="1" x14ac:dyDescent="0.25">
      <c r="B439" s="1"/>
      <c r="C439" s="104" t="s">
        <v>38</v>
      </c>
      <c r="D439" s="107" t="str">
        <f>IF(I.Facility.ComplianceYear="","Compliance year",I.Facility.ComplianceYear)</f>
        <v>Compliance year</v>
      </c>
      <c r="E439" s="103" t="s">
        <v>39</v>
      </c>
      <c r="F439" s="2"/>
    </row>
    <row r="440" spans="2:6" ht="15" hidden="1" customHeight="1" x14ac:dyDescent="0.35">
      <c r="B440" s="1"/>
      <c r="C440" s="105" t="s">
        <v>52</v>
      </c>
      <c r="D440" s="108"/>
      <c r="E440" s="110" t="s">
        <v>1663</v>
      </c>
      <c r="F440" s="2"/>
    </row>
    <row r="441" spans="2:6" ht="15" hidden="1" customHeight="1" x14ac:dyDescent="0.35">
      <c r="B441" s="1"/>
      <c r="C441" s="105" t="s">
        <v>53</v>
      </c>
      <c r="D441" s="108"/>
      <c r="E441" s="110" t="s">
        <v>1664</v>
      </c>
      <c r="F441" s="2"/>
    </row>
    <row r="442" spans="2:6" ht="15" hidden="1" customHeight="1" x14ac:dyDescent="0.35">
      <c r="B442" s="1"/>
      <c r="C442" s="105" t="s">
        <v>54</v>
      </c>
      <c r="D442" s="108"/>
      <c r="E442" s="110" t="s">
        <v>1665</v>
      </c>
      <c r="F442" s="2"/>
    </row>
    <row r="443" spans="2:6" ht="15" hidden="1" customHeight="1" x14ac:dyDescent="0.35">
      <c r="B443" s="1"/>
      <c r="C443" s="105" t="s">
        <v>55</v>
      </c>
      <c r="D443" s="108"/>
      <c r="E443" s="110" t="s">
        <v>1666</v>
      </c>
      <c r="F443" s="2"/>
    </row>
    <row r="444" spans="2:6" ht="15" hidden="1" customHeight="1" x14ac:dyDescent="0.35">
      <c r="B444" s="1"/>
      <c r="C444" s="105" t="s">
        <v>56</v>
      </c>
      <c r="D444" s="108"/>
      <c r="E444" s="110" t="s">
        <v>1667</v>
      </c>
      <c r="F444" s="2"/>
    </row>
    <row r="445" spans="2:6" ht="15" hidden="1" customHeight="1" x14ac:dyDescent="0.35">
      <c r="B445" s="1"/>
      <c r="C445" s="105" t="s">
        <v>57</v>
      </c>
      <c r="D445" s="108"/>
      <c r="E445" s="110" t="s">
        <v>1668</v>
      </c>
      <c r="F445" s="2"/>
    </row>
    <row r="446" spans="2:6" ht="15" hidden="1" customHeight="1" x14ac:dyDescent="0.35">
      <c r="B446" s="1"/>
      <c r="C446" s="105" t="s">
        <v>58</v>
      </c>
      <c r="D446" s="108"/>
      <c r="E446" s="110" t="s">
        <v>1669</v>
      </c>
      <c r="F446" s="2"/>
    </row>
    <row r="447" spans="2:6" ht="15" hidden="1" customHeight="1" x14ac:dyDescent="0.35">
      <c r="B447" s="1"/>
      <c r="C447" s="105" t="s">
        <v>59</v>
      </c>
      <c r="D447" s="108"/>
      <c r="E447" s="110" t="s">
        <v>1670</v>
      </c>
      <c r="F447" s="2"/>
    </row>
    <row r="448" spans="2:6" ht="15" hidden="1" customHeight="1" x14ac:dyDescent="0.35">
      <c r="B448" s="1"/>
      <c r="C448" s="105" t="s">
        <v>60</v>
      </c>
      <c r="D448" s="108"/>
      <c r="E448" s="110" t="s">
        <v>1671</v>
      </c>
      <c r="F448" s="2"/>
    </row>
    <row r="449" spans="2:6" ht="15" hidden="1" customHeight="1" x14ac:dyDescent="0.35">
      <c r="B449" s="1"/>
      <c r="C449" s="105" t="s">
        <v>61</v>
      </c>
      <c r="D449" s="108"/>
      <c r="E449" s="110" t="s">
        <v>1672</v>
      </c>
      <c r="F449" s="2"/>
    </row>
    <row r="450" spans="2:6" ht="15" hidden="1" customHeight="1" x14ac:dyDescent="0.35">
      <c r="B450" s="1"/>
      <c r="C450" s="105" t="s">
        <v>62</v>
      </c>
      <c r="D450" s="108"/>
      <c r="E450" s="110" t="s">
        <v>1673</v>
      </c>
      <c r="F450" s="2"/>
    </row>
    <row r="451" spans="2:6" ht="15" hidden="1" customHeight="1" x14ac:dyDescent="0.35">
      <c r="B451" s="1"/>
      <c r="C451" s="105" t="s">
        <v>63</v>
      </c>
      <c r="D451" s="108"/>
      <c r="E451" s="110" t="s">
        <v>1674</v>
      </c>
      <c r="F451" s="2"/>
    </row>
    <row r="452" spans="2:6" ht="15" hidden="1" customHeight="1" x14ac:dyDescent="0.35">
      <c r="B452" s="1"/>
      <c r="C452" s="105" t="s">
        <v>64</v>
      </c>
      <c r="D452" s="108"/>
      <c r="E452" s="110" t="s">
        <v>1675</v>
      </c>
      <c r="F452" s="2"/>
    </row>
    <row r="453" spans="2:6" ht="15" hidden="1" customHeight="1" x14ac:dyDescent="0.35">
      <c r="B453" s="1"/>
      <c r="C453" s="105" t="s">
        <v>65</v>
      </c>
      <c r="D453" s="108"/>
      <c r="E453" s="110" t="s">
        <v>1676</v>
      </c>
      <c r="F453" s="2"/>
    </row>
    <row r="454" spans="2:6" ht="15" hidden="1" customHeight="1" x14ac:dyDescent="0.35">
      <c r="B454" s="1"/>
      <c r="C454" s="105" t="s">
        <v>66</v>
      </c>
      <c r="D454" s="108"/>
      <c r="E454" s="110" t="s">
        <v>1677</v>
      </c>
      <c r="F454" s="2"/>
    </row>
    <row r="455" spans="2:6" ht="15" hidden="1" customHeight="1" x14ac:dyDescent="0.35">
      <c r="B455" s="1"/>
      <c r="C455" s="105" t="s">
        <v>67</v>
      </c>
      <c r="D455" s="108"/>
      <c r="E455" s="110" t="s">
        <v>1678</v>
      </c>
      <c r="F455" s="2"/>
    </row>
    <row r="456" spans="2:6" ht="15" hidden="1" customHeight="1" x14ac:dyDescent="0.35">
      <c r="B456" s="1"/>
      <c r="C456" s="105" t="s">
        <v>68</v>
      </c>
      <c r="D456" s="108"/>
      <c r="E456" s="110" t="s">
        <v>1679</v>
      </c>
      <c r="F456" s="2"/>
    </row>
    <row r="457" spans="2:6" ht="15" hidden="1" customHeight="1" x14ac:dyDescent="0.35">
      <c r="B457" s="1"/>
      <c r="C457" s="105" t="s">
        <v>69</v>
      </c>
      <c r="D457" s="108"/>
      <c r="E457" s="110" t="s">
        <v>1680</v>
      </c>
      <c r="F457" s="2"/>
    </row>
    <row r="458" spans="2:6" ht="15" hidden="1" customHeight="1" x14ac:dyDescent="0.35">
      <c r="B458" s="1"/>
      <c r="C458" s="105" t="s">
        <v>70</v>
      </c>
      <c r="D458" s="108"/>
      <c r="E458" s="110" t="s">
        <v>1681</v>
      </c>
      <c r="F458" s="2"/>
    </row>
    <row r="459" spans="2:6" ht="15" hidden="1" customHeight="1" x14ac:dyDescent="0.35">
      <c r="B459" s="1"/>
      <c r="C459" s="105" t="s">
        <v>71</v>
      </c>
      <c r="D459" s="108"/>
      <c r="E459" s="110" t="s">
        <v>1682</v>
      </c>
      <c r="F459" s="2"/>
    </row>
    <row r="460" spans="2:6" ht="15" hidden="1" customHeight="1" x14ac:dyDescent="0.35">
      <c r="B460" s="1"/>
      <c r="C460" s="105" t="s">
        <v>72</v>
      </c>
      <c r="D460" s="108"/>
      <c r="E460" s="110" t="s">
        <v>1683</v>
      </c>
      <c r="F460" s="2"/>
    </row>
    <row r="461" spans="2:6" ht="15" hidden="1" customHeight="1" x14ac:dyDescent="0.25">
      <c r="B461" s="1"/>
      <c r="C461" s="101"/>
      <c r="D461" s="101"/>
      <c r="E461" s="101"/>
      <c r="F461" s="2"/>
    </row>
    <row r="462" spans="2:6" ht="15" hidden="1" customHeight="1" x14ac:dyDescent="0.25">
      <c r="B462" s="1"/>
      <c r="C462" s="101" t="s">
        <v>43</v>
      </c>
      <c r="D462" s="101"/>
      <c r="E462" s="101"/>
      <c r="F462" s="2"/>
    </row>
    <row r="463" spans="2:6" ht="15" hidden="1" customHeight="1" x14ac:dyDescent="0.25">
      <c r="B463" s="1"/>
      <c r="C463" s="104" t="s">
        <v>38</v>
      </c>
      <c r="D463" s="107" t="str">
        <f>IF(I.Facility.ComplianceYear="","Compliance year",I.Facility.ComplianceYear)</f>
        <v>Compliance year</v>
      </c>
      <c r="E463" s="103" t="s">
        <v>39</v>
      </c>
      <c r="F463" s="2"/>
    </row>
    <row r="464" spans="2:6" ht="15" hidden="1" customHeight="1" x14ac:dyDescent="0.35">
      <c r="B464" s="1"/>
      <c r="C464" s="105" t="s">
        <v>49</v>
      </c>
      <c r="D464" s="108"/>
      <c r="E464" s="110" t="s">
        <v>1660</v>
      </c>
      <c r="F464" s="2"/>
    </row>
    <row r="465" spans="2:6" ht="15" hidden="1" customHeight="1" x14ac:dyDescent="0.35">
      <c r="B465" s="1"/>
      <c r="C465" s="105" t="s">
        <v>50</v>
      </c>
      <c r="D465" s="108"/>
      <c r="E465" s="110" t="s">
        <v>1661</v>
      </c>
      <c r="F465" s="2"/>
    </row>
    <row r="466" spans="2:6" ht="15" hidden="1" customHeight="1" x14ac:dyDescent="0.35">
      <c r="B466" s="1"/>
      <c r="C466" s="105" t="s">
        <v>51</v>
      </c>
      <c r="D466" s="108"/>
      <c r="E466" s="110" t="s">
        <v>1662</v>
      </c>
      <c r="F466" s="2"/>
    </row>
    <row r="467" spans="2:6" ht="15" hidden="1" customHeight="1" x14ac:dyDescent="0.25">
      <c r="B467" s="1"/>
      <c r="C467" s="101"/>
      <c r="D467" s="101"/>
      <c r="E467" s="101"/>
      <c r="F467" s="2"/>
    </row>
    <row r="468" spans="2:6" ht="15" hidden="1" customHeight="1" x14ac:dyDescent="0.25">
      <c r="B468" s="1"/>
      <c r="C468" s="101" t="s">
        <v>44</v>
      </c>
      <c r="D468" s="101"/>
      <c r="E468" s="101"/>
      <c r="F468" s="2"/>
    </row>
    <row r="469" spans="2:6" ht="15" hidden="1" customHeight="1" x14ac:dyDescent="0.25">
      <c r="B469" s="1"/>
      <c r="C469" s="104" t="s">
        <v>38</v>
      </c>
      <c r="D469" s="107" t="str">
        <f>IF(I.Facility.ComplianceYear="","Compliance year",I.Facility.ComplianceYear)</f>
        <v>Compliance year</v>
      </c>
      <c r="E469" s="103" t="s">
        <v>39</v>
      </c>
      <c r="F469" s="2"/>
    </row>
    <row r="470" spans="2:6" ht="15" hidden="1" customHeight="1" x14ac:dyDescent="0.35">
      <c r="B470" s="1"/>
      <c r="C470" s="105" t="s">
        <v>49</v>
      </c>
      <c r="D470" s="108"/>
      <c r="E470" s="110" t="s">
        <v>1660</v>
      </c>
      <c r="F470" s="2"/>
    </row>
    <row r="471" spans="2:6" ht="15" hidden="1" customHeight="1" x14ac:dyDescent="0.35">
      <c r="B471" s="1"/>
      <c r="C471" s="105" t="s">
        <v>50</v>
      </c>
      <c r="D471" s="108"/>
      <c r="E471" s="110" t="s">
        <v>1661</v>
      </c>
      <c r="F471" s="2"/>
    </row>
    <row r="472" spans="2:6" ht="15" hidden="1" customHeight="1" x14ac:dyDescent="0.35">
      <c r="B472" s="1"/>
      <c r="C472" s="105" t="s">
        <v>51</v>
      </c>
      <c r="D472" s="108"/>
      <c r="E472" s="110" t="s">
        <v>1662</v>
      </c>
      <c r="F472" s="2"/>
    </row>
    <row r="473" spans="2:6" ht="15" hidden="1" customHeight="1" x14ac:dyDescent="0.25">
      <c r="B473" s="1"/>
      <c r="C473" s="101"/>
      <c r="D473" s="101"/>
      <c r="E473" s="101"/>
      <c r="F473" s="2"/>
    </row>
    <row r="474" spans="2:6" ht="15" hidden="1" customHeight="1" x14ac:dyDescent="0.25">
      <c r="B474" s="1"/>
      <c r="C474" s="101" t="s">
        <v>45</v>
      </c>
      <c r="D474" s="101"/>
      <c r="E474" s="101"/>
      <c r="F474" s="2"/>
    </row>
    <row r="475" spans="2:6" ht="15" hidden="1" customHeight="1" x14ac:dyDescent="0.25">
      <c r="B475" s="1"/>
      <c r="C475" s="104" t="s">
        <v>38</v>
      </c>
      <c r="D475" s="107" t="str">
        <f>IF(I.Facility.ComplianceYear="","Compliance year",I.Facility.ComplianceYear)</f>
        <v>Compliance year</v>
      </c>
      <c r="E475" s="103" t="s">
        <v>39</v>
      </c>
      <c r="F475" s="2"/>
    </row>
    <row r="476" spans="2:6" ht="15" hidden="1" customHeight="1" x14ac:dyDescent="0.35">
      <c r="B476" s="1"/>
      <c r="C476" s="105" t="s">
        <v>49</v>
      </c>
      <c r="D476" s="108"/>
      <c r="E476" s="110" t="s">
        <v>1660</v>
      </c>
      <c r="F476" s="2"/>
    </row>
    <row r="477" spans="2:6" ht="15" hidden="1" customHeight="1" x14ac:dyDescent="0.35">
      <c r="B477" s="1"/>
      <c r="C477" s="105" t="s">
        <v>50</v>
      </c>
      <c r="D477" s="108"/>
      <c r="E477" s="110" t="s">
        <v>1661</v>
      </c>
      <c r="F477" s="2"/>
    </row>
    <row r="478" spans="2:6" ht="15" hidden="1" customHeight="1" x14ac:dyDescent="0.35">
      <c r="B478" s="1"/>
      <c r="C478" s="105" t="s">
        <v>51</v>
      </c>
      <c r="D478" s="108"/>
      <c r="E478" s="110" t="s">
        <v>1662</v>
      </c>
      <c r="F478" s="2"/>
    </row>
    <row r="479" spans="2:6" ht="15" hidden="1" customHeight="1" x14ac:dyDescent="0.25">
      <c r="B479" s="1"/>
      <c r="C479" s="101"/>
      <c r="D479" s="101"/>
      <c r="E479" s="101"/>
      <c r="F479" s="2"/>
    </row>
    <row r="480" spans="2:6" ht="15" hidden="1" customHeight="1" x14ac:dyDescent="0.25">
      <c r="B480" s="1"/>
      <c r="C480" s="101" t="s">
        <v>46</v>
      </c>
      <c r="D480" s="101"/>
      <c r="E480" s="101"/>
      <c r="F480" s="2"/>
    </row>
    <row r="481" spans="2:6" ht="15" hidden="1" customHeight="1" x14ac:dyDescent="0.25">
      <c r="B481" s="1"/>
      <c r="C481" s="104" t="s">
        <v>38</v>
      </c>
      <c r="D481" s="107" t="str">
        <f>IF(I.Facility.ComplianceYear="","Compliance year",I.Facility.ComplianceYear)</f>
        <v>Compliance year</v>
      </c>
      <c r="E481" s="103" t="s">
        <v>39</v>
      </c>
      <c r="F481" s="2"/>
    </row>
    <row r="482" spans="2:6" ht="15" hidden="1" customHeight="1" x14ac:dyDescent="0.35">
      <c r="B482" s="1"/>
      <c r="C482" s="105" t="s">
        <v>49</v>
      </c>
      <c r="D482" s="108"/>
      <c r="E482" s="110" t="s">
        <v>1660</v>
      </c>
      <c r="F482" s="2"/>
    </row>
    <row r="483" spans="2:6" ht="15" hidden="1" customHeight="1" x14ac:dyDescent="0.35">
      <c r="B483" s="1"/>
      <c r="C483" s="105" t="s">
        <v>50</v>
      </c>
      <c r="D483" s="108"/>
      <c r="E483" s="110" t="s">
        <v>1661</v>
      </c>
      <c r="F483" s="2"/>
    </row>
    <row r="484" spans="2:6" ht="15" hidden="1" customHeight="1" x14ac:dyDescent="0.35">
      <c r="B484" s="1"/>
      <c r="C484" s="105" t="s">
        <v>51</v>
      </c>
      <c r="D484" s="108"/>
      <c r="E484" s="110" t="s">
        <v>1662</v>
      </c>
      <c r="F484" s="2"/>
    </row>
    <row r="485" spans="2:6" ht="15" hidden="1" customHeight="1" x14ac:dyDescent="0.25">
      <c r="B485" s="1"/>
      <c r="C485" s="101"/>
      <c r="D485" s="101"/>
      <c r="E485" s="101"/>
      <c r="F485" s="2"/>
    </row>
    <row r="486" spans="2:6" ht="15" hidden="1" customHeight="1" x14ac:dyDescent="0.25">
      <c r="B486" s="1"/>
      <c r="C486" s="101" t="s">
        <v>47</v>
      </c>
      <c r="D486" s="101"/>
      <c r="E486" s="101"/>
      <c r="F486" s="2"/>
    </row>
    <row r="487" spans="2:6" ht="15" hidden="1" customHeight="1" x14ac:dyDescent="0.25">
      <c r="B487" s="1"/>
      <c r="C487" s="104" t="s">
        <v>38</v>
      </c>
      <c r="D487" s="107" t="str">
        <f>IF(I.Facility.ComplianceYear="","Compliance year",I.Facility.ComplianceYear)</f>
        <v>Compliance year</v>
      </c>
      <c r="E487" s="103" t="s">
        <v>39</v>
      </c>
      <c r="F487" s="2"/>
    </row>
    <row r="488" spans="2:6" ht="15" hidden="1" customHeight="1" x14ac:dyDescent="0.35">
      <c r="B488" s="1"/>
      <c r="C488" s="105" t="s">
        <v>49</v>
      </c>
      <c r="D488" s="108"/>
      <c r="E488" s="110" t="s">
        <v>1660</v>
      </c>
      <c r="F488" s="2"/>
    </row>
    <row r="489" spans="2:6" ht="15" hidden="1" customHeight="1" x14ac:dyDescent="0.35">
      <c r="B489" s="1"/>
      <c r="C489" s="105" t="s">
        <v>50</v>
      </c>
      <c r="D489" s="108"/>
      <c r="E489" s="110" t="s">
        <v>1661</v>
      </c>
      <c r="F489" s="2"/>
    </row>
    <row r="490" spans="2:6" ht="15" hidden="1" customHeight="1" x14ac:dyDescent="0.35">
      <c r="B490" s="1"/>
      <c r="C490" s="105" t="s">
        <v>51</v>
      </c>
      <c r="D490" s="108"/>
      <c r="E490" s="110" t="s">
        <v>1662</v>
      </c>
      <c r="F490" s="2"/>
    </row>
    <row r="491" spans="2:6" ht="15" hidden="1" customHeight="1" x14ac:dyDescent="0.25">
      <c r="B491" s="1"/>
      <c r="C491" s="101"/>
      <c r="D491" s="101"/>
      <c r="E491" s="101"/>
      <c r="F491" s="2"/>
    </row>
    <row r="492" spans="2:6" ht="15" hidden="1" customHeight="1" x14ac:dyDescent="0.25">
      <c r="B492" s="1"/>
      <c r="C492" s="101" t="s">
        <v>48</v>
      </c>
      <c r="D492" s="101"/>
      <c r="E492" s="101"/>
      <c r="F492" s="2"/>
    </row>
    <row r="493" spans="2:6" ht="15" hidden="1" customHeight="1" x14ac:dyDescent="0.25">
      <c r="B493" s="1"/>
      <c r="C493" s="104" t="s">
        <v>38</v>
      </c>
      <c r="D493" s="107" t="str">
        <f>IF(I.Facility.ComplianceYear="","Compliance year",I.Facility.ComplianceYear)</f>
        <v>Compliance year</v>
      </c>
      <c r="E493" s="103" t="s">
        <v>39</v>
      </c>
      <c r="F493" s="2"/>
    </row>
    <row r="494" spans="2:6" ht="15" hidden="1" customHeight="1" x14ac:dyDescent="0.35">
      <c r="B494" s="1"/>
      <c r="C494" s="105" t="s">
        <v>49</v>
      </c>
      <c r="D494" s="108"/>
      <c r="E494" s="110" t="s">
        <v>1660</v>
      </c>
      <c r="F494" s="2"/>
    </row>
    <row r="495" spans="2:6" ht="15" hidden="1" customHeight="1" x14ac:dyDescent="0.35">
      <c r="B495" s="1"/>
      <c r="C495" s="105" t="s">
        <v>50</v>
      </c>
      <c r="D495" s="108"/>
      <c r="E495" s="110" t="s">
        <v>1661</v>
      </c>
      <c r="F495" s="2"/>
    </row>
    <row r="496" spans="2:6" ht="15" hidden="1" customHeight="1" x14ac:dyDescent="0.35">
      <c r="B496" s="1"/>
      <c r="C496" s="105" t="s">
        <v>51</v>
      </c>
      <c r="D496" s="108"/>
      <c r="E496" s="110" t="s">
        <v>1662</v>
      </c>
      <c r="F496" s="2"/>
    </row>
    <row r="497" spans="2:6" ht="15" hidden="1" customHeight="1" x14ac:dyDescent="0.25">
      <c r="B497" s="1"/>
      <c r="C497" s="101"/>
      <c r="D497" s="101"/>
      <c r="E497" s="101"/>
      <c r="F497" s="2"/>
    </row>
    <row r="498" spans="2:6" ht="15" customHeight="1" x14ac:dyDescent="0.25">
      <c r="B498" s="1"/>
      <c r="C498" s="113"/>
      <c r="D498" s="101"/>
      <c r="E498" s="101"/>
      <c r="F498" s="2"/>
    </row>
    <row r="499" spans="2:6" ht="15" customHeight="1" x14ac:dyDescent="0.25">
      <c r="B499" s="1"/>
      <c r="C499" s="101"/>
      <c r="D499" s="101"/>
      <c r="E499" s="101"/>
      <c r="F499" s="2"/>
    </row>
    <row r="500" spans="2:6" ht="15" customHeight="1" x14ac:dyDescent="0.25">
      <c r="B500" s="3"/>
      <c r="C500" s="8">
        <f>R.Instructions.VersionNumber</f>
        <v>5</v>
      </c>
      <c r="D500" s="4"/>
      <c r="E500" s="9">
        <f>R.Instructions.VersionDate</f>
        <v>45691</v>
      </c>
      <c r="F500" s="5"/>
    </row>
    <row r="502" spans="2:6" ht="15" customHeight="1" x14ac:dyDescent="0.25">
      <c r="C502" s="127" t="str">
        <f>IFERROR(VLOOKUP("Incomplete",Developer!H884:I1213,2,FALSE),"Sheet complete.")</f>
        <v>Sheet complete.</v>
      </c>
      <c r="D502" s="127"/>
      <c r="E502" s="127"/>
    </row>
    <row r="503" spans="2:6" ht="15" customHeight="1" x14ac:dyDescent="0.25">
      <c r="C503" s="127"/>
      <c r="D503" s="127"/>
      <c r="E503" s="127"/>
    </row>
    <row r="504" spans="2:6" ht="15" customHeight="1" x14ac:dyDescent="0.25">
      <c r="C504" s="127"/>
      <c r="D504" s="127"/>
      <c r="E504" s="127"/>
    </row>
  </sheetData>
  <sheetProtection algorithmName="SHA-512" hashValue="Le7bJVoNs6tda2bDFdZTFcjZyOCBMOMt0gUe78bOJ2jKxJ1HgHwNk550J45qqVzcck50HhrvI5KJgew7H72Jqw==" saltValue="XyujR6+a7Su57BQfspa+Xg==" spinCount="100000" sheet="1" objects="1" scenarios="1" selectLockedCells="1"/>
  <mergeCells count="8">
    <mergeCell ref="C502:E504"/>
    <mergeCell ref="C4:E4"/>
    <mergeCell ref="C8:E8"/>
    <mergeCell ref="C106:E106"/>
    <mergeCell ref="C204:E204"/>
    <mergeCell ref="C302:E302"/>
    <mergeCell ref="C400:E400"/>
    <mergeCell ref="C6:E7"/>
  </mergeCells>
  <conditionalFormatting sqref="C502">
    <cfRule type="cellIs" dxfId="4" priority="1" stopIfTrue="1" operator="equal">
      <formula>"Sheet complete."</formula>
    </cfRule>
  </conditionalFormatting>
  <printOptions horizontalCentered="1"/>
  <pageMargins left="0.25" right="0.25" top="0.25" bottom="0.25" header="0" footer="0"/>
  <pageSetup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0F07C-65CF-4074-B7EB-D9F5E57C6114}">
  <sheetPr codeName="Sheet6">
    <tabColor rgb="FF046A38"/>
    <pageSetUpPr fitToPage="1"/>
  </sheetPr>
  <dimension ref="B1:J75"/>
  <sheetViews>
    <sheetView showGridLines="0" showRowColHeaders="0" zoomScaleNormal="100" workbookViewId="0">
      <selection activeCell="C12" sqref="C12:D12"/>
    </sheetView>
  </sheetViews>
  <sheetFormatPr defaultColWidth="9.140625" defaultRowHeight="15" customHeight="1" x14ac:dyDescent="0.25"/>
  <cols>
    <col min="1" max="3" width="5.7109375" customWidth="1"/>
    <col min="4" max="9" width="18.7109375" customWidth="1"/>
    <col min="10" max="10" width="5.7109375" customWidth="1"/>
  </cols>
  <sheetData>
    <row r="1" spans="2:10" ht="24.95" customHeight="1" x14ac:dyDescent="0.25"/>
    <row r="2" spans="2:10" ht="24.95" customHeight="1" x14ac:dyDescent="0.25"/>
    <row r="3" spans="2:10" ht="24.95" customHeight="1" x14ac:dyDescent="0.25"/>
    <row r="4" spans="2:10" ht="24.95" customHeight="1" x14ac:dyDescent="0.25">
      <c r="B4" s="6"/>
      <c r="C4" s="132" t="s">
        <v>4</v>
      </c>
      <c r="D4" s="132"/>
      <c r="E4" s="132"/>
      <c r="F4" s="132"/>
      <c r="G4" s="132"/>
      <c r="H4" s="132"/>
      <c r="I4" s="132"/>
      <c r="J4" s="7"/>
    </row>
    <row r="5" spans="2:10" ht="15" customHeight="1" x14ac:dyDescent="0.25">
      <c r="B5" s="1"/>
      <c r="C5" s="101"/>
      <c r="D5" s="101"/>
      <c r="E5" s="101"/>
      <c r="F5" s="101"/>
      <c r="G5" s="101"/>
      <c r="H5" s="101"/>
      <c r="I5" s="101"/>
      <c r="J5" s="2"/>
    </row>
    <row r="6" spans="2:10" ht="15" customHeight="1" x14ac:dyDescent="0.25">
      <c r="B6" s="1"/>
      <c r="C6" s="123" t="s">
        <v>104</v>
      </c>
      <c r="D6" s="122"/>
      <c r="E6" s="122"/>
      <c r="F6" s="122"/>
      <c r="G6" s="122"/>
      <c r="H6" s="122"/>
      <c r="I6" s="122"/>
      <c r="J6" s="2"/>
    </row>
    <row r="7" spans="2:10" ht="15" hidden="1" customHeight="1" x14ac:dyDescent="0.25">
      <c r="B7" s="1"/>
      <c r="C7" s="101"/>
      <c r="D7" s="101"/>
      <c r="E7" s="101"/>
      <c r="F7" s="101"/>
      <c r="G7" s="101"/>
      <c r="H7" s="101"/>
      <c r="I7" s="101"/>
      <c r="J7" s="2"/>
    </row>
    <row r="8" spans="2:10" ht="15" hidden="1" customHeight="1" x14ac:dyDescent="0.25">
      <c r="B8" s="1"/>
      <c r="C8" s="101" t="s">
        <v>27</v>
      </c>
      <c r="D8" s="101"/>
      <c r="E8" s="101"/>
      <c r="F8" s="101"/>
      <c r="G8" s="101"/>
      <c r="H8" s="101"/>
      <c r="I8" s="101"/>
      <c r="J8" s="2"/>
    </row>
    <row r="9" spans="2:10" ht="15" hidden="1" customHeight="1" x14ac:dyDescent="0.25">
      <c r="B9" s="1"/>
      <c r="C9" s="137" t="str">
        <f>IF(I.Facility.ComplianceYear="","",I.Facility.ComplianceYear)</f>
        <v/>
      </c>
      <c r="D9" s="138"/>
      <c r="E9" s="101"/>
      <c r="F9" s="101"/>
      <c r="G9" s="101"/>
      <c r="H9" s="101"/>
      <c r="I9" s="101"/>
      <c r="J9" s="2"/>
    </row>
    <row r="10" spans="2:10" ht="15" hidden="1" customHeight="1" x14ac:dyDescent="0.25">
      <c r="B10" s="1"/>
      <c r="C10" s="101"/>
      <c r="D10" s="101"/>
      <c r="E10" s="101"/>
      <c r="F10" s="101"/>
      <c r="G10" s="101"/>
      <c r="H10" s="101"/>
      <c r="I10" s="101"/>
      <c r="J10" s="2"/>
    </row>
    <row r="11" spans="2:10" ht="15" hidden="1" customHeight="1" x14ac:dyDescent="0.25">
      <c r="B11" s="1"/>
      <c r="C11" s="101" t="s">
        <v>1697</v>
      </c>
      <c r="D11" s="101"/>
      <c r="E11" s="101"/>
      <c r="F11" s="101"/>
      <c r="G11" s="101"/>
      <c r="H11" s="101"/>
      <c r="I11" s="101"/>
      <c r="J11" s="2"/>
    </row>
    <row r="12" spans="2:10" ht="15" hidden="1" customHeight="1" x14ac:dyDescent="0.25">
      <c r="B12" s="1"/>
      <c r="C12" s="128"/>
      <c r="D12" s="129"/>
      <c r="E12" s="101"/>
      <c r="F12" s="101"/>
      <c r="G12" s="101"/>
      <c r="H12" s="101"/>
      <c r="I12" s="101"/>
      <c r="J12" s="2"/>
    </row>
    <row r="13" spans="2:10" ht="15" hidden="1" customHeight="1" x14ac:dyDescent="0.25">
      <c r="B13" s="1"/>
      <c r="C13" s="101"/>
      <c r="D13" s="101"/>
      <c r="E13" s="101"/>
      <c r="F13" s="101"/>
      <c r="G13" s="101"/>
      <c r="H13" s="101"/>
      <c r="I13" s="101"/>
      <c r="J13" s="2"/>
    </row>
    <row r="14" spans="2:10" ht="15" hidden="1" customHeight="1" x14ac:dyDescent="0.25">
      <c r="B14" s="1"/>
      <c r="C14" s="139" t="s">
        <v>25</v>
      </c>
      <c r="D14" s="142" t="s">
        <v>73</v>
      </c>
      <c r="E14" s="142" t="s">
        <v>74</v>
      </c>
      <c r="F14" s="142" t="s">
        <v>75</v>
      </c>
      <c r="G14" s="142" t="s">
        <v>1694</v>
      </c>
      <c r="H14" s="142" t="s">
        <v>1695</v>
      </c>
      <c r="I14" s="142" t="s">
        <v>1696</v>
      </c>
      <c r="J14" s="2"/>
    </row>
    <row r="15" spans="2:10" ht="15" hidden="1" customHeight="1" x14ac:dyDescent="0.25">
      <c r="B15" s="1"/>
      <c r="C15" s="140"/>
      <c r="D15" s="143"/>
      <c r="E15" s="143"/>
      <c r="F15" s="143"/>
      <c r="G15" s="143"/>
      <c r="H15" s="143"/>
      <c r="I15" s="143"/>
      <c r="J15" s="2"/>
    </row>
    <row r="16" spans="2:10" ht="15" hidden="1" customHeight="1" x14ac:dyDescent="0.25">
      <c r="B16" s="1"/>
      <c r="C16" s="140"/>
      <c r="D16" s="143"/>
      <c r="E16" s="143"/>
      <c r="F16" s="143"/>
      <c r="G16" s="143"/>
      <c r="H16" s="143"/>
      <c r="I16" s="143"/>
      <c r="J16" s="2"/>
    </row>
    <row r="17" spans="2:10" ht="15" hidden="1" customHeight="1" x14ac:dyDescent="0.35">
      <c r="B17" s="1"/>
      <c r="C17" s="141"/>
      <c r="D17" s="116" t="s">
        <v>76</v>
      </c>
      <c r="E17" s="116" t="s">
        <v>76</v>
      </c>
      <c r="F17" s="116" t="s">
        <v>77</v>
      </c>
      <c r="G17" s="117" t="s">
        <v>1684</v>
      </c>
      <c r="H17" s="117" t="s">
        <v>1685</v>
      </c>
      <c r="I17" s="118" t="s">
        <v>1686</v>
      </c>
      <c r="J17" s="2"/>
    </row>
    <row r="18" spans="2:10" ht="15" hidden="1" customHeight="1" x14ac:dyDescent="0.25">
      <c r="B18" s="1"/>
      <c r="C18" s="115">
        <v>1</v>
      </c>
      <c r="D18" s="108"/>
      <c r="E18" s="108"/>
      <c r="F18" s="108"/>
      <c r="G18" s="108"/>
      <c r="H18" s="108"/>
      <c r="I18" s="106"/>
      <c r="J18" s="2"/>
    </row>
    <row r="19" spans="2:10" ht="15" hidden="1" customHeight="1" x14ac:dyDescent="0.25">
      <c r="B19" s="1"/>
      <c r="C19" s="115">
        <v>2</v>
      </c>
      <c r="D19" s="108"/>
      <c r="E19" s="108"/>
      <c r="F19" s="108"/>
      <c r="G19" s="108"/>
      <c r="H19" s="108"/>
      <c r="I19" s="106"/>
      <c r="J19" s="2"/>
    </row>
    <row r="20" spans="2:10" ht="15" hidden="1" customHeight="1" x14ac:dyDescent="0.25">
      <c r="B20" s="1"/>
      <c r="C20" s="115">
        <v>3</v>
      </c>
      <c r="D20" s="108"/>
      <c r="E20" s="108"/>
      <c r="F20" s="108"/>
      <c r="G20" s="108"/>
      <c r="H20" s="108"/>
      <c r="I20" s="106"/>
      <c r="J20" s="2"/>
    </row>
    <row r="21" spans="2:10" ht="15" hidden="1" customHeight="1" x14ac:dyDescent="0.25">
      <c r="B21" s="1"/>
      <c r="C21" s="115">
        <v>4</v>
      </c>
      <c r="D21" s="108"/>
      <c r="E21" s="108"/>
      <c r="F21" s="108"/>
      <c r="G21" s="108"/>
      <c r="H21" s="108"/>
      <c r="I21" s="106"/>
      <c r="J21" s="2"/>
    </row>
    <row r="22" spans="2:10" ht="15" hidden="1" customHeight="1" x14ac:dyDescent="0.25">
      <c r="B22" s="1"/>
      <c r="C22" s="115">
        <v>5</v>
      </c>
      <c r="D22" s="108"/>
      <c r="E22" s="108"/>
      <c r="F22" s="108"/>
      <c r="G22" s="108"/>
      <c r="H22" s="108"/>
      <c r="I22" s="106"/>
      <c r="J22" s="2"/>
    </row>
    <row r="23" spans="2:10" ht="15" hidden="1" customHeight="1" x14ac:dyDescent="0.25">
      <c r="B23" s="1"/>
      <c r="C23" s="115">
        <v>6</v>
      </c>
      <c r="D23" s="108"/>
      <c r="E23" s="108"/>
      <c r="F23" s="108"/>
      <c r="G23" s="108"/>
      <c r="H23" s="108"/>
      <c r="I23" s="106"/>
      <c r="J23" s="2"/>
    </row>
    <row r="24" spans="2:10" ht="15" hidden="1" customHeight="1" x14ac:dyDescent="0.25">
      <c r="B24" s="1"/>
      <c r="C24" s="115">
        <v>7</v>
      </c>
      <c r="D24" s="108"/>
      <c r="E24" s="108"/>
      <c r="F24" s="108"/>
      <c r="G24" s="108"/>
      <c r="H24" s="108"/>
      <c r="I24" s="106"/>
      <c r="J24" s="2"/>
    </row>
    <row r="25" spans="2:10" ht="15" hidden="1" customHeight="1" x14ac:dyDescent="0.25">
      <c r="B25" s="1"/>
      <c r="C25" s="115">
        <v>8</v>
      </c>
      <c r="D25" s="108"/>
      <c r="E25" s="108"/>
      <c r="F25" s="108"/>
      <c r="G25" s="108"/>
      <c r="H25" s="108"/>
      <c r="I25" s="106"/>
      <c r="J25" s="2"/>
    </row>
    <row r="26" spans="2:10" ht="15" hidden="1" customHeight="1" x14ac:dyDescent="0.25">
      <c r="B26" s="1"/>
      <c r="C26" s="115">
        <v>9</v>
      </c>
      <c r="D26" s="108"/>
      <c r="E26" s="108"/>
      <c r="F26" s="108"/>
      <c r="G26" s="108"/>
      <c r="H26" s="108"/>
      <c r="I26" s="106"/>
      <c r="J26" s="2"/>
    </row>
    <row r="27" spans="2:10" ht="15" hidden="1" customHeight="1" x14ac:dyDescent="0.25">
      <c r="B27" s="1"/>
      <c r="C27" s="115">
        <v>10</v>
      </c>
      <c r="D27" s="108"/>
      <c r="E27" s="108"/>
      <c r="F27" s="108"/>
      <c r="G27" s="108"/>
      <c r="H27" s="108"/>
      <c r="I27" s="106"/>
      <c r="J27" s="2"/>
    </row>
    <row r="28" spans="2:10" ht="15" hidden="1" customHeight="1" x14ac:dyDescent="0.25">
      <c r="B28" s="1"/>
      <c r="C28" s="115">
        <v>11</v>
      </c>
      <c r="D28" s="108"/>
      <c r="E28" s="108"/>
      <c r="F28" s="108"/>
      <c r="G28" s="108"/>
      <c r="H28" s="108"/>
      <c r="I28" s="106"/>
      <c r="J28" s="2"/>
    </row>
    <row r="29" spans="2:10" ht="15" hidden="1" customHeight="1" x14ac:dyDescent="0.25">
      <c r="B29" s="1"/>
      <c r="C29" s="115">
        <v>12</v>
      </c>
      <c r="D29" s="108"/>
      <c r="E29" s="108"/>
      <c r="F29" s="108"/>
      <c r="G29" s="108"/>
      <c r="H29" s="108"/>
      <c r="I29" s="106"/>
      <c r="J29" s="2"/>
    </row>
    <row r="30" spans="2:10" ht="15" hidden="1" customHeight="1" x14ac:dyDescent="0.25">
      <c r="B30" s="1"/>
      <c r="C30" s="115">
        <v>13</v>
      </c>
      <c r="D30" s="108"/>
      <c r="E30" s="108"/>
      <c r="F30" s="108"/>
      <c r="G30" s="108"/>
      <c r="H30" s="108"/>
      <c r="I30" s="106"/>
      <c r="J30" s="2"/>
    </row>
    <row r="31" spans="2:10" ht="15" hidden="1" customHeight="1" x14ac:dyDescent="0.25">
      <c r="B31" s="1"/>
      <c r="C31" s="115">
        <v>14</v>
      </c>
      <c r="D31" s="108"/>
      <c r="E31" s="108"/>
      <c r="F31" s="108"/>
      <c r="G31" s="108"/>
      <c r="H31" s="108"/>
      <c r="I31" s="106"/>
      <c r="J31" s="2"/>
    </row>
    <row r="32" spans="2:10" ht="15" hidden="1" customHeight="1" x14ac:dyDescent="0.25">
      <c r="B32" s="1"/>
      <c r="C32" s="115">
        <v>15</v>
      </c>
      <c r="D32" s="108"/>
      <c r="E32" s="108"/>
      <c r="F32" s="108"/>
      <c r="G32" s="108"/>
      <c r="H32" s="108"/>
      <c r="I32" s="106"/>
      <c r="J32" s="2"/>
    </row>
    <row r="33" spans="2:10" ht="15" hidden="1" customHeight="1" x14ac:dyDescent="0.25">
      <c r="B33" s="1"/>
      <c r="C33" s="115">
        <v>16</v>
      </c>
      <c r="D33" s="108"/>
      <c r="E33" s="108"/>
      <c r="F33" s="108"/>
      <c r="G33" s="108"/>
      <c r="H33" s="108"/>
      <c r="I33" s="106"/>
      <c r="J33" s="2"/>
    </row>
    <row r="34" spans="2:10" ht="15" hidden="1" customHeight="1" x14ac:dyDescent="0.25">
      <c r="B34" s="1"/>
      <c r="C34" s="115">
        <v>17</v>
      </c>
      <c r="D34" s="108"/>
      <c r="E34" s="108"/>
      <c r="F34" s="108"/>
      <c r="G34" s="108"/>
      <c r="H34" s="108"/>
      <c r="I34" s="106"/>
      <c r="J34" s="2"/>
    </row>
    <row r="35" spans="2:10" ht="15" hidden="1" customHeight="1" x14ac:dyDescent="0.25">
      <c r="B35" s="1"/>
      <c r="C35" s="115">
        <v>18</v>
      </c>
      <c r="D35" s="108"/>
      <c r="E35" s="108"/>
      <c r="F35" s="108"/>
      <c r="G35" s="108"/>
      <c r="H35" s="108"/>
      <c r="I35" s="106"/>
      <c r="J35" s="2"/>
    </row>
    <row r="36" spans="2:10" ht="15" hidden="1" customHeight="1" x14ac:dyDescent="0.25">
      <c r="B36" s="1"/>
      <c r="C36" s="115">
        <v>19</v>
      </c>
      <c r="D36" s="108"/>
      <c r="E36" s="108"/>
      <c r="F36" s="108"/>
      <c r="G36" s="108"/>
      <c r="H36" s="108"/>
      <c r="I36" s="106"/>
      <c r="J36" s="2"/>
    </row>
    <row r="37" spans="2:10" ht="15" hidden="1" customHeight="1" x14ac:dyDescent="0.25">
      <c r="B37" s="1"/>
      <c r="C37" s="115">
        <v>20</v>
      </c>
      <c r="D37" s="108"/>
      <c r="E37" s="108"/>
      <c r="F37" s="108"/>
      <c r="G37" s="108"/>
      <c r="H37" s="108"/>
      <c r="I37" s="106"/>
      <c r="J37" s="2"/>
    </row>
    <row r="38" spans="2:10" ht="15" hidden="1" customHeight="1" x14ac:dyDescent="0.25">
      <c r="B38" s="1"/>
      <c r="C38" s="115">
        <v>21</v>
      </c>
      <c r="D38" s="108"/>
      <c r="E38" s="108"/>
      <c r="F38" s="108"/>
      <c r="G38" s="108"/>
      <c r="H38" s="108"/>
      <c r="I38" s="106"/>
      <c r="J38" s="2"/>
    </row>
    <row r="39" spans="2:10" ht="15" hidden="1" customHeight="1" x14ac:dyDescent="0.25">
      <c r="B39" s="1"/>
      <c r="C39" s="115">
        <v>22</v>
      </c>
      <c r="D39" s="108"/>
      <c r="E39" s="108"/>
      <c r="F39" s="108"/>
      <c r="G39" s="108"/>
      <c r="H39" s="108"/>
      <c r="I39" s="106"/>
      <c r="J39" s="2"/>
    </row>
    <row r="40" spans="2:10" ht="15" hidden="1" customHeight="1" x14ac:dyDescent="0.25">
      <c r="B40" s="1"/>
      <c r="C40" s="115">
        <v>23</v>
      </c>
      <c r="D40" s="108"/>
      <c r="E40" s="108"/>
      <c r="F40" s="108"/>
      <c r="G40" s="108"/>
      <c r="H40" s="108"/>
      <c r="I40" s="106"/>
      <c r="J40" s="2"/>
    </row>
    <row r="41" spans="2:10" ht="15" hidden="1" customHeight="1" x14ac:dyDescent="0.25">
      <c r="B41" s="1"/>
      <c r="C41" s="115">
        <v>24</v>
      </c>
      <c r="D41" s="108"/>
      <c r="E41" s="108"/>
      <c r="F41" s="108"/>
      <c r="G41" s="108"/>
      <c r="H41" s="108"/>
      <c r="I41" s="106"/>
      <c r="J41" s="2"/>
    </row>
    <row r="42" spans="2:10" ht="15" hidden="1" customHeight="1" x14ac:dyDescent="0.25">
      <c r="B42" s="1"/>
      <c r="C42" s="115">
        <v>25</v>
      </c>
      <c r="D42" s="108"/>
      <c r="E42" s="108"/>
      <c r="F42" s="108"/>
      <c r="G42" s="108"/>
      <c r="H42" s="108"/>
      <c r="I42" s="106"/>
      <c r="J42" s="2"/>
    </row>
    <row r="43" spans="2:10" ht="15" hidden="1" customHeight="1" x14ac:dyDescent="0.25">
      <c r="B43" s="1"/>
      <c r="C43" s="115">
        <v>26</v>
      </c>
      <c r="D43" s="108"/>
      <c r="E43" s="108"/>
      <c r="F43" s="108"/>
      <c r="G43" s="108"/>
      <c r="H43" s="108"/>
      <c r="I43" s="106"/>
      <c r="J43" s="2"/>
    </row>
    <row r="44" spans="2:10" ht="15" hidden="1" customHeight="1" x14ac:dyDescent="0.25">
      <c r="B44" s="1"/>
      <c r="C44" s="115">
        <v>27</v>
      </c>
      <c r="D44" s="108"/>
      <c r="E44" s="108"/>
      <c r="F44" s="108"/>
      <c r="G44" s="108"/>
      <c r="H44" s="108"/>
      <c r="I44" s="106"/>
      <c r="J44" s="2"/>
    </row>
    <row r="45" spans="2:10" ht="15" hidden="1" customHeight="1" x14ac:dyDescent="0.25">
      <c r="B45" s="1"/>
      <c r="C45" s="115">
        <v>28</v>
      </c>
      <c r="D45" s="108"/>
      <c r="E45" s="108"/>
      <c r="F45" s="108"/>
      <c r="G45" s="108"/>
      <c r="H45" s="108"/>
      <c r="I45" s="106"/>
      <c r="J45" s="2"/>
    </row>
    <row r="46" spans="2:10" ht="15" hidden="1" customHeight="1" x14ac:dyDescent="0.25">
      <c r="B46" s="1"/>
      <c r="C46" s="115">
        <v>29</v>
      </c>
      <c r="D46" s="108"/>
      <c r="E46" s="108"/>
      <c r="F46" s="108"/>
      <c r="G46" s="108"/>
      <c r="H46" s="108"/>
      <c r="I46" s="106"/>
      <c r="J46" s="2"/>
    </row>
    <row r="47" spans="2:10" ht="15" hidden="1" customHeight="1" x14ac:dyDescent="0.25">
      <c r="B47" s="1"/>
      <c r="C47" s="115">
        <v>30</v>
      </c>
      <c r="D47" s="108"/>
      <c r="E47" s="108"/>
      <c r="F47" s="108"/>
      <c r="G47" s="108"/>
      <c r="H47" s="108"/>
      <c r="I47" s="106"/>
      <c r="J47" s="2"/>
    </row>
    <row r="48" spans="2:10" ht="15" hidden="1" customHeight="1" x14ac:dyDescent="0.25">
      <c r="B48" s="1"/>
      <c r="C48" s="115">
        <v>31</v>
      </c>
      <c r="D48" s="108"/>
      <c r="E48" s="108"/>
      <c r="F48" s="108"/>
      <c r="G48" s="108"/>
      <c r="H48" s="108"/>
      <c r="I48" s="106"/>
      <c r="J48" s="2"/>
    </row>
    <row r="49" spans="2:10" ht="15" hidden="1" customHeight="1" x14ac:dyDescent="0.25">
      <c r="B49" s="1"/>
      <c r="C49" s="115">
        <v>32</v>
      </c>
      <c r="D49" s="108"/>
      <c r="E49" s="108"/>
      <c r="F49" s="108"/>
      <c r="G49" s="108"/>
      <c r="H49" s="108"/>
      <c r="I49" s="106"/>
      <c r="J49" s="2"/>
    </row>
    <row r="50" spans="2:10" ht="15" hidden="1" customHeight="1" x14ac:dyDescent="0.25">
      <c r="B50" s="1"/>
      <c r="C50" s="115">
        <v>33</v>
      </c>
      <c r="D50" s="108"/>
      <c r="E50" s="108"/>
      <c r="F50" s="108"/>
      <c r="G50" s="108"/>
      <c r="H50" s="108"/>
      <c r="I50" s="106"/>
      <c r="J50" s="2"/>
    </row>
    <row r="51" spans="2:10" ht="15" hidden="1" customHeight="1" x14ac:dyDescent="0.25">
      <c r="B51" s="1"/>
      <c r="C51" s="115">
        <v>34</v>
      </c>
      <c r="D51" s="108"/>
      <c r="E51" s="108"/>
      <c r="F51" s="108"/>
      <c r="G51" s="108"/>
      <c r="H51" s="108"/>
      <c r="I51" s="106"/>
      <c r="J51" s="2"/>
    </row>
    <row r="52" spans="2:10" ht="15" hidden="1" customHeight="1" x14ac:dyDescent="0.25">
      <c r="B52" s="1"/>
      <c r="C52" s="115">
        <v>35</v>
      </c>
      <c r="D52" s="108"/>
      <c r="E52" s="108"/>
      <c r="F52" s="108"/>
      <c r="G52" s="108"/>
      <c r="H52" s="108"/>
      <c r="I52" s="106"/>
      <c r="J52" s="2"/>
    </row>
    <row r="53" spans="2:10" ht="15" hidden="1" customHeight="1" x14ac:dyDescent="0.25">
      <c r="B53" s="1"/>
      <c r="C53" s="115">
        <v>36</v>
      </c>
      <c r="D53" s="108"/>
      <c r="E53" s="108"/>
      <c r="F53" s="108"/>
      <c r="G53" s="108"/>
      <c r="H53" s="108"/>
      <c r="I53" s="106"/>
      <c r="J53" s="2"/>
    </row>
    <row r="54" spans="2:10" ht="15" hidden="1" customHeight="1" x14ac:dyDescent="0.25">
      <c r="B54" s="1"/>
      <c r="C54" s="115">
        <v>37</v>
      </c>
      <c r="D54" s="108"/>
      <c r="E54" s="108"/>
      <c r="F54" s="108"/>
      <c r="G54" s="108"/>
      <c r="H54" s="108"/>
      <c r="I54" s="106"/>
      <c r="J54" s="2"/>
    </row>
    <row r="55" spans="2:10" ht="15" hidden="1" customHeight="1" x14ac:dyDescent="0.25">
      <c r="B55" s="1"/>
      <c r="C55" s="115">
        <v>38</v>
      </c>
      <c r="D55" s="108"/>
      <c r="E55" s="108"/>
      <c r="F55" s="108"/>
      <c r="G55" s="108"/>
      <c r="H55" s="108"/>
      <c r="I55" s="106"/>
      <c r="J55" s="2"/>
    </row>
    <row r="56" spans="2:10" ht="15" hidden="1" customHeight="1" x14ac:dyDescent="0.25">
      <c r="B56" s="1"/>
      <c r="C56" s="115">
        <v>39</v>
      </c>
      <c r="D56" s="108"/>
      <c r="E56" s="108"/>
      <c r="F56" s="108"/>
      <c r="G56" s="108"/>
      <c r="H56" s="108"/>
      <c r="I56" s="106"/>
      <c r="J56" s="2"/>
    </row>
    <row r="57" spans="2:10" ht="15" hidden="1" customHeight="1" x14ac:dyDescent="0.25">
      <c r="B57" s="1"/>
      <c r="C57" s="115">
        <v>40</v>
      </c>
      <c r="D57" s="108"/>
      <c r="E57" s="108"/>
      <c r="F57" s="108"/>
      <c r="G57" s="108"/>
      <c r="H57" s="108"/>
      <c r="I57" s="106"/>
      <c r="J57" s="2"/>
    </row>
    <row r="58" spans="2:10" ht="15" hidden="1" customHeight="1" x14ac:dyDescent="0.25">
      <c r="B58" s="1"/>
      <c r="C58" s="115">
        <v>41</v>
      </c>
      <c r="D58" s="108"/>
      <c r="E58" s="108"/>
      <c r="F58" s="108"/>
      <c r="G58" s="108"/>
      <c r="H58" s="108"/>
      <c r="I58" s="106"/>
      <c r="J58" s="2"/>
    </row>
    <row r="59" spans="2:10" ht="15" hidden="1" customHeight="1" x14ac:dyDescent="0.25">
      <c r="B59" s="1"/>
      <c r="C59" s="115">
        <v>42</v>
      </c>
      <c r="D59" s="108"/>
      <c r="E59" s="108"/>
      <c r="F59" s="108"/>
      <c r="G59" s="108"/>
      <c r="H59" s="108"/>
      <c r="I59" s="106"/>
      <c r="J59" s="2"/>
    </row>
    <row r="60" spans="2:10" ht="15" hidden="1" customHeight="1" x14ac:dyDescent="0.25">
      <c r="B60" s="1"/>
      <c r="C60" s="115">
        <v>43</v>
      </c>
      <c r="D60" s="108"/>
      <c r="E60" s="108"/>
      <c r="F60" s="108"/>
      <c r="G60" s="108"/>
      <c r="H60" s="108"/>
      <c r="I60" s="106"/>
      <c r="J60" s="2"/>
    </row>
    <row r="61" spans="2:10" ht="15" hidden="1" customHeight="1" x14ac:dyDescent="0.25">
      <c r="B61" s="1"/>
      <c r="C61" s="115">
        <v>44</v>
      </c>
      <c r="D61" s="108"/>
      <c r="E61" s="108"/>
      <c r="F61" s="108"/>
      <c r="G61" s="108"/>
      <c r="H61" s="108"/>
      <c r="I61" s="106"/>
      <c r="J61" s="2"/>
    </row>
    <row r="62" spans="2:10" ht="15" hidden="1" customHeight="1" x14ac:dyDescent="0.25">
      <c r="B62" s="1"/>
      <c r="C62" s="115">
        <v>45</v>
      </c>
      <c r="D62" s="108"/>
      <c r="E62" s="108"/>
      <c r="F62" s="108"/>
      <c r="G62" s="108"/>
      <c r="H62" s="108"/>
      <c r="I62" s="106"/>
      <c r="J62" s="2"/>
    </row>
    <row r="63" spans="2:10" ht="15" hidden="1" customHeight="1" x14ac:dyDescent="0.25">
      <c r="B63" s="1"/>
      <c r="C63" s="115">
        <v>46</v>
      </c>
      <c r="D63" s="108"/>
      <c r="E63" s="108"/>
      <c r="F63" s="108"/>
      <c r="G63" s="108"/>
      <c r="H63" s="108"/>
      <c r="I63" s="106"/>
      <c r="J63" s="2"/>
    </row>
    <row r="64" spans="2:10" ht="15" hidden="1" customHeight="1" x14ac:dyDescent="0.25">
      <c r="B64" s="1"/>
      <c r="C64" s="115">
        <v>47</v>
      </c>
      <c r="D64" s="108"/>
      <c r="E64" s="108"/>
      <c r="F64" s="108"/>
      <c r="G64" s="108"/>
      <c r="H64" s="108"/>
      <c r="I64" s="106"/>
      <c r="J64" s="2"/>
    </row>
    <row r="65" spans="2:10" ht="15" hidden="1" customHeight="1" x14ac:dyDescent="0.25">
      <c r="B65" s="1"/>
      <c r="C65" s="115">
        <v>48</v>
      </c>
      <c r="D65" s="108"/>
      <c r="E65" s="108"/>
      <c r="F65" s="108"/>
      <c r="G65" s="108"/>
      <c r="H65" s="108"/>
      <c r="I65" s="106"/>
      <c r="J65" s="2"/>
    </row>
    <row r="66" spans="2:10" ht="15" hidden="1" customHeight="1" x14ac:dyDescent="0.25">
      <c r="B66" s="1"/>
      <c r="C66" s="115">
        <v>49</v>
      </c>
      <c r="D66" s="108"/>
      <c r="E66" s="108"/>
      <c r="F66" s="108"/>
      <c r="G66" s="108"/>
      <c r="H66" s="108"/>
      <c r="I66" s="106"/>
      <c r="J66" s="2"/>
    </row>
    <row r="67" spans="2:10" ht="15" hidden="1" customHeight="1" x14ac:dyDescent="0.25">
      <c r="B67" s="1"/>
      <c r="C67" s="115">
        <v>50</v>
      </c>
      <c r="D67" s="108"/>
      <c r="E67" s="108"/>
      <c r="F67" s="108"/>
      <c r="G67" s="108"/>
      <c r="H67" s="108"/>
      <c r="I67" s="106"/>
      <c r="J67" s="2"/>
    </row>
    <row r="68" spans="2:10" ht="15" customHeight="1" x14ac:dyDescent="0.25">
      <c r="B68" s="1"/>
      <c r="C68" s="101"/>
      <c r="D68" s="101"/>
      <c r="E68" s="101"/>
      <c r="F68" s="101"/>
      <c r="G68" s="101"/>
      <c r="H68" s="101"/>
      <c r="I68" s="101"/>
      <c r="J68" s="2"/>
    </row>
    <row r="69" spans="2:10" ht="15" customHeight="1" x14ac:dyDescent="0.25">
      <c r="B69" s="1"/>
      <c r="C69" s="125"/>
      <c r="D69" s="125"/>
      <c r="E69" s="101"/>
      <c r="F69" s="101"/>
      <c r="G69" s="101"/>
      <c r="H69" s="101"/>
      <c r="I69" s="101"/>
      <c r="J69" s="2"/>
    </row>
    <row r="70" spans="2:10" ht="15" customHeight="1" x14ac:dyDescent="0.25">
      <c r="B70" s="1"/>
      <c r="C70" s="101"/>
      <c r="D70" s="101"/>
      <c r="E70" s="101"/>
      <c r="F70" s="101"/>
      <c r="G70" s="101"/>
      <c r="H70" s="101"/>
      <c r="I70" s="101"/>
      <c r="J70" s="2"/>
    </row>
    <row r="71" spans="2:10" ht="15" customHeight="1" x14ac:dyDescent="0.25">
      <c r="B71" s="3"/>
      <c r="C71" s="126">
        <f>R.Instructions.VersionNumber</f>
        <v>5</v>
      </c>
      <c r="D71" s="126"/>
      <c r="E71" s="4"/>
      <c r="F71" s="4"/>
      <c r="G71" s="4"/>
      <c r="H71" s="4"/>
      <c r="I71" s="9">
        <f>R.Instructions.VersionDate</f>
        <v>45691</v>
      </c>
      <c r="J71" s="5"/>
    </row>
    <row r="73" spans="2:10" ht="15" customHeight="1" x14ac:dyDescent="0.25">
      <c r="C73" s="127" t="str">
        <f>IFERROR(VLOOKUP("Incomplete",Developer!H1214:I1514,2,FALSE),"Sheet complete.")</f>
        <v>Sheet complete.</v>
      </c>
      <c r="D73" s="127"/>
      <c r="E73" s="127"/>
      <c r="F73" s="127"/>
      <c r="G73" s="127"/>
      <c r="H73" s="127"/>
      <c r="I73" s="127"/>
    </row>
    <row r="74" spans="2:10" ht="15" customHeight="1" x14ac:dyDescent="0.25">
      <c r="C74" s="127"/>
      <c r="D74" s="127"/>
      <c r="E74" s="127"/>
      <c r="F74" s="127"/>
      <c r="G74" s="127"/>
      <c r="H74" s="127"/>
      <c r="I74" s="127"/>
    </row>
    <row r="75" spans="2:10" ht="15" customHeight="1" x14ac:dyDescent="0.25">
      <c r="C75" s="127"/>
      <c r="D75" s="127"/>
      <c r="E75" s="127"/>
      <c r="F75" s="127"/>
      <c r="G75" s="127"/>
      <c r="H75" s="127"/>
      <c r="I75" s="127"/>
    </row>
  </sheetData>
  <sheetProtection algorithmName="SHA-512" hashValue="U6/9j+MUDSIjcnkIXSL3LjDo5c7raPIh+Pi37VhKn7hu23qlP9LfAu4AlZ+CIxV9lWiErn763LtqTWh5k5k7HQ==" saltValue="yrS/yk7rNZmjOQ+YCmpsHw==" spinCount="100000" sheet="1" objects="1" scenarios="1" selectLockedCells="1"/>
  <mergeCells count="14">
    <mergeCell ref="C69:D69"/>
    <mergeCell ref="C71:D71"/>
    <mergeCell ref="C73:I75"/>
    <mergeCell ref="H14:H16"/>
    <mergeCell ref="I14:I16"/>
    <mergeCell ref="C4:I4"/>
    <mergeCell ref="C12:D12"/>
    <mergeCell ref="C9:D9"/>
    <mergeCell ref="C14:C17"/>
    <mergeCell ref="D14:D16"/>
    <mergeCell ref="E14:E16"/>
    <mergeCell ref="F14:F16"/>
    <mergeCell ref="G14:G16"/>
    <mergeCell ref="C6:I6"/>
  </mergeCells>
  <conditionalFormatting sqref="C73">
    <cfRule type="cellIs" dxfId="3" priority="1" stopIfTrue="1" operator="equal">
      <formula>"Sheet complete."</formula>
    </cfRule>
  </conditionalFormatting>
  <dataValidations count="1">
    <dataValidation type="list" allowBlank="1" showInputMessage="1" showErrorMessage="1" errorTitle="Gas-to-Power Data" error="The number of units must be between 1 and 50." sqref="C12" xr:uid="{6AF5EB5D-0608-4D36-8D88-662224F05BF9}">
      <formula1>R.Gas.RowNumber</formula1>
    </dataValidation>
  </dataValidations>
  <printOptions horizontalCentered="1"/>
  <pageMargins left="0.25" right="0.25" top="0.25" bottom="0.25" header="0" footer="0"/>
  <pageSetup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57850-2504-4EFD-AEC6-13B7C29DF40E}">
  <sheetPr codeName="Sheet7">
    <tabColor rgb="FF046A38"/>
    <pageSetUpPr fitToPage="1"/>
  </sheetPr>
  <dimension ref="B1:F22"/>
  <sheetViews>
    <sheetView showGridLines="0" showRowColHeaders="0" zoomScaleNormal="100" workbookViewId="0">
      <selection activeCell="D8" sqref="D8"/>
    </sheetView>
  </sheetViews>
  <sheetFormatPr defaultColWidth="9.140625"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32" t="s">
        <v>5</v>
      </c>
      <c r="D4" s="132"/>
      <c r="E4" s="132"/>
      <c r="F4" s="7"/>
    </row>
    <row r="5" spans="2:6" ht="15" hidden="1" customHeight="1" x14ac:dyDescent="0.25">
      <c r="B5" s="1"/>
      <c r="C5" s="101"/>
      <c r="D5" s="101"/>
      <c r="E5" s="101"/>
      <c r="F5" s="2"/>
    </row>
    <row r="6" spans="2:6" ht="15" hidden="1" customHeight="1" x14ac:dyDescent="0.25">
      <c r="B6" s="1"/>
      <c r="C6" s="124" t="s">
        <v>1698</v>
      </c>
      <c r="D6" s="124"/>
      <c r="E6" s="124"/>
      <c r="F6" s="2"/>
    </row>
    <row r="7" spans="2:6" ht="15" hidden="1" customHeight="1" x14ac:dyDescent="0.25">
      <c r="B7" s="1"/>
      <c r="C7" s="104" t="s">
        <v>38</v>
      </c>
      <c r="D7" s="107" t="str">
        <f>IF(I.Facility.ComplianceYear="","Compliance year",I.Facility.ComplianceYear)</f>
        <v>Compliance year</v>
      </c>
      <c r="E7" s="103" t="s">
        <v>39</v>
      </c>
      <c r="F7" s="2"/>
    </row>
    <row r="8" spans="2:6" ht="15" hidden="1" customHeight="1" x14ac:dyDescent="0.25">
      <c r="B8" s="1"/>
      <c r="C8" s="105" t="s">
        <v>1693</v>
      </c>
      <c r="D8" s="108"/>
      <c r="E8" s="102" t="s">
        <v>85</v>
      </c>
      <c r="F8" s="2"/>
    </row>
    <row r="9" spans="2:6" ht="15" hidden="1" customHeight="1" x14ac:dyDescent="0.25">
      <c r="B9" s="1"/>
      <c r="C9" s="101"/>
      <c r="D9" s="101"/>
      <c r="E9" s="101"/>
      <c r="F9" s="2"/>
    </row>
    <row r="10" spans="2:6" ht="15" hidden="1" customHeight="1" x14ac:dyDescent="0.25">
      <c r="B10" s="1"/>
      <c r="C10" s="101" t="s">
        <v>40</v>
      </c>
      <c r="D10" s="101"/>
      <c r="E10" s="101"/>
      <c r="F10" s="2"/>
    </row>
    <row r="11" spans="2:6" ht="15" hidden="1" customHeight="1" x14ac:dyDescent="0.25">
      <c r="B11" s="1"/>
      <c r="C11" s="104" t="s">
        <v>38</v>
      </c>
      <c r="D11" s="107" t="str">
        <f>IF(I.Facility.ComplianceYear="","Compliance year",I.Facility.ComplianceYear)</f>
        <v>Compliance year</v>
      </c>
      <c r="E11" s="103" t="s">
        <v>39</v>
      </c>
      <c r="F11" s="2"/>
    </row>
    <row r="12" spans="2:6" ht="15" hidden="1" customHeight="1" x14ac:dyDescent="0.35">
      <c r="B12" s="1"/>
      <c r="C12" s="105" t="s">
        <v>49</v>
      </c>
      <c r="D12" s="108"/>
      <c r="E12" s="110" t="s">
        <v>1660</v>
      </c>
      <c r="F12" s="2"/>
    </row>
    <row r="13" spans="2:6" ht="15" hidden="1" customHeight="1" x14ac:dyDescent="0.35">
      <c r="B13" s="1"/>
      <c r="C13" s="105" t="s">
        <v>50</v>
      </c>
      <c r="D13" s="108"/>
      <c r="E13" s="110" t="s">
        <v>1661</v>
      </c>
      <c r="F13" s="2"/>
    </row>
    <row r="14" spans="2:6" ht="15" hidden="1" customHeight="1" x14ac:dyDescent="0.35">
      <c r="B14" s="1"/>
      <c r="C14" s="105" t="s">
        <v>51</v>
      </c>
      <c r="D14" s="108"/>
      <c r="E14" s="110" t="s">
        <v>1662</v>
      </c>
      <c r="F14" s="2"/>
    </row>
    <row r="15" spans="2:6" ht="15" customHeight="1" x14ac:dyDescent="0.25">
      <c r="B15" s="1"/>
      <c r="C15" s="101"/>
      <c r="D15" s="101"/>
      <c r="E15" s="101"/>
      <c r="F15" s="2"/>
    </row>
    <row r="16" spans="2:6" ht="15" customHeight="1" x14ac:dyDescent="0.25">
      <c r="B16" s="1"/>
      <c r="C16" s="113"/>
      <c r="D16" s="101"/>
      <c r="E16" s="101"/>
      <c r="F16" s="2"/>
    </row>
    <row r="17" spans="2:6" ht="15" customHeight="1" x14ac:dyDescent="0.25">
      <c r="B17" s="1"/>
      <c r="C17" s="101"/>
      <c r="D17" s="101"/>
      <c r="E17" s="101"/>
      <c r="F17" s="2"/>
    </row>
    <row r="18" spans="2:6" ht="15" customHeight="1" x14ac:dyDescent="0.25">
      <c r="B18" s="3"/>
      <c r="C18" s="8">
        <f>R.Instructions.VersionNumber</f>
        <v>5</v>
      </c>
      <c r="D18" s="4"/>
      <c r="E18" s="9">
        <f>R.Instructions.VersionDate</f>
        <v>45691</v>
      </c>
      <c r="F18" s="5"/>
    </row>
    <row r="20" spans="2:6" ht="15" customHeight="1" x14ac:dyDescent="0.25">
      <c r="C20" s="127" t="str">
        <f>IFERROR(VLOOKUP("Incomplete",Developer!H1515:I1518,2,FALSE),"Sheet complete.")</f>
        <v>Sheet complete.</v>
      </c>
      <c r="D20" s="127"/>
      <c r="E20" s="127"/>
    </row>
    <row r="21" spans="2:6" ht="15" customHeight="1" x14ac:dyDescent="0.25">
      <c r="C21" s="127"/>
      <c r="D21" s="127"/>
      <c r="E21" s="127"/>
    </row>
    <row r="22" spans="2:6" ht="15" customHeight="1" x14ac:dyDescent="0.25">
      <c r="C22" s="127"/>
      <c r="D22" s="127"/>
      <c r="E22" s="127"/>
    </row>
  </sheetData>
  <sheetProtection algorithmName="SHA-512" hashValue="Jk4Gg79Ot9tPysfdn50EI7Zp5VR4/R90Z/Wo2vMqx1NvgM0W0vkjDUuHQ+D1zuyiEDqtSZ7IN+kK/L7BpDUg4Q==" saltValue="BVHjQ1I/2R0o3fb3dppudA==" spinCount="100000" sheet="1" objects="1" scenarios="1" selectLockedCells="1"/>
  <mergeCells count="3">
    <mergeCell ref="C20:E22"/>
    <mergeCell ref="C4:E4"/>
    <mergeCell ref="C6:E6"/>
  </mergeCells>
  <conditionalFormatting sqref="C20">
    <cfRule type="cellIs" dxfId="2" priority="1" stopIfTrue="1" operator="equal">
      <formula>"Sheet complete."</formula>
    </cfRule>
  </conditionalFormatting>
  <printOptions horizontalCentered="1"/>
  <pageMargins left="0.25" right="0.25" top="0.25" bottom="0.25" header="0" footer="0"/>
  <pageSetup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D53DE-5CE6-4A0F-A753-445E085D0723}">
  <sheetPr codeName="Sheet8">
    <tabColor rgb="FF046A38"/>
  </sheetPr>
  <dimension ref="B1:F142"/>
  <sheetViews>
    <sheetView showGridLines="0" showRowColHeaders="0" zoomScaleNormal="100" workbookViewId="0">
      <selection activeCell="C16" sqref="C16"/>
    </sheetView>
  </sheetViews>
  <sheetFormatPr defaultRowHeight="15" customHeight="1" x14ac:dyDescent="0.25"/>
  <cols>
    <col min="1" max="2" width="5.7109375" customWidth="1"/>
    <col min="3" max="5" width="35.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32" t="s">
        <v>1966</v>
      </c>
      <c r="D4" s="132"/>
      <c r="E4" s="132"/>
      <c r="F4" s="7"/>
    </row>
    <row r="5" spans="2:6" ht="15" customHeight="1" x14ac:dyDescent="0.25">
      <c r="B5" s="1"/>
      <c r="C5" s="101"/>
      <c r="D5" s="101"/>
      <c r="E5" s="101"/>
      <c r="F5" s="2"/>
    </row>
    <row r="6" spans="2:6" ht="15" customHeight="1" x14ac:dyDescent="0.25">
      <c r="B6" s="1"/>
      <c r="C6" s="123" t="s">
        <v>1997</v>
      </c>
      <c r="D6" s="122"/>
      <c r="E6" s="122"/>
      <c r="F6" s="2"/>
    </row>
    <row r="7" spans="2:6" ht="15" customHeight="1" x14ac:dyDescent="0.25">
      <c r="B7" s="1"/>
      <c r="C7" s="122"/>
      <c r="D7" s="122"/>
      <c r="E7" s="122"/>
      <c r="F7" s="2"/>
    </row>
    <row r="8" spans="2:6" ht="15" customHeight="1" x14ac:dyDescent="0.25">
      <c r="B8" s="1"/>
      <c r="C8" s="122"/>
      <c r="D8" s="122"/>
      <c r="E8" s="122"/>
      <c r="F8" s="2"/>
    </row>
    <row r="9" spans="2:6" ht="15" customHeight="1" x14ac:dyDescent="0.25">
      <c r="B9" s="1"/>
      <c r="C9" s="124"/>
      <c r="D9" s="124"/>
      <c r="E9" s="124"/>
      <c r="F9" s="2"/>
    </row>
    <row r="10" spans="2:6" ht="20.100000000000001" customHeight="1" x14ac:dyDescent="0.25">
      <c r="B10" s="12"/>
      <c r="C10" s="121" t="s">
        <v>30</v>
      </c>
      <c r="D10" s="121"/>
      <c r="E10" s="121"/>
      <c r="F10" s="13"/>
    </row>
    <row r="11" spans="2:6" ht="15" customHeight="1" x14ac:dyDescent="0.25">
      <c r="B11" s="1"/>
      <c r="C11" s="101"/>
      <c r="D11" s="101"/>
      <c r="E11" s="101"/>
      <c r="F11" s="2"/>
    </row>
    <row r="12" spans="2:6" ht="15" customHeight="1" x14ac:dyDescent="0.25">
      <c r="B12" s="1"/>
      <c r="C12" s="101" t="s">
        <v>29</v>
      </c>
      <c r="D12" s="101"/>
      <c r="E12" s="101"/>
      <c r="F12" s="2"/>
    </row>
    <row r="13" spans="2:6" ht="15" customHeight="1" x14ac:dyDescent="0.25">
      <c r="B13" s="1"/>
      <c r="C13" s="102" t="str">
        <f>IF(I.Product.P1Name="","",I.Product.P1Name)</f>
        <v/>
      </c>
      <c r="D13" s="101"/>
      <c r="E13" s="101"/>
      <c r="F13" s="2"/>
    </row>
    <row r="14" spans="2:6" ht="15" customHeight="1" x14ac:dyDescent="0.25">
      <c r="B14" s="1"/>
      <c r="C14" s="101"/>
      <c r="D14" s="101"/>
      <c r="E14" s="101"/>
      <c r="F14" s="2"/>
    </row>
    <row r="15" spans="2:6" ht="15" customHeight="1" x14ac:dyDescent="0.25">
      <c r="B15" s="1"/>
      <c r="C15" s="101" t="s">
        <v>1954</v>
      </c>
      <c r="D15" s="101"/>
      <c r="E15" s="101"/>
      <c r="F15" s="2"/>
    </row>
    <row r="16" spans="2:6" ht="15" customHeight="1" x14ac:dyDescent="0.25">
      <c r="B16" s="1"/>
      <c r="C16" s="10"/>
      <c r="D16" s="101"/>
      <c r="E16" s="101"/>
      <c r="F16" s="2"/>
    </row>
    <row r="17" spans="2:6" ht="15" customHeight="1" x14ac:dyDescent="0.25">
      <c r="B17" s="1"/>
      <c r="C17" s="101"/>
      <c r="D17" s="101"/>
      <c r="E17" s="101"/>
      <c r="F17" s="2"/>
    </row>
    <row r="18" spans="2:6" ht="15" customHeight="1" x14ac:dyDescent="0.25">
      <c r="B18" s="1"/>
      <c r="C18" s="104" t="s">
        <v>78</v>
      </c>
      <c r="D18" s="107" t="s">
        <v>84</v>
      </c>
      <c r="E18" s="103" t="s">
        <v>39</v>
      </c>
      <c r="F18" s="2"/>
    </row>
    <row r="19" spans="2:6" ht="15" customHeight="1" x14ac:dyDescent="0.25">
      <c r="B19" s="1"/>
      <c r="C19" s="105" t="s">
        <v>37</v>
      </c>
      <c r="D19" s="108">
        <f>I.Production.P1Quantity</f>
        <v>0</v>
      </c>
      <c r="E19" s="102" t="s">
        <v>1701</v>
      </c>
      <c r="F19" s="2"/>
    </row>
    <row r="20" spans="2:6" ht="15" customHeight="1" x14ac:dyDescent="0.35">
      <c r="B20" s="1"/>
      <c r="C20" s="105" t="s">
        <v>79</v>
      </c>
      <c r="D20" s="108">
        <f>SUMPRODUCT(I.Production.P1C1,Developer!T4:T6)+SUMPRODUCT(I.Production.P1C2,Developer!T4:T27)+SUMPRODUCT(I.Production.P1C3,Developer!T7:T27)+SUMPRODUCT(I.Production.P1C4,Developer!T4:T6)+SUMPRODUCT(I.Production.P1C5,Developer!T4:T6)+SUMPRODUCT(I.Production.P1C6,Developer!T4:T6)+SUMPRODUCT(I.Production.P1C7,Developer!T4:T6)+SUMPRODUCT(I.Production.P1C8,Developer!T4:T6)+SUMPRODUCT(I.Production.P1C9,Developer!T4:T6)</f>
        <v>0</v>
      </c>
      <c r="E20" s="110" t="s">
        <v>1691</v>
      </c>
      <c r="F20" s="2"/>
    </row>
    <row r="21" spans="2:6" ht="15" customHeight="1" x14ac:dyDescent="0.35">
      <c r="B21" s="1"/>
      <c r="C21" s="105" t="s">
        <v>80</v>
      </c>
      <c r="D21" s="108">
        <f>SUMPRODUCT(I.Electricity.P1C1,Developer!T4:T6)+SUMPRODUCT(I.Electricity.P1C2,Developer!T4:T27)+SUMPRODUCT(I.Electricity.P1C3,Developer!T7:T27)+SUMPRODUCT(I.Electricity.P1C4,Developer!T4:T6)+SUMPRODUCT(I.Electricity.P1C5,Developer!T4:T6)+SUMPRODUCT(I.Electricity.P1C6,Developer!T4:T6)+SUMPRODUCT(I.Electricity.P1C7,Developer!T4:T6)+SUMPRODUCT(I.Electricity.P1C8,Developer!T4:T6)+SUMPRODUCT(I.Electricity.P1C9,Developer!T4:T6)</f>
        <v>0</v>
      </c>
      <c r="E21" s="110" t="s">
        <v>1691</v>
      </c>
      <c r="F21" s="2"/>
    </row>
    <row r="22" spans="2:6" ht="15" customHeight="1" x14ac:dyDescent="0.35">
      <c r="B22" s="1"/>
      <c r="C22" s="105" t="s">
        <v>81</v>
      </c>
      <c r="D22" s="108">
        <f>D20+D21</f>
        <v>0</v>
      </c>
      <c r="E22" s="110" t="s">
        <v>1691</v>
      </c>
      <c r="F22" s="2"/>
    </row>
    <row r="23" spans="2:6" ht="15" customHeight="1" x14ac:dyDescent="0.25">
      <c r="B23" s="1"/>
      <c r="C23" s="105" t="s">
        <v>1702</v>
      </c>
      <c r="D23" s="21"/>
      <c r="E23" s="102"/>
      <c r="F23" s="2"/>
    </row>
    <row r="24" spans="2:6" ht="15" customHeight="1" x14ac:dyDescent="0.25">
      <c r="B24" s="1"/>
      <c r="C24" s="105" t="s">
        <v>1703</v>
      </c>
      <c r="D24" s="108" t="str">
        <f>IFERROR(IF(D23&gt;12,VLOOKUP(I.Product.P1Sector&amp;" 12",S.Developer.Lookups,2,FALSE),VLOOKUP(I.Product.P1Sector&amp;" "&amp;D23,S.Developer.Lookups,2,FALSE)),"")</f>
        <v/>
      </c>
      <c r="E24" s="102"/>
      <c r="F24" s="2"/>
    </row>
    <row r="25" spans="2:6" ht="15" hidden="1" customHeight="1" x14ac:dyDescent="0.25">
      <c r="B25" s="1"/>
      <c r="C25" s="105" t="s">
        <v>1714</v>
      </c>
      <c r="D25" s="109"/>
      <c r="E25" s="102" t="s">
        <v>1701</v>
      </c>
      <c r="F25" s="2"/>
    </row>
    <row r="26" spans="2:6" ht="15" hidden="1" customHeight="1" x14ac:dyDescent="0.35">
      <c r="B26" s="1"/>
      <c r="C26" s="105" t="s">
        <v>1713</v>
      </c>
      <c r="D26" s="109"/>
      <c r="E26" s="110" t="s">
        <v>1691</v>
      </c>
      <c r="F26" s="2"/>
    </row>
    <row r="27" spans="2:6" ht="15" customHeight="1" x14ac:dyDescent="0.35">
      <c r="B27" s="1"/>
      <c r="C27" s="105" t="s">
        <v>1704</v>
      </c>
      <c r="D27" s="22"/>
      <c r="E27" s="110" t="s">
        <v>1712</v>
      </c>
      <c r="F27" s="2"/>
    </row>
    <row r="28" spans="2:6" ht="15" customHeight="1" x14ac:dyDescent="0.35">
      <c r="B28" s="1"/>
      <c r="C28" s="105" t="s">
        <v>1705</v>
      </c>
      <c r="D28" s="108" t="str">
        <f>IFERROR(IF(C16&lt;&gt;"Yes",IF(AND(D24&lt;&gt;"",D27&lt;&gt;""),D24*D27,""),IF(AND(D24&lt;&gt;"",D25&lt;&gt;"",D26&lt;&gt;"",D27&lt;&gt;""),D24*(D27-(D26/D25))+(D26/D25),"")),"")</f>
        <v/>
      </c>
      <c r="E28" s="110" t="s">
        <v>1712</v>
      </c>
      <c r="F28" s="2"/>
    </row>
    <row r="29" spans="2:6" ht="15" customHeight="1" x14ac:dyDescent="0.25">
      <c r="B29" s="1"/>
      <c r="C29" s="101"/>
      <c r="D29" s="101"/>
      <c r="E29" s="101"/>
      <c r="F29" s="2"/>
    </row>
    <row r="30" spans="2:6" ht="20.100000000000001" hidden="1" customHeight="1" x14ac:dyDescent="0.25">
      <c r="B30" s="12"/>
      <c r="C30" s="121" t="s">
        <v>31</v>
      </c>
      <c r="D30" s="121"/>
      <c r="E30" s="121"/>
      <c r="F30" s="13"/>
    </row>
    <row r="31" spans="2:6" ht="15" hidden="1" customHeight="1" x14ac:dyDescent="0.25">
      <c r="B31" s="1"/>
      <c r="C31" s="101"/>
      <c r="D31" s="101"/>
      <c r="E31" s="101"/>
      <c r="F31" s="2"/>
    </row>
    <row r="32" spans="2:6" ht="15" hidden="1" customHeight="1" x14ac:dyDescent="0.25">
      <c r="B32" s="1"/>
      <c r="C32" s="101" t="s">
        <v>29</v>
      </c>
      <c r="D32" s="101"/>
      <c r="E32" s="101"/>
      <c r="F32" s="2"/>
    </row>
    <row r="33" spans="2:6" ht="15" hidden="1" customHeight="1" x14ac:dyDescent="0.25">
      <c r="B33" s="1"/>
      <c r="C33" s="102" t="str">
        <f>IF(I.Product.P2Name="","",I.Product.P2Name)</f>
        <v/>
      </c>
      <c r="D33" s="101"/>
      <c r="E33" s="101"/>
      <c r="F33" s="2"/>
    </row>
    <row r="34" spans="2:6" ht="15" hidden="1" customHeight="1" x14ac:dyDescent="0.25">
      <c r="B34" s="1"/>
      <c r="C34" s="101"/>
      <c r="D34" s="101"/>
      <c r="E34" s="101"/>
      <c r="F34" s="2"/>
    </row>
    <row r="35" spans="2:6" ht="15" hidden="1" customHeight="1" x14ac:dyDescent="0.25">
      <c r="B35" s="1"/>
      <c r="C35" s="101" t="s">
        <v>1954</v>
      </c>
      <c r="D35" s="101"/>
      <c r="E35" s="101"/>
      <c r="F35" s="2"/>
    </row>
    <row r="36" spans="2:6" ht="15" hidden="1" customHeight="1" x14ac:dyDescent="0.25">
      <c r="B36" s="1"/>
      <c r="C36" s="14"/>
      <c r="D36" s="101"/>
      <c r="E36" s="101"/>
      <c r="F36" s="2"/>
    </row>
    <row r="37" spans="2:6" ht="15" hidden="1" customHeight="1" x14ac:dyDescent="0.25">
      <c r="B37" s="1"/>
      <c r="C37" s="101"/>
      <c r="D37" s="101"/>
      <c r="E37" s="101"/>
      <c r="F37" s="2"/>
    </row>
    <row r="38" spans="2:6" ht="15" hidden="1" customHeight="1" x14ac:dyDescent="0.25">
      <c r="B38" s="1"/>
      <c r="C38" s="104" t="s">
        <v>78</v>
      </c>
      <c r="D38" s="107" t="s">
        <v>84</v>
      </c>
      <c r="E38" s="103" t="s">
        <v>39</v>
      </c>
      <c r="F38" s="2"/>
    </row>
    <row r="39" spans="2:6" ht="15" hidden="1" customHeight="1" x14ac:dyDescent="0.25">
      <c r="B39" s="1"/>
      <c r="C39" s="105" t="s">
        <v>37</v>
      </c>
      <c r="D39" s="108">
        <f>I.Production.P2Quantity</f>
        <v>0</v>
      </c>
      <c r="E39" s="102" t="s">
        <v>1701</v>
      </c>
      <c r="F39" s="2"/>
    </row>
    <row r="40" spans="2:6" ht="15" hidden="1" customHeight="1" x14ac:dyDescent="0.35">
      <c r="B40" s="1"/>
      <c r="C40" s="105" t="s">
        <v>79</v>
      </c>
      <c r="D40" s="108">
        <f>SUMPRODUCT(I.Production.P2C1,Developer!T4:T6)+SUMPRODUCT(I.Production.P2C2,Developer!T4:T27)+SUMPRODUCT(I.Production.P2C3,Developer!T7:T27)+SUMPRODUCT(I.Production.P2C4,Developer!T4:T6)+SUMPRODUCT(I.Production.P2C5,Developer!T4:T6)+SUMPRODUCT(I.Production.P2C6,Developer!T4:T6)+SUMPRODUCT(I.Production.P2C7,Developer!T4:T6)+SUMPRODUCT(I.Production.P2C8,Developer!T4:T6)+SUMPRODUCT(I.Production.P2C9,Developer!T4:T6)</f>
        <v>0</v>
      </c>
      <c r="E40" s="110" t="s">
        <v>1691</v>
      </c>
      <c r="F40" s="2"/>
    </row>
    <row r="41" spans="2:6" ht="15" hidden="1" customHeight="1" x14ac:dyDescent="0.35">
      <c r="B41" s="1"/>
      <c r="C41" s="105" t="s">
        <v>80</v>
      </c>
      <c r="D41" s="108">
        <f>SUMPRODUCT(I.Electricity.P2C1,Developer!T4:T6)+SUMPRODUCT(I.Electricity.P2C2,Developer!T4:T27)+SUMPRODUCT(I.Electricity.P2C3,Developer!T7:T27)+SUMPRODUCT(I.Electricity.P2C4,Developer!T4:T6)+SUMPRODUCT(I.Electricity.P2C5,Developer!T4:T6)+SUMPRODUCT(I.Electricity.P2C6,Developer!T4:T6)+SUMPRODUCT(I.Electricity.P2C7,Developer!T4:T6)+SUMPRODUCT(I.Electricity.P2C8,Developer!T4:T6)+SUMPRODUCT(I.Electricity.P2C9,Developer!T4:T6)</f>
        <v>0</v>
      </c>
      <c r="E41" s="110" t="s">
        <v>1691</v>
      </c>
      <c r="F41" s="2"/>
    </row>
    <row r="42" spans="2:6" ht="15" hidden="1" customHeight="1" x14ac:dyDescent="0.35">
      <c r="B42" s="1"/>
      <c r="C42" s="105" t="s">
        <v>81</v>
      </c>
      <c r="D42" s="108">
        <f>D40+D41</f>
        <v>0</v>
      </c>
      <c r="E42" s="110" t="s">
        <v>1691</v>
      </c>
      <c r="F42" s="2"/>
    </row>
    <row r="43" spans="2:6" ht="15" hidden="1" customHeight="1" x14ac:dyDescent="0.25">
      <c r="B43" s="1"/>
      <c r="C43" s="105" t="s">
        <v>1702</v>
      </c>
      <c r="D43" s="111"/>
      <c r="E43" s="102"/>
      <c r="F43" s="2"/>
    </row>
    <row r="44" spans="2:6" ht="15" hidden="1" customHeight="1" x14ac:dyDescent="0.25">
      <c r="B44" s="1"/>
      <c r="C44" s="105" t="s">
        <v>1703</v>
      </c>
      <c r="D44" s="108" t="str">
        <f>IFERROR(IF(D43&gt;12,VLOOKUP(I.Product.P2Sector&amp;" 12",S.Developer.Lookups,2,FALSE),VLOOKUP(I.Product.P2Sector&amp;" "&amp;D43,S.Developer.Lookups,2,FALSE)),"")</f>
        <v/>
      </c>
      <c r="E44" s="102"/>
      <c r="F44" s="2"/>
    </row>
    <row r="45" spans="2:6" ht="15" hidden="1" customHeight="1" x14ac:dyDescent="0.25">
      <c r="B45" s="1"/>
      <c r="C45" s="105" t="s">
        <v>1714</v>
      </c>
      <c r="D45" s="109"/>
      <c r="E45" s="102" t="s">
        <v>1701</v>
      </c>
      <c r="F45" s="2"/>
    </row>
    <row r="46" spans="2:6" ht="15" hidden="1" customHeight="1" x14ac:dyDescent="0.35">
      <c r="B46" s="1"/>
      <c r="C46" s="105" t="s">
        <v>1713</v>
      </c>
      <c r="D46" s="109"/>
      <c r="E46" s="110" t="s">
        <v>1691</v>
      </c>
      <c r="F46" s="2"/>
    </row>
    <row r="47" spans="2:6" ht="15" hidden="1" customHeight="1" x14ac:dyDescent="0.35">
      <c r="B47" s="1"/>
      <c r="C47" s="105" t="s">
        <v>1704</v>
      </c>
      <c r="D47" s="109"/>
      <c r="E47" s="110" t="s">
        <v>1712</v>
      </c>
      <c r="F47" s="2"/>
    </row>
    <row r="48" spans="2:6" ht="15" hidden="1" customHeight="1" x14ac:dyDescent="0.35">
      <c r="B48" s="1"/>
      <c r="C48" s="105" t="s">
        <v>1705</v>
      </c>
      <c r="D48" s="108" t="str">
        <f>IFERROR(IF(C36&lt;&gt;"Yes",IF(AND(D44&lt;&gt;"",D47&lt;&gt;""),D44*D47,""),IF(AND(D44&lt;&gt;"",D45&lt;&gt;"",D46&lt;&gt;"",D47&lt;&gt;""),D44*(D47-(D46/D45))+(D46/D45),"")),"")</f>
        <v/>
      </c>
      <c r="E48" s="110" t="s">
        <v>1712</v>
      </c>
      <c r="F48" s="2"/>
    </row>
    <row r="49" spans="2:6" ht="15" hidden="1" customHeight="1" x14ac:dyDescent="0.25">
      <c r="B49" s="1"/>
      <c r="C49" s="101"/>
      <c r="D49" s="101"/>
      <c r="E49" s="101"/>
      <c r="F49" s="2"/>
    </row>
    <row r="50" spans="2:6" ht="20.100000000000001" hidden="1" customHeight="1" x14ac:dyDescent="0.25">
      <c r="B50" s="12"/>
      <c r="C50" s="121" t="s">
        <v>32</v>
      </c>
      <c r="D50" s="121"/>
      <c r="E50" s="121"/>
      <c r="F50" s="13"/>
    </row>
    <row r="51" spans="2:6" ht="15" hidden="1" customHeight="1" x14ac:dyDescent="0.25">
      <c r="B51" s="1"/>
      <c r="C51" s="101"/>
      <c r="D51" s="101"/>
      <c r="E51" s="101"/>
      <c r="F51" s="2"/>
    </row>
    <row r="52" spans="2:6" ht="15" hidden="1" customHeight="1" x14ac:dyDescent="0.25">
      <c r="B52" s="1"/>
      <c r="C52" s="101" t="s">
        <v>29</v>
      </c>
      <c r="D52" s="101"/>
      <c r="E52" s="101"/>
      <c r="F52" s="2"/>
    </row>
    <row r="53" spans="2:6" ht="15" hidden="1" customHeight="1" x14ac:dyDescent="0.25">
      <c r="B53" s="1"/>
      <c r="C53" s="102" t="str">
        <f>IF(I.Product.P3Name="","",I.Product.P3Name)</f>
        <v/>
      </c>
      <c r="D53" s="101"/>
      <c r="E53" s="101"/>
      <c r="F53" s="2"/>
    </row>
    <row r="54" spans="2:6" ht="15" hidden="1" customHeight="1" x14ac:dyDescent="0.25">
      <c r="B54" s="1"/>
      <c r="C54" s="101"/>
      <c r="D54" s="101"/>
      <c r="E54" s="101"/>
      <c r="F54" s="2"/>
    </row>
    <row r="55" spans="2:6" ht="15" hidden="1" customHeight="1" x14ac:dyDescent="0.25">
      <c r="B55" s="1"/>
      <c r="C55" s="101" t="s">
        <v>1954</v>
      </c>
      <c r="D55" s="101"/>
      <c r="E55" s="101"/>
      <c r="F55" s="2"/>
    </row>
    <row r="56" spans="2:6" ht="15" hidden="1" customHeight="1" x14ac:dyDescent="0.25">
      <c r="B56" s="1"/>
      <c r="C56" s="14"/>
      <c r="D56" s="101"/>
      <c r="E56" s="101"/>
      <c r="F56" s="2"/>
    </row>
    <row r="57" spans="2:6" ht="15" hidden="1" customHeight="1" x14ac:dyDescent="0.25">
      <c r="B57" s="1"/>
      <c r="C57" s="101"/>
      <c r="D57" s="101"/>
      <c r="E57" s="101"/>
      <c r="F57" s="2"/>
    </row>
    <row r="58" spans="2:6" ht="15" hidden="1" customHeight="1" x14ac:dyDescent="0.25">
      <c r="B58" s="1"/>
      <c r="C58" s="104" t="s">
        <v>78</v>
      </c>
      <c r="D58" s="107" t="s">
        <v>84</v>
      </c>
      <c r="E58" s="103" t="s">
        <v>39</v>
      </c>
      <c r="F58" s="2"/>
    </row>
    <row r="59" spans="2:6" ht="15" hidden="1" customHeight="1" x14ac:dyDescent="0.25">
      <c r="B59" s="1"/>
      <c r="C59" s="105" t="s">
        <v>37</v>
      </c>
      <c r="D59" s="108">
        <f>I.Production.P3Quantity</f>
        <v>0</v>
      </c>
      <c r="E59" s="102" t="s">
        <v>1701</v>
      </c>
      <c r="F59" s="2"/>
    </row>
    <row r="60" spans="2:6" ht="15" hidden="1" customHeight="1" x14ac:dyDescent="0.35">
      <c r="B60" s="1"/>
      <c r="C60" s="105" t="s">
        <v>79</v>
      </c>
      <c r="D60" s="108">
        <f>SUMPRODUCT(I.Production.P3C1,Developer!T4:T6)+SUMPRODUCT(I.Production.P3C2,Developer!T4:T27)+SUMPRODUCT(I.Production.P3C3,Developer!T7:T27)+SUMPRODUCT(I.Production.P3C4,Developer!T4:T6)+SUMPRODUCT(I.Production.P3C5,Developer!T4:T6)+SUMPRODUCT(I.Production.P3C6,Developer!T4:T6)+SUMPRODUCT(I.Production.P3C7,Developer!T4:T6)+SUMPRODUCT(I.Production.P3C8,Developer!T4:T6)+SUMPRODUCT(I.Production.P3C9,Developer!T4:T6)</f>
        <v>0</v>
      </c>
      <c r="E60" s="110" t="s">
        <v>1691</v>
      </c>
      <c r="F60" s="2"/>
    </row>
    <row r="61" spans="2:6" ht="15" hidden="1" customHeight="1" x14ac:dyDescent="0.35">
      <c r="B61" s="1"/>
      <c r="C61" s="105" t="s">
        <v>80</v>
      </c>
      <c r="D61" s="108">
        <f>SUMPRODUCT(I.Electricity.P3C1,Developer!T4:T6)+SUMPRODUCT(I.Electricity.P3C2,Developer!T4:T27)+SUMPRODUCT(I.Electricity.P3C3,Developer!T7:T27)+SUMPRODUCT(I.Electricity.P3C4,Developer!T4:T6)+SUMPRODUCT(I.Electricity.P3C5,Developer!T4:T6)+SUMPRODUCT(I.Electricity.P3C6,Developer!T4:T6)+SUMPRODUCT(I.Electricity.P3C7,Developer!T4:T6)+SUMPRODUCT(I.Electricity.P3C8,Developer!T4:T6)+SUMPRODUCT(I.Electricity.P3C9,Developer!T4:T6)</f>
        <v>0</v>
      </c>
      <c r="E61" s="110" t="s">
        <v>1691</v>
      </c>
      <c r="F61" s="2"/>
    </row>
    <row r="62" spans="2:6" ht="15" hidden="1" customHeight="1" x14ac:dyDescent="0.35">
      <c r="B62" s="1"/>
      <c r="C62" s="105" t="s">
        <v>81</v>
      </c>
      <c r="D62" s="108">
        <f>D60+D61</f>
        <v>0</v>
      </c>
      <c r="E62" s="110" t="s">
        <v>1691</v>
      </c>
      <c r="F62" s="2"/>
    </row>
    <row r="63" spans="2:6" ht="15" hidden="1" customHeight="1" x14ac:dyDescent="0.25">
      <c r="B63" s="1"/>
      <c r="C63" s="105" t="s">
        <v>1702</v>
      </c>
      <c r="D63" s="111"/>
      <c r="E63" s="102"/>
      <c r="F63" s="2"/>
    </row>
    <row r="64" spans="2:6" ht="15" hidden="1" customHeight="1" x14ac:dyDescent="0.25">
      <c r="B64" s="1"/>
      <c r="C64" s="105" t="s">
        <v>1703</v>
      </c>
      <c r="D64" s="108" t="str">
        <f>IFERROR(IF(D63&gt;12,VLOOKUP(I.Product.P3Sector&amp;" 12",S.Developer.Lookups,2,FALSE),VLOOKUP(I.Product.P3Sector&amp;" "&amp;D63,S.Developer.Lookups,2,FALSE)),"")</f>
        <v/>
      </c>
      <c r="E64" s="102"/>
      <c r="F64" s="2"/>
    </row>
    <row r="65" spans="2:6" ht="15" hidden="1" customHeight="1" x14ac:dyDescent="0.25">
      <c r="B65" s="1"/>
      <c r="C65" s="105" t="s">
        <v>1714</v>
      </c>
      <c r="D65" s="109"/>
      <c r="E65" s="102" t="s">
        <v>1701</v>
      </c>
      <c r="F65" s="2"/>
    </row>
    <row r="66" spans="2:6" ht="15" hidden="1" customHeight="1" x14ac:dyDescent="0.35">
      <c r="B66" s="1"/>
      <c r="C66" s="105" t="s">
        <v>1713</v>
      </c>
      <c r="D66" s="109"/>
      <c r="E66" s="110" t="s">
        <v>1691</v>
      </c>
      <c r="F66" s="2"/>
    </row>
    <row r="67" spans="2:6" ht="15" hidden="1" customHeight="1" x14ac:dyDescent="0.35">
      <c r="B67" s="1"/>
      <c r="C67" s="105" t="s">
        <v>1704</v>
      </c>
      <c r="D67" s="109"/>
      <c r="E67" s="110" t="s">
        <v>1712</v>
      </c>
      <c r="F67" s="2"/>
    </row>
    <row r="68" spans="2:6" ht="15" hidden="1" customHeight="1" x14ac:dyDescent="0.35">
      <c r="B68" s="1"/>
      <c r="C68" s="105" t="s">
        <v>1705</v>
      </c>
      <c r="D68" s="108" t="str">
        <f>IFERROR(IF(C56&lt;&gt;"Yes",IF(AND(D64&lt;&gt;"",D67&lt;&gt;""),D64*D67,""),IF(AND(D64&lt;&gt;"",D65&lt;&gt;"",D66&lt;&gt;"",D67&lt;&gt;""),D64*(D67-(D66/D65))+(D66/D65),"")),"")</f>
        <v/>
      </c>
      <c r="E68" s="110" t="s">
        <v>1712</v>
      </c>
      <c r="F68" s="2"/>
    </row>
    <row r="69" spans="2:6" ht="15" hidden="1" customHeight="1" x14ac:dyDescent="0.25">
      <c r="B69" s="1"/>
      <c r="C69" s="101"/>
      <c r="D69" s="101"/>
      <c r="E69" s="101"/>
      <c r="F69" s="2"/>
    </row>
    <row r="70" spans="2:6" ht="20.100000000000001" hidden="1" customHeight="1" x14ac:dyDescent="0.25">
      <c r="B70" s="12"/>
      <c r="C70" s="121" t="s">
        <v>33</v>
      </c>
      <c r="D70" s="121"/>
      <c r="E70" s="121"/>
      <c r="F70" s="13"/>
    </row>
    <row r="71" spans="2:6" ht="15" hidden="1" customHeight="1" x14ac:dyDescent="0.25">
      <c r="B71" s="1"/>
      <c r="C71" s="101"/>
      <c r="D71" s="101"/>
      <c r="E71" s="101"/>
      <c r="F71" s="2"/>
    </row>
    <row r="72" spans="2:6" ht="15" hidden="1" customHeight="1" x14ac:dyDescent="0.25">
      <c r="B72" s="1"/>
      <c r="C72" s="101" t="s">
        <v>29</v>
      </c>
      <c r="D72" s="101"/>
      <c r="E72" s="101"/>
      <c r="F72" s="2"/>
    </row>
    <row r="73" spans="2:6" ht="15" hidden="1" customHeight="1" x14ac:dyDescent="0.25">
      <c r="B73" s="1"/>
      <c r="C73" s="102" t="str">
        <f>IF(I.Product.P4Name="","",I.Product.P4Name)</f>
        <v/>
      </c>
      <c r="D73" s="101"/>
      <c r="E73" s="101"/>
      <c r="F73" s="2"/>
    </row>
    <row r="74" spans="2:6" ht="15" hidden="1" customHeight="1" x14ac:dyDescent="0.25">
      <c r="B74" s="1"/>
      <c r="C74" s="101"/>
      <c r="D74" s="101"/>
      <c r="E74" s="101"/>
      <c r="F74" s="2"/>
    </row>
    <row r="75" spans="2:6" ht="15" hidden="1" customHeight="1" x14ac:dyDescent="0.25">
      <c r="B75" s="1"/>
      <c r="C75" s="101" t="s">
        <v>1954</v>
      </c>
      <c r="D75" s="101"/>
      <c r="E75" s="101"/>
      <c r="F75" s="2"/>
    </row>
    <row r="76" spans="2:6" ht="15" hidden="1" customHeight="1" x14ac:dyDescent="0.25">
      <c r="B76" s="1"/>
      <c r="C76" s="14"/>
      <c r="D76" s="101"/>
      <c r="E76" s="101"/>
      <c r="F76" s="2"/>
    </row>
    <row r="77" spans="2:6" ht="15" hidden="1" customHeight="1" x14ac:dyDescent="0.25">
      <c r="B77" s="1"/>
      <c r="C77" s="101"/>
      <c r="D77" s="101"/>
      <c r="E77" s="101"/>
      <c r="F77" s="2"/>
    </row>
    <row r="78" spans="2:6" ht="15" hidden="1" customHeight="1" x14ac:dyDescent="0.25">
      <c r="B78" s="1"/>
      <c r="C78" s="104" t="s">
        <v>78</v>
      </c>
      <c r="D78" s="107" t="s">
        <v>84</v>
      </c>
      <c r="E78" s="103" t="s">
        <v>39</v>
      </c>
      <c r="F78" s="2"/>
    </row>
    <row r="79" spans="2:6" ht="15" hidden="1" customHeight="1" x14ac:dyDescent="0.25">
      <c r="B79" s="1"/>
      <c r="C79" s="105" t="s">
        <v>37</v>
      </c>
      <c r="D79" s="108">
        <f>I.Production.P4Quantity</f>
        <v>0</v>
      </c>
      <c r="E79" s="102" t="s">
        <v>1701</v>
      </c>
      <c r="F79" s="2"/>
    </row>
    <row r="80" spans="2:6" ht="15" hidden="1" customHeight="1" x14ac:dyDescent="0.35">
      <c r="B80" s="1"/>
      <c r="C80" s="105" t="s">
        <v>79</v>
      </c>
      <c r="D80" s="108">
        <f>SUMPRODUCT(I.Production.P4C1,Developer!T4:T6)+SUMPRODUCT(I.Production.P4C2,Developer!T4:T27)+SUMPRODUCT(I.Production.P4C3,Developer!T7:T27)+SUMPRODUCT(I.Production.P4C4,Developer!T4:T6)+SUMPRODUCT(I.Production.P4C5,Developer!T4:T6)+SUMPRODUCT(I.Production.P4C6,Developer!T4:T6)+SUMPRODUCT(I.Production.P4C7,Developer!T4:T6)+SUMPRODUCT(I.Production.P4C8,Developer!T4:T6)+SUMPRODUCT(I.Production.P4C9,Developer!T4:T6)</f>
        <v>0</v>
      </c>
      <c r="E80" s="110" t="s">
        <v>1691</v>
      </c>
      <c r="F80" s="2"/>
    </row>
    <row r="81" spans="2:6" ht="15" hidden="1" customHeight="1" x14ac:dyDescent="0.35">
      <c r="B81" s="1"/>
      <c r="C81" s="105" t="s">
        <v>80</v>
      </c>
      <c r="D81" s="108">
        <f>SUMPRODUCT(I.Electricity.P4C1,Developer!T4:T6)+SUMPRODUCT(I.Electricity.P4C2,Developer!T4:T27)+SUMPRODUCT(I.Electricity.P4C3,Developer!T7:T27)+SUMPRODUCT(I.Electricity.P4C4,Developer!T4:T6)+SUMPRODUCT(I.Electricity.P4C5,Developer!T4:T6)+SUMPRODUCT(I.Electricity.P4C6,Developer!T4:T6)+SUMPRODUCT(I.Electricity.P4C7,Developer!T4:T6)+SUMPRODUCT(I.Electricity.P4C8,Developer!T4:T6)+SUMPRODUCT(I.Electricity.P4C9,Developer!T4:T6)</f>
        <v>0</v>
      </c>
      <c r="E81" s="110" t="s">
        <v>1691</v>
      </c>
      <c r="F81" s="2"/>
    </row>
    <row r="82" spans="2:6" ht="15" hidden="1" customHeight="1" x14ac:dyDescent="0.35">
      <c r="B82" s="1"/>
      <c r="C82" s="105" t="s">
        <v>81</v>
      </c>
      <c r="D82" s="108">
        <f>D80+D81</f>
        <v>0</v>
      </c>
      <c r="E82" s="110" t="s">
        <v>1691</v>
      </c>
      <c r="F82" s="2"/>
    </row>
    <row r="83" spans="2:6" ht="15" hidden="1" customHeight="1" x14ac:dyDescent="0.25">
      <c r="B83" s="1"/>
      <c r="C83" s="105" t="s">
        <v>1702</v>
      </c>
      <c r="D83" s="111"/>
      <c r="E83" s="102"/>
      <c r="F83" s="2"/>
    </row>
    <row r="84" spans="2:6" ht="15" hidden="1" customHeight="1" x14ac:dyDescent="0.25">
      <c r="B84" s="1"/>
      <c r="C84" s="105" t="s">
        <v>1703</v>
      </c>
      <c r="D84" s="108" t="str">
        <f>IFERROR(IF(D83&gt;12,VLOOKUP(I.Product.P4Sector&amp;" 12",S.Developer.Lookups,2,FALSE),VLOOKUP(I.Product.P4Sector&amp;" "&amp;D83,S.Developer.Lookups,2,FALSE)),"")</f>
        <v/>
      </c>
      <c r="E84" s="102"/>
      <c r="F84" s="2"/>
    </row>
    <row r="85" spans="2:6" ht="15" hidden="1" customHeight="1" x14ac:dyDescent="0.25">
      <c r="B85" s="1"/>
      <c r="C85" s="105" t="s">
        <v>1714</v>
      </c>
      <c r="D85" s="109"/>
      <c r="E85" s="102" t="s">
        <v>1701</v>
      </c>
      <c r="F85" s="2"/>
    </row>
    <row r="86" spans="2:6" ht="15" hidden="1" customHeight="1" x14ac:dyDescent="0.35">
      <c r="B86" s="1"/>
      <c r="C86" s="105" t="s">
        <v>1713</v>
      </c>
      <c r="D86" s="109"/>
      <c r="E86" s="110" t="s">
        <v>1691</v>
      </c>
      <c r="F86" s="2"/>
    </row>
    <row r="87" spans="2:6" ht="15" hidden="1" customHeight="1" x14ac:dyDescent="0.35">
      <c r="B87" s="1"/>
      <c r="C87" s="105" t="s">
        <v>1704</v>
      </c>
      <c r="D87" s="109"/>
      <c r="E87" s="110" t="s">
        <v>1712</v>
      </c>
      <c r="F87" s="2"/>
    </row>
    <row r="88" spans="2:6" ht="15" hidden="1" customHeight="1" x14ac:dyDescent="0.35">
      <c r="B88" s="1"/>
      <c r="C88" s="105" t="s">
        <v>1705</v>
      </c>
      <c r="D88" s="108" t="str">
        <f>IFERROR(IF(C76&lt;&gt;"Yes",IF(AND(D84&lt;&gt;"",D87&lt;&gt;""),D84*D87,""),IF(AND(D84&lt;&gt;"",D85&lt;&gt;"",D86&lt;&gt;"",D87&lt;&gt;""),D84*(D87-(D86/D85))+(D86/D85),"")),"")</f>
        <v/>
      </c>
      <c r="E88" s="110" t="s">
        <v>1712</v>
      </c>
      <c r="F88" s="2"/>
    </row>
    <row r="89" spans="2:6" ht="15" hidden="1" customHeight="1" x14ac:dyDescent="0.25">
      <c r="B89" s="1"/>
      <c r="C89" s="101"/>
      <c r="D89" s="101"/>
      <c r="E89" s="101"/>
      <c r="F89" s="2"/>
    </row>
    <row r="90" spans="2:6" ht="20.100000000000001" hidden="1" customHeight="1" x14ac:dyDescent="0.25">
      <c r="B90" s="12"/>
      <c r="C90" s="121" t="s">
        <v>34</v>
      </c>
      <c r="D90" s="121"/>
      <c r="E90" s="121"/>
      <c r="F90" s="13"/>
    </row>
    <row r="91" spans="2:6" ht="15" hidden="1" customHeight="1" x14ac:dyDescent="0.25">
      <c r="B91" s="1"/>
      <c r="C91" s="101"/>
      <c r="D91" s="101"/>
      <c r="E91" s="101"/>
      <c r="F91" s="2"/>
    </row>
    <row r="92" spans="2:6" ht="15" hidden="1" customHeight="1" x14ac:dyDescent="0.25">
      <c r="B92" s="1"/>
      <c r="C92" s="101" t="s">
        <v>29</v>
      </c>
      <c r="D92" s="101"/>
      <c r="E92" s="101"/>
      <c r="F92" s="2"/>
    </row>
    <row r="93" spans="2:6" ht="15" hidden="1" customHeight="1" x14ac:dyDescent="0.25">
      <c r="B93" s="1"/>
      <c r="C93" s="102" t="str">
        <f>IF(I.Product.P5Name="","",I.Product.P5Name)</f>
        <v/>
      </c>
      <c r="D93" s="101"/>
      <c r="E93" s="101"/>
      <c r="F93" s="2"/>
    </row>
    <row r="94" spans="2:6" ht="15" hidden="1" customHeight="1" x14ac:dyDescent="0.25">
      <c r="B94" s="1"/>
      <c r="C94" s="101"/>
      <c r="D94" s="101"/>
      <c r="E94" s="101"/>
      <c r="F94" s="2"/>
    </row>
    <row r="95" spans="2:6" ht="15" hidden="1" customHeight="1" x14ac:dyDescent="0.25">
      <c r="B95" s="1"/>
      <c r="C95" s="101" t="s">
        <v>1954</v>
      </c>
      <c r="D95" s="101"/>
      <c r="E95" s="101"/>
      <c r="F95" s="2"/>
    </row>
    <row r="96" spans="2:6" ht="15" hidden="1" customHeight="1" x14ac:dyDescent="0.25">
      <c r="B96" s="1"/>
      <c r="C96" s="14"/>
      <c r="D96" s="101"/>
      <c r="E96" s="101"/>
      <c r="F96" s="2"/>
    </row>
    <row r="97" spans="2:6" ht="15" hidden="1" customHeight="1" x14ac:dyDescent="0.25">
      <c r="B97" s="1"/>
      <c r="C97" s="101"/>
      <c r="D97" s="101"/>
      <c r="E97" s="101"/>
      <c r="F97" s="2"/>
    </row>
    <row r="98" spans="2:6" ht="15" hidden="1" customHeight="1" x14ac:dyDescent="0.25">
      <c r="B98" s="1"/>
      <c r="C98" s="104" t="s">
        <v>78</v>
      </c>
      <c r="D98" s="107" t="s">
        <v>84</v>
      </c>
      <c r="E98" s="103" t="s">
        <v>39</v>
      </c>
      <c r="F98" s="2"/>
    </row>
    <row r="99" spans="2:6" ht="15" hidden="1" customHeight="1" x14ac:dyDescent="0.25">
      <c r="B99" s="1"/>
      <c r="C99" s="105" t="s">
        <v>37</v>
      </c>
      <c r="D99" s="108">
        <f>I.Production.P5Quantity</f>
        <v>0</v>
      </c>
      <c r="E99" s="102" t="s">
        <v>1701</v>
      </c>
      <c r="F99" s="2"/>
    </row>
    <row r="100" spans="2:6" ht="15" hidden="1" customHeight="1" x14ac:dyDescent="0.35">
      <c r="B100" s="1"/>
      <c r="C100" s="105" t="s">
        <v>79</v>
      </c>
      <c r="D100" s="108">
        <f>SUMPRODUCT(I.Production.P5C1,Developer!T4:T6)+SUMPRODUCT(I.Production.P5C2,Developer!T4:T27)+SUMPRODUCT(I.Production.P5C3,Developer!T7:T27)+SUMPRODUCT(I.Production.P5C4,Developer!T4:T6)+SUMPRODUCT(I.Production.P5C5,Developer!T4:T6)+SUMPRODUCT(I.Production.P5C6,Developer!T4:T6)+SUMPRODUCT(I.Production.P5C7,Developer!T4:T6)+SUMPRODUCT(I.Production.P5C8,Developer!T4:T6)+SUMPRODUCT(I.Production.P5C9,Developer!T4:T6)</f>
        <v>0</v>
      </c>
      <c r="E100" s="110" t="s">
        <v>1691</v>
      </c>
      <c r="F100" s="2"/>
    </row>
    <row r="101" spans="2:6" ht="15" hidden="1" customHeight="1" x14ac:dyDescent="0.35">
      <c r="B101" s="1"/>
      <c r="C101" s="105" t="s">
        <v>80</v>
      </c>
      <c r="D101" s="108">
        <f>SUMPRODUCT(I.Electricity.P5C1,Developer!T4:T6)+SUMPRODUCT(I.Electricity.P5C2,Developer!T4:T27)+SUMPRODUCT(I.Electricity.P5C3,Developer!T7:T27)+SUMPRODUCT(I.Electricity.P5C4,Developer!T4:T6)+SUMPRODUCT(I.Electricity.P5C5,Developer!T4:T6)+SUMPRODUCT(I.Electricity.P5C6,Developer!T4:T6)+SUMPRODUCT(I.Electricity.P5C7,Developer!T4:T6)+SUMPRODUCT(I.Electricity.P5C8,Developer!T4:T6)+SUMPRODUCT(I.Electricity.P5C9,Developer!T4:T6)</f>
        <v>0</v>
      </c>
      <c r="E101" s="110" t="s">
        <v>1691</v>
      </c>
      <c r="F101" s="2"/>
    </row>
    <row r="102" spans="2:6" ht="15" hidden="1" customHeight="1" x14ac:dyDescent="0.35">
      <c r="B102" s="1"/>
      <c r="C102" s="105" t="s">
        <v>81</v>
      </c>
      <c r="D102" s="108">
        <f>D100+D101</f>
        <v>0</v>
      </c>
      <c r="E102" s="110" t="s">
        <v>1691</v>
      </c>
      <c r="F102" s="2"/>
    </row>
    <row r="103" spans="2:6" ht="15" hidden="1" customHeight="1" x14ac:dyDescent="0.25">
      <c r="B103" s="1"/>
      <c r="C103" s="105" t="s">
        <v>1702</v>
      </c>
      <c r="D103" s="111"/>
      <c r="E103" s="102"/>
      <c r="F103" s="2"/>
    </row>
    <row r="104" spans="2:6" ht="15" hidden="1" customHeight="1" x14ac:dyDescent="0.25">
      <c r="B104" s="1"/>
      <c r="C104" s="105" t="s">
        <v>1703</v>
      </c>
      <c r="D104" s="108" t="str">
        <f>IFERROR(IF(D103&gt;12,VLOOKUP(I.Product.P5Sector&amp;" 12",S.Developer.Lookups,2,FALSE),VLOOKUP(I.Product.P5Sector&amp;" "&amp;D103,S.Developer.Lookups,2,FALSE)),"")</f>
        <v/>
      </c>
      <c r="E104" s="102"/>
      <c r="F104" s="2"/>
    </row>
    <row r="105" spans="2:6" ht="15" hidden="1" customHeight="1" x14ac:dyDescent="0.25">
      <c r="B105" s="1"/>
      <c r="C105" s="105" t="s">
        <v>1714</v>
      </c>
      <c r="D105" s="109"/>
      <c r="E105" s="102" t="s">
        <v>1701</v>
      </c>
      <c r="F105" s="2"/>
    </row>
    <row r="106" spans="2:6" ht="15" hidden="1" customHeight="1" x14ac:dyDescent="0.35">
      <c r="B106" s="1"/>
      <c r="C106" s="105" t="s">
        <v>1713</v>
      </c>
      <c r="D106" s="109"/>
      <c r="E106" s="110" t="s">
        <v>1691</v>
      </c>
      <c r="F106" s="2"/>
    </row>
    <row r="107" spans="2:6" ht="15" hidden="1" customHeight="1" x14ac:dyDescent="0.35">
      <c r="B107" s="1"/>
      <c r="C107" s="105" t="s">
        <v>1704</v>
      </c>
      <c r="D107" s="109"/>
      <c r="E107" s="110" t="s">
        <v>1712</v>
      </c>
      <c r="F107" s="2"/>
    </row>
    <row r="108" spans="2:6" ht="15" hidden="1" customHeight="1" x14ac:dyDescent="0.35">
      <c r="B108" s="1"/>
      <c r="C108" s="105" t="s">
        <v>1705</v>
      </c>
      <c r="D108" s="108" t="str">
        <f>IFERROR(IF(C96&lt;&gt;"Yes",IF(AND(D104&lt;&gt;"",D107&lt;&gt;""),D104*D107,""),IF(AND(D104&lt;&gt;"",D105&lt;&gt;"",D106&lt;&gt;"",D107&lt;&gt;""),D104*(D107-(D106/D105))+(D106/D105),"")),"")</f>
        <v/>
      </c>
      <c r="E108" s="110" t="s">
        <v>1712</v>
      </c>
      <c r="F108" s="2"/>
    </row>
    <row r="109" spans="2:6" ht="15" hidden="1" customHeight="1" x14ac:dyDescent="0.25">
      <c r="B109" s="1"/>
      <c r="C109" s="101"/>
      <c r="D109" s="101"/>
      <c r="E109" s="101"/>
      <c r="F109" s="2"/>
    </row>
    <row r="110" spans="2:6" ht="20.100000000000001" hidden="1" customHeight="1" x14ac:dyDescent="0.25">
      <c r="B110" s="12"/>
      <c r="C110" s="121" t="s">
        <v>1706</v>
      </c>
      <c r="D110" s="121"/>
      <c r="E110" s="121"/>
      <c r="F110" s="13"/>
    </row>
    <row r="111" spans="2:6" ht="15" hidden="1" customHeight="1" x14ac:dyDescent="0.25">
      <c r="B111" s="1"/>
      <c r="C111" s="101"/>
      <c r="D111" s="101"/>
      <c r="E111" s="101"/>
      <c r="F111" s="2"/>
    </row>
    <row r="112" spans="2:6" ht="15" hidden="1" customHeight="1" x14ac:dyDescent="0.25">
      <c r="B112" s="1"/>
      <c r="C112" s="104" t="s">
        <v>78</v>
      </c>
      <c r="D112" s="107" t="s">
        <v>84</v>
      </c>
      <c r="E112" s="103" t="s">
        <v>39</v>
      </c>
      <c r="F112" s="2"/>
    </row>
    <row r="113" spans="2:6" ht="15" hidden="1" customHeight="1" x14ac:dyDescent="0.25">
      <c r="B113" s="1"/>
      <c r="C113" s="105" t="s">
        <v>37</v>
      </c>
      <c r="D113" s="108">
        <f t="array" ref="D113">SUM(IF(I.Gas.TotalGasEnergy&lt;&gt;0,I.Gas.ElectricityGeneration*I.Gas.AssociatedGasEnergy/I.Gas.TotalGasEnergy,0))</f>
        <v>0</v>
      </c>
      <c r="E113" s="102" t="s">
        <v>86</v>
      </c>
      <c r="F113" s="2"/>
    </row>
    <row r="114" spans="2:6" ht="15" hidden="1" customHeight="1" x14ac:dyDescent="0.35">
      <c r="B114" s="1"/>
      <c r="C114" s="105" t="s">
        <v>79</v>
      </c>
      <c r="D114" s="108">
        <f>SUBTOTAL(9,I.Gas.C1E1)*Developer!T4+SUBTOTAL(9,I.Gas.C1E2)*Developer!T5+SUBTOTAL(9,I.Gas.C1E3)*Developer!T6</f>
        <v>0</v>
      </c>
      <c r="E114" s="110" t="s">
        <v>1691</v>
      </c>
      <c r="F114" s="2"/>
    </row>
    <row r="115" spans="2:6" ht="15" hidden="1" customHeight="1" x14ac:dyDescent="0.35">
      <c r="B115" s="1"/>
      <c r="C115" s="105" t="s">
        <v>81</v>
      </c>
      <c r="D115" s="108">
        <f>D114</f>
        <v>0</v>
      </c>
      <c r="E115" s="110" t="s">
        <v>1691</v>
      </c>
      <c r="F115" s="2"/>
    </row>
    <row r="116" spans="2:6" ht="15" hidden="1" customHeight="1" x14ac:dyDescent="0.25">
      <c r="B116" s="1"/>
      <c r="C116" s="105" t="s">
        <v>1702</v>
      </c>
      <c r="D116" s="111"/>
      <c r="E116" s="102"/>
      <c r="F116" s="2"/>
    </row>
    <row r="117" spans="2:6" ht="15" hidden="1" customHeight="1" x14ac:dyDescent="0.25">
      <c r="B117" s="1"/>
      <c r="C117" s="105" t="s">
        <v>1703</v>
      </c>
      <c r="D117" s="108" t="str">
        <f>IFERROR(IF(D116&gt;8,VLOOKUP("Gas-to-power operation 8",S.Developer.Lookups,2,FALSE),VLOOKUP("Gas-to-power operation "&amp;D116,S.Developer.Lookups,2,FALSE)),"")</f>
        <v/>
      </c>
      <c r="E117" s="102"/>
      <c r="F117" s="2"/>
    </row>
    <row r="118" spans="2:6" ht="15" hidden="1" customHeight="1" x14ac:dyDescent="0.35">
      <c r="B118" s="1"/>
      <c r="C118" s="105" t="s">
        <v>1704</v>
      </c>
      <c r="D118" s="109"/>
      <c r="E118" s="110" t="s">
        <v>1707</v>
      </c>
      <c r="F118" s="2"/>
    </row>
    <row r="119" spans="2:6" ht="15" hidden="1" customHeight="1" x14ac:dyDescent="0.35">
      <c r="B119" s="1"/>
      <c r="C119" s="105" t="s">
        <v>1705</v>
      </c>
      <c r="D119" s="108" t="str">
        <f>IFERROR(IF(AND(D117&lt;&gt;"",D118&lt;&gt;""),D117*D118,""),"")</f>
        <v/>
      </c>
      <c r="E119" s="110" t="s">
        <v>1707</v>
      </c>
      <c r="F119" s="2"/>
    </row>
    <row r="120" spans="2:6" ht="15" hidden="1" customHeight="1" x14ac:dyDescent="0.25">
      <c r="B120" s="1"/>
      <c r="C120" s="101"/>
      <c r="D120" s="101"/>
      <c r="E120" s="101"/>
      <c r="F120" s="2"/>
    </row>
    <row r="121" spans="2:6" ht="20.100000000000001" hidden="1" customHeight="1" x14ac:dyDescent="0.25">
      <c r="B121" s="12"/>
      <c r="C121" s="121" t="s">
        <v>1692</v>
      </c>
      <c r="D121" s="121"/>
      <c r="E121" s="121"/>
      <c r="F121" s="13"/>
    </row>
    <row r="122" spans="2:6" ht="15" hidden="1" customHeight="1" x14ac:dyDescent="0.25">
      <c r="B122" s="1"/>
      <c r="C122" s="101"/>
      <c r="D122" s="101"/>
      <c r="E122" s="101"/>
      <c r="F122" s="2"/>
    </row>
    <row r="123" spans="2:6" ht="15" hidden="1" customHeight="1" x14ac:dyDescent="0.25">
      <c r="B123" s="1"/>
      <c r="C123" s="104" t="s">
        <v>78</v>
      </c>
      <c r="D123" s="107" t="s">
        <v>84</v>
      </c>
      <c r="E123" s="103" t="s">
        <v>39</v>
      </c>
      <c r="F123" s="2"/>
    </row>
    <row r="124" spans="2:6" ht="15" hidden="1" customHeight="1" x14ac:dyDescent="0.25">
      <c r="B124" s="1"/>
      <c r="C124" s="105" t="s">
        <v>1693</v>
      </c>
      <c r="D124" s="108">
        <f>I.Drilling.Depth</f>
        <v>0</v>
      </c>
      <c r="E124" s="102" t="s">
        <v>85</v>
      </c>
      <c r="F124" s="2"/>
    </row>
    <row r="125" spans="2:6" ht="15" hidden="1" customHeight="1" x14ac:dyDescent="0.35">
      <c r="B125" s="1"/>
      <c r="C125" s="105" t="s">
        <v>82</v>
      </c>
      <c r="D125" s="108">
        <f>SUMPRODUCT(I.Drilling.C1,Developer!T4:T6)</f>
        <v>0</v>
      </c>
      <c r="E125" s="110" t="s">
        <v>1691</v>
      </c>
      <c r="F125" s="2"/>
    </row>
    <row r="126" spans="2:6" ht="15" hidden="1" customHeight="1" x14ac:dyDescent="0.35">
      <c r="B126" s="1"/>
      <c r="C126" s="105" t="s">
        <v>1708</v>
      </c>
      <c r="D126" s="108">
        <v>2.5499999999999998E-2</v>
      </c>
      <c r="E126" s="110" t="s">
        <v>1715</v>
      </c>
      <c r="F126" s="2"/>
    </row>
    <row r="127" spans="2:6" ht="15" hidden="1" customHeight="1" x14ac:dyDescent="0.25">
      <c r="B127" s="1"/>
      <c r="C127" s="101"/>
      <c r="D127" s="101"/>
      <c r="E127" s="101"/>
      <c r="F127" s="2"/>
    </row>
    <row r="128" spans="2:6" ht="20.100000000000001" customHeight="1" x14ac:dyDescent="0.25">
      <c r="B128" s="12"/>
      <c r="C128" s="121" t="s">
        <v>1967</v>
      </c>
      <c r="D128" s="121"/>
      <c r="E128" s="121"/>
      <c r="F128" s="13"/>
    </row>
    <row r="129" spans="2:6" ht="15" customHeight="1" x14ac:dyDescent="0.25">
      <c r="B129" s="1"/>
      <c r="C129" s="101"/>
      <c r="D129" s="101"/>
      <c r="E129" s="101"/>
      <c r="F129" s="2"/>
    </row>
    <row r="130" spans="2:6" ht="15" customHeight="1" x14ac:dyDescent="0.25">
      <c r="B130" s="1"/>
      <c r="C130" s="104" t="s">
        <v>78</v>
      </c>
      <c r="D130" s="107" t="s">
        <v>84</v>
      </c>
      <c r="E130" s="103" t="s">
        <v>39</v>
      </c>
      <c r="F130" s="2"/>
    </row>
    <row r="131" spans="2:6" ht="15" customHeight="1" x14ac:dyDescent="0.35">
      <c r="B131" s="1"/>
      <c r="C131" s="105" t="s">
        <v>83</v>
      </c>
      <c r="D131" s="108">
        <f>SUM(D22,D42,D62,D82,D102,D115,D125)</f>
        <v>0</v>
      </c>
      <c r="E131" s="110" t="s">
        <v>1691</v>
      </c>
      <c r="F131" s="2"/>
    </row>
    <row r="132" spans="2:6" ht="15" customHeight="1" x14ac:dyDescent="0.35">
      <c r="B132" s="1"/>
      <c r="C132" s="105" t="s">
        <v>1709</v>
      </c>
      <c r="D132" s="108">
        <f>SUM(IFERROR(D19*D28,0),IFERROR(D39*D48,0),IFERROR(D59*D68,0),IFERROR(D79*D88,0),IFERROR(D99*D108,0),IFERROR(D113*D119,0),IFERROR(D124*D126,0))</f>
        <v>0</v>
      </c>
      <c r="E132" s="110" t="s">
        <v>1691</v>
      </c>
      <c r="F132" s="2"/>
    </row>
    <row r="133" spans="2:6" ht="15" customHeight="1" x14ac:dyDescent="0.35">
      <c r="B133" s="1"/>
      <c r="C133" s="105" t="s">
        <v>1710</v>
      </c>
      <c r="D133" s="112">
        <f>IFERROR(ROUND(IF(D132-D131&gt;0,D132-D131,0),0),"")</f>
        <v>0</v>
      </c>
      <c r="E133" s="110" t="s">
        <v>1691</v>
      </c>
      <c r="F133" s="2"/>
    </row>
    <row r="134" spans="2:6" ht="15" customHeight="1" x14ac:dyDescent="0.35">
      <c r="B134" s="1"/>
      <c r="C134" s="105" t="s">
        <v>1711</v>
      </c>
      <c r="D134" s="112">
        <f>IFERROR(ROUND(IF(D131-D132&gt;0,D131-D132,0),0),"")</f>
        <v>0</v>
      </c>
      <c r="E134" s="110" t="s">
        <v>1691</v>
      </c>
      <c r="F134" s="2"/>
    </row>
    <row r="135" spans="2:6" ht="15" customHeight="1" x14ac:dyDescent="0.25">
      <c r="B135" s="1"/>
      <c r="C135" s="101"/>
      <c r="D135" s="101"/>
      <c r="E135" s="101"/>
      <c r="F135" s="2"/>
    </row>
    <row r="136" spans="2:6" ht="15" customHeight="1" x14ac:dyDescent="0.25">
      <c r="B136" s="1"/>
      <c r="C136" s="113"/>
      <c r="D136" s="101"/>
      <c r="E136" s="101"/>
      <c r="F136" s="2"/>
    </row>
    <row r="137" spans="2:6" ht="15" customHeight="1" x14ac:dyDescent="0.25">
      <c r="B137" s="1"/>
      <c r="C137" s="101"/>
      <c r="D137" s="101"/>
      <c r="E137" s="101"/>
      <c r="F137" s="2"/>
    </row>
    <row r="138" spans="2:6" ht="15" customHeight="1" x14ac:dyDescent="0.25">
      <c r="B138" s="3"/>
      <c r="C138" s="8">
        <f>R.Instructions.VersionNumber</f>
        <v>5</v>
      </c>
      <c r="D138" s="4"/>
      <c r="E138" s="9">
        <f>R.Instructions.VersionDate</f>
        <v>45691</v>
      </c>
      <c r="F138" s="5"/>
    </row>
    <row r="140" spans="2:6" ht="15" customHeight="1" x14ac:dyDescent="0.25">
      <c r="C140" s="127" t="str">
        <f>IFERROR(VLOOKUP("Incomplete",Developer!H1519:I1545,2,FALSE),"Sheet complete.")</f>
        <v>Indicate if product 1 has industrial process emissions on its baseline.</v>
      </c>
      <c r="D140" s="127"/>
      <c r="E140" s="127"/>
    </row>
    <row r="141" spans="2:6" ht="15" customHeight="1" x14ac:dyDescent="0.25">
      <c r="C141" s="127"/>
      <c r="D141" s="127"/>
      <c r="E141" s="127"/>
    </row>
    <row r="142" spans="2:6" ht="15" customHeight="1" x14ac:dyDescent="0.25">
      <c r="C142" s="127"/>
      <c r="D142" s="127"/>
      <c r="E142" s="127"/>
    </row>
  </sheetData>
  <sheetProtection algorithmName="SHA-512" hashValue="jnATgrfxNw8eawQSiUpm8+4QE6vKlO/ceLD6C25dt08tZZRSFc/xa3qJSXTVojKifRcI7ez0AKQJ/yn9s8Ab+Q==" saltValue="ZCtBWxbVTIUUSbV67tQuKQ==" spinCount="100000" sheet="1" objects="1" scenarios="1" selectLockedCells="1"/>
  <mergeCells count="11">
    <mergeCell ref="C110:E110"/>
    <mergeCell ref="C121:E121"/>
    <mergeCell ref="C128:E128"/>
    <mergeCell ref="C140:E142"/>
    <mergeCell ref="C90:E90"/>
    <mergeCell ref="C4:E4"/>
    <mergeCell ref="C10:E10"/>
    <mergeCell ref="C30:E30"/>
    <mergeCell ref="C50:E50"/>
    <mergeCell ref="C70:E70"/>
    <mergeCell ref="C6:E9"/>
  </mergeCells>
  <conditionalFormatting sqref="C140">
    <cfRule type="cellIs" dxfId="1" priority="1" stopIfTrue="1" operator="equal">
      <formula>"Sheet complete."</formula>
    </cfRule>
  </conditionalFormatting>
  <dataValidations count="1">
    <dataValidation type="list" allowBlank="1" showInputMessage="1" showErrorMessage="1" errorTitle="Compliance" error="The answer to this question must be Yes or No." sqref="C16 C36 C56 C76 C96" xr:uid="{D442B3D4-CEEC-4CE9-97AA-26779EBD6AD0}">
      <formula1>"Yes,No"</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D0BAB-E8A1-47C9-9F26-8159A757AD7D}">
  <sheetPr codeName="Sheet9">
    <tabColor rgb="FF046A38"/>
    <pageSetUpPr fitToPage="1"/>
  </sheetPr>
  <dimension ref="B1:G38"/>
  <sheetViews>
    <sheetView showGridLines="0" showRowColHeaders="0" zoomScaleNormal="100" workbookViewId="0">
      <selection activeCell="D9" sqref="D9"/>
    </sheetView>
  </sheetViews>
  <sheetFormatPr defaultColWidth="9.140625" defaultRowHeight="15" customHeight="1" x14ac:dyDescent="0.25"/>
  <cols>
    <col min="1" max="2" width="5.7109375" customWidth="1"/>
    <col min="3" max="3" width="2.28515625" customWidth="1"/>
    <col min="4" max="4" width="48.42578125" customWidth="1"/>
    <col min="5" max="5" width="5.7109375" customWidth="1"/>
    <col min="6" max="6" width="50.7109375" customWidth="1"/>
    <col min="7" max="7" width="5.7109375" customWidth="1"/>
  </cols>
  <sheetData>
    <row r="1" spans="2:7" ht="24.95" customHeight="1" x14ac:dyDescent="0.25"/>
    <row r="2" spans="2:7" ht="24.95" customHeight="1" x14ac:dyDescent="0.25"/>
    <row r="3" spans="2:7" ht="24.95" customHeight="1" x14ac:dyDescent="0.25"/>
    <row r="4" spans="2:7" ht="24.95" customHeight="1" x14ac:dyDescent="0.25">
      <c r="B4" s="6"/>
      <c r="C4" s="132" t="s">
        <v>6</v>
      </c>
      <c r="D4" s="132"/>
      <c r="E4" s="132"/>
      <c r="F4" s="132"/>
      <c r="G4" s="7"/>
    </row>
    <row r="5" spans="2:7" ht="15" customHeight="1" x14ac:dyDescent="0.25">
      <c r="B5" s="1"/>
      <c r="C5" s="101"/>
      <c r="D5" s="101"/>
      <c r="E5" s="101"/>
      <c r="F5" s="101"/>
      <c r="G5" s="2"/>
    </row>
    <row r="6" spans="2:7" ht="15" customHeight="1" x14ac:dyDescent="0.25">
      <c r="B6" s="1"/>
      <c r="C6" s="101" t="s">
        <v>21</v>
      </c>
      <c r="D6" s="101"/>
      <c r="E6" s="101"/>
      <c r="F6" s="101" t="s">
        <v>22</v>
      </c>
      <c r="G6" s="2"/>
    </row>
    <row r="7" spans="2:7" ht="15" customHeight="1" x14ac:dyDescent="0.25">
      <c r="B7" s="1"/>
      <c r="C7" s="137" t="str">
        <f>IF(I.Facility.FacilityName="","",I.Facility.FacilityName)</f>
        <v/>
      </c>
      <c r="D7" s="138"/>
      <c r="E7" s="101"/>
      <c r="F7" s="102" t="str">
        <f>IF(I.Facility.OBPSNumber="","",I.Facility.OBPSNumber)</f>
        <v/>
      </c>
      <c r="G7" s="2"/>
    </row>
    <row r="8" spans="2:7" ht="15" customHeight="1" x14ac:dyDescent="0.25">
      <c r="B8" s="1"/>
      <c r="C8" s="101"/>
      <c r="D8" s="101"/>
      <c r="E8" s="101"/>
      <c r="F8" s="101"/>
      <c r="G8" s="2"/>
    </row>
    <row r="9" spans="2:7" ht="15" customHeight="1" x14ac:dyDescent="0.25">
      <c r="B9" s="1"/>
      <c r="C9" s="101" t="s">
        <v>87</v>
      </c>
      <c r="D9" s="10"/>
      <c r="E9" s="101" t="s">
        <v>1976</v>
      </c>
      <c r="F9" s="101"/>
      <c r="G9" s="2"/>
    </row>
    <row r="10" spans="2:7" ht="15" customHeight="1" x14ac:dyDescent="0.25">
      <c r="B10" s="1"/>
      <c r="C10" s="122" t="s">
        <v>88</v>
      </c>
      <c r="D10" s="122"/>
      <c r="E10" s="122"/>
      <c r="F10" s="122"/>
      <c r="G10" s="2"/>
    </row>
    <row r="11" spans="2:7" ht="15" customHeight="1" x14ac:dyDescent="0.25">
      <c r="B11" s="1"/>
      <c r="C11" s="122"/>
      <c r="D11" s="122"/>
      <c r="E11" s="122"/>
      <c r="F11" s="122"/>
      <c r="G11" s="2"/>
    </row>
    <row r="12" spans="2:7" ht="15" customHeight="1" x14ac:dyDescent="0.25">
      <c r="B12" s="1"/>
      <c r="C12" s="122"/>
      <c r="D12" s="122"/>
      <c r="E12" s="122"/>
      <c r="F12" s="122"/>
      <c r="G12" s="2"/>
    </row>
    <row r="13" spans="2:7" ht="15" customHeight="1" x14ac:dyDescent="0.25">
      <c r="B13" s="1"/>
      <c r="C13" s="122"/>
      <c r="D13" s="122"/>
      <c r="E13" s="122"/>
      <c r="F13" s="122"/>
      <c r="G13" s="2"/>
    </row>
    <row r="14" spans="2:7" ht="15" customHeight="1" x14ac:dyDescent="0.25">
      <c r="B14" s="1"/>
      <c r="C14" s="122"/>
      <c r="D14" s="122"/>
      <c r="E14" s="122"/>
      <c r="F14" s="122"/>
      <c r="G14" s="2"/>
    </row>
    <row r="15" spans="2:7" ht="15" customHeight="1" x14ac:dyDescent="0.25">
      <c r="B15" s="1"/>
      <c r="C15" s="122"/>
      <c r="D15" s="122"/>
      <c r="E15" s="122"/>
      <c r="F15" s="122"/>
      <c r="G15" s="2"/>
    </row>
    <row r="16" spans="2:7" ht="15" customHeight="1" x14ac:dyDescent="0.25">
      <c r="B16" s="1"/>
      <c r="C16" s="123" t="s">
        <v>1977</v>
      </c>
      <c r="D16" s="122"/>
      <c r="E16" s="122"/>
      <c r="F16" s="122"/>
      <c r="G16" s="2"/>
    </row>
    <row r="17" spans="2:7" ht="15" customHeight="1" x14ac:dyDescent="0.25">
      <c r="B17" s="1"/>
      <c r="C17" s="122"/>
      <c r="D17" s="122"/>
      <c r="E17" s="122"/>
      <c r="F17" s="122"/>
      <c r="G17" s="2"/>
    </row>
    <row r="18" spans="2:7" ht="15" customHeight="1" x14ac:dyDescent="0.25">
      <c r="B18" s="1"/>
      <c r="C18" s="122"/>
      <c r="D18" s="122"/>
      <c r="E18" s="122"/>
      <c r="F18" s="122"/>
      <c r="G18" s="2"/>
    </row>
    <row r="19" spans="2:7" ht="15" customHeight="1" x14ac:dyDescent="0.25">
      <c r="B19" s="1"/>
      <c r="C19" s="122"/>
      <c r="D19" s="122"/>
      <c r="E19" s="122"/>
      <c r="F19" s="122"/>
      <c r="G19" s="2"/>
    </row>
    <row r="20" spans="2:7" ht="15" customHeight="1" x14ac:dyDescent="0.25">
      <c r="B20" s="1"/>
      <c r="C20" s="101"/>
      <c r="D20" s="101"/>
      <c r="E20" s="101"/>
      <c r="F20" s="101"/>
      <c r="G20" s="2"/>
    </row>
    <row r="21" spans="2:7" ht="15" customHeight="1" x14ac:dyDescent="0.25">
      <c r="B21" s="1"/>
      <c r="C21" s="101"/>
      <c r="D21" s="101"/>
      <c r="E21" s="101"/>
      <c r="F21" s="101"/>
      <c r="G21" s="2"/>
    </row>
    <row r="22" spans="2:7" ht="15" customHeight="1" x14ac:dyDescent="0.25">
      <c r="B22" s="1"/>
      <c r="C22" s="101"/>
      <c r="D22" s="101"/>
      <c r="E22" s="101"/>
      <c r="F22" s="101"/>
      <c r="G22" s="2"/>
    </row>
    <row r="23" spans="2:7" ht="15" customHeight="1" x14ac:dyDescent="0.25">
      <c r="B23" s="1"/>
      <c r="C23" s="101"/>
      <c r="D23" s="101"/>
      <c r="E23" s="101"/>
      <c r="F23" s="101"/>
      <c r="G23" s="2"/>
    </row>
    <row r="24" spans="2:7" ht="15" customHeight="1" x14ac:dyDescent="0.25">
      <c r="B24" s="1"/>
      <c r="C24" s="101"/>
      <c r="D24" s="101"/>
      <c r="E24" s="101"/>
      <c r="F24" s="101"/>
      <c r="G24" s="2"/>
    </row>
    <row r="25" spans="2:7" ht="15" customHeight="1" x14ac:dyDescent="0.25">
      <c r="B25" s="1"/>
      <c r="C25" s="145"/>
      <c r="D25" s="146"/>
      <c r="E25" s="101"/>
      <c r="F25" s="101"/>
      <c r="G25" s="2"/>
    </row>
    <row r="26" spans="2:7" ht="15" customHeight="1" x14ac:dyDescent="0.25">
      <c r="B26" s="1"/>
      <c r="C26" s="147"/>
      <c r="D26" s="148"/>
      <c r="E26" s="101"/>
      <c r="F26" s="101"/>
      <c r="G26" s="2"/>
    </row>
    <row r="27" spans="2:7" ht="15" customHeight="1" x14ac:dyDescent="0.25">
      <c r="B27" s="1"/>
      <c r="C27" s="147"/>
      <c r="D27" s="148"/>
      <c r="E27" s="101"/>
      <c r="F27" s="101"/>
      <c r="G27" s="2"/>
    </row>
    <row r="28" spans="2:7" ht="15" customHeight="1" x14ac:dyDescent="0.25">
      <c r="B28" s="1"/>
      <c r="C28" s="149"/>
      <c r="D28" s="150"/>
      <c r="E28" s="101"/>
      <c r="F28" s="11"/>
      <c r="G28" s="2"/>
    </row>
    <row r="29" spans="2:7" ht="15" customHeight="1" x14ac:dyDescent="0.25">
      <c r="B29" s="1"/>
      <c r="C29" s="101" t="s">
        <v>89</v>
      </c>
      <c r="D29" s="101"/>
      <c r="E29" s="101"/>
      <c r="F29" s="101" t="s">
        <v>90</v>
      </c>
      <c r="G29" s="2"/>
    </row>
    <row r="30" spans="2:7" ht="15" customHeight="1" x14ac:dyDescent="0.25">
      <c r="B30" s="1"/>
      <c r="C30" s="101"/>
      <c r="D30" s="101"/>
      <c r="E30" s="101"/>
      <c r="F30" s="101"/>
      <c r="G30" s="2"/>
    </row>
    <row r="31" spans="2:7" ht="15" customHeight="1" x14ac:dyDescent="0.25">
      <c r="B31" s="1"/>
      <c r="C31" s="125"/>
      <c r="D31" s="125"/>
      <c r="E31" s="101"/>
      <c r="F31" s="101"/>
      <c r="G31" s="2"/>
    </row>
    <row r="32" spans="2:7" ht="15" customHeight="1" x14ac:dyDescent="0.25">
      <c r="B32" s="1"/>
      <c r="C32" s="101"/>
      <c r="D32" s="101"/>
      <c r="E32" s="101"/>
      <c r="F32" s="101"/>
      <c r="G32" s="2"/>
    </row>
    <row r="33" spans="2:7" ht="15" customHeight="1" x14ac:dyDescent="0.25">
      <c r="B33" s="1"/>
      <c r="C33" s="144" t="s">
        <v>1974</v>
      </c>
      <c r="D33" s="144"/>
      <c r="E33" s="101"/>
      <c r="F33" s="101"/>
      <c r="G33" s="2"/>
    </row>
    <row r="34" spans="2:7" ht="15" customHeight="1" x14ac:dyDescent="0.25">
      <c r="B34" s="3"/>
      <c r="C34" s="126">
        <f>R.Instructions.VersionNumber</f>
        <v>5</v>
      </c>
      <c r="D34" s="126"/>
      <c r="E34" s="4"/>
      <c r="F34" s="9">
        <f>R.Instructions.VersionDate</f>
        <v>45691</v>
      </c>
      <c r="G34" s="5"/>
    </row>
    <row r="36" spans="2:7" ht="15" customHeight="1" x14ac:dyDescent="0.25">
      <c r="C36" s="127" t="str">
        <f>IFERROR(VLOOKUP("Incomplete",Developer!H1546:I1547,2,FALSE),"Sheet complete.")</f>
        <v>Enter the name of the authorized signing officer.</v>
      </c>
      <c r="D36" s="127"/>
      <c r="E36" s="127"/>
      <c r="F36" s="127"/>
    </row>
    <row r="37" spans="2:7" ht="15" customHeight="1" x14ac:dyDescent="0.25">
      <c r="C37" s="127"/>
      <c r="D37" s="127"/>
      <c r="E37" s="127"/>
      <c r="F37" s="127"/>
    </row>
    <row r="38" spans="2:7" ht="15" customHeight="1" x14ac:dyDescent="0.25">
      <c r="C38" s="127"/>
      <c r="D38" s="127"/>
      <c r="E38" s="127"/>
      <c r="F38" s="127"/>
    </row>
  </sheetData>
  <sheetProtection algorithmName="SHA-512" hashValue="h/hGQ1a5J5B7b+clvpDnM0cwcjCKD62KJIy7L9M765oE//7lkYOiLHz64talW7mwKEN2hBZtKGfi76BWutOijA==" saltValue="lw8jPhiT7sU1FvuqdkrnOw==" spinCount="100000" sheet="1" objects="1" scenarios="1" selectLockedCells="1"/>
  <mergeCells count="9">
    <mergeCell ref="C34:D34"/>
    <mergeCell ref="C36:F38"/>
    <mergeCell ref="C4:F4"/>
    <mergeCell ref="C7:D7"/>
    <mergeCell ref="C10:F15"/>
    <mergeCell ref="C31:D31"/>
    <mergeCell ref="C16:F19"/>
    <mergeCell ref="C33:D33"/>
    <mergeCell ref="C25:D28"/>
  </mergeCells>
  <conditionalFormatting sqref="C36">
    <cfRule type="cellIs" dxfId="0" priority="1" stopIfTrue="1" operator="equal">
      <formula>"Sheet complete."</formula>
    </cfRule>
  </conditionalFormatting>
  <dataValidations count="1">
    <dataValidation type="date" allowBlank="1" showInputMessage="1" showErrorMessage="1" errorTitle="Declaration" error="The date of signature cannot be before this form was published and must be in the format: yyyy-mm-dd." prompt="yyyy-mm-dd" sqref="F28" xr:uid="{5F5D08B7-3607-462D-88F5-BE7A2668FE4E}">
      <formula1>R.Instructions.VersionDate</formula1>
      <formula2>2958465</formula2>
    </dataValidation>
  </dataValidations>
  <printOptions horizontalCentered="1"/>
  <pageMargins left="0.25" right="0.25" top="0.25" bottom="0.25" header="0" footer="0"/>
  <pageSetup scale="81"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1">
              <controlPr defaultSize="0" print="0" autoFill="0" autoPict="0" macro="[0]!PrintForm">
                <anchor moveWithCells="1" sizeWithCells="1">
                  <from>
                    <xdr:col>2</xdr:col>
                    <xdr:colOff>0</xdr:colOff>
                    <xdr:row>19</xdr:row>
                    <xdr:rowOff>0</xdr:rowOff>
                  </from>
                  <to>
                    <xdr:col>3</xdr:col>
                    <xdr:colOff>1400175</xdr:colOff>
                    <xdr:row>23</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A6F67-5F41-4362-A12E-87CEF11ED1B5}">
  <sheetPr codeName="Sheet10">
    <tabColor rgb="FF00558C"/>
    <pageSetUpPr fitToPage="1"/>
  </sheetPr>
  <dimension ref="B1:F38"/>
  <sheetViews>
    <sheetView showGridLines="0" showRowColHeaders="0" zoomScaleNormal="100" workbookViewId="0">
      <selection activeCell="C2" sqref="C2"/>
    </sheetView>
  </sheetViews>
  <sheetFormatPr defaultColWidth="9.140625" defaultRowHeight="15" customHeight="1" x14ac:dyDescent="0.25"/>
  <cols>
    <col min="1" max="2" width="5.7109375" customWidth="1"/>
    <col min="3" max="3" width="50.7109375" customWidth="1"/>
    <col min="4" max="4" width="5.7109375" customWidth="1"/>
    <col min="5" max="5" width="50.7109375" customWidth="1"/>
    <col min="6" max="6" width="5.7109375" customWidth="1"/>
  </cols>
  <sheetData>
    <row r="1" spans="2:6" ht="24.95" customHeight="1" x14ac:dyDescent="0.25"/>
    <row r="2" spans="2:6" ht="24.95" customHeight="1" x14ac:dyDescent="0.25"/>
    <row r="3" spans="2:6" ht="24.95" customHeight="1" x14ac:dyDescent="0.25"/>
    <row r="4" spans="2:6" ht="24.95" customHeight="1" x14ac:dyDescent="0.25">
      <c r="B4" s="6"/>
      <c r="C4" s="132" t="s">
        <v>7</v>
      </c>
      <c r="D4" s="132"/>
      <c r="E4" s="132"/>
      <c r="F4" s="7"/>
    </row>
    <row r="5" spans="2:6" ht="15" customHeight="1" x14ac:dyDescent="0.25">
      <c r="B5" s="1"/>
      <c r="C5" s="101"/>
      <c r="D5" s="101"/>
      <c r="E5" s="101"/>
      <c r="F5" s="2"/>
    </row>
    <row r="6" spans="2:6" ht="15" customHeight="1" x14ac:dyDescent="0.25">
      <c r="B6" s="1"/>
      <c r="C6" s="151" t="s">
        <v>1713</v>
      </c>
      <c r="D6" s="122"/>
      <c r="E6" s="122"/>
      <c r="F6" s="2"/>
    </row>
    <row r="7" spans="2:6" ht="15" customHeight="1" x14ac:dyDescent="0.25">
      <c r="B7" s="1"/>
      <c r="C7" s="122" t="s">
        <v>1971</v>
      </c>
      <c r="D7" s="122"/>
      <c r="E7" s="122"/>
      <c r="F7" s="2"/>
    </row>
    <row r="8" spans="2:6" ht="15" customHeight="1" x14ac:dyDescent="0.25">
      <c r="B8" s="1"/>
      <c r="C8" s="122"/>
      <c r="D8" s="122"/>
      <c r="E8" s="122"/>
      <c r="F8" s="2"/>
    </row>
    <row r="9" spans="2:6" ht="15" customHeight="1" x14ac:dyDescent="0.25">
      <c r="B9" s="1"/>
      <c r="C9" s="122"/>
      <c r="D9" s="122"/>
      <c r="E9" s="122"/>
      <c r="F9" s="2"/>
    </row>
    <row r="10" spans="2:6" ht="15" customHeight="1" x14ac:dyDescent="0.25">
      <c r="B10" s="1"/>
      <c r="C10" s="122"/>
      <c r="D10" s="122"/>
      <c r="E10" s="122"/>
      <c r="F10" s="2"/>
    </row>
    <row r="11" spans="2:6" ht="15" customHeight="1" x14ac:dyDescent="0.25">
      <c r="B11" s="1"/>
      <c r="C11" s="151" t="s">
        <v>1714</v>
      </c>
      <c r="D11" s="122"/>
      <c r="E11" s="122"/>
      <c r="F11" s="2"/>
    </row>
    <row r="12" spans="2:6" ht="15" customHeight="1" x14ac:dyDescent="0.25">
      <c r="B12" s="1"/>
      <c r="C12" s="122" t="s">
        <v>1972</v>
      </c>
      <c r="D12" s="122"/>
      <c r="E12" s="122"/>
      <c r="F12" s="2"/>
    </row>
    <row r="13" spans="2:6" ht="15" customHeight="1" x14ac:dyDescent="0.25">
      <c r="B13" s="1"/>
      <c r="C13" s="122"/>
      <c r="D13" s="122"/>
      <c r="E13" s="122"/>
      <c r="F13" s="2"/>
    </row>
    <row r="14" spans="2:6" ht="15" customHeight="1" x14ac:dyDescent="0.25">
      <c r="B14" s="1"/>
      <c r="C14" s="122"/>
      <c r="D14" s="122"/>
      <c r="E14" s="122"/>
      <c r="F14" s="2"/>
    </row>
    <row r="15" spans="2:6" ht="15" customHeight="1" x14ac:dyDescent="0.25">
      <c r="B15" s="1"/>
      <c r="C15" s="151" t="s">
        <v>91</v>
      </c>
      <c r="D15" s="122"/>
      <c r="E15" s="122"/>
      <c r="F15" s="2"/>
    </row>
    <row r="16" spans="2:6" ht="15" customHeight="1" x14ac:dyDescent="0.25">
      <c r="B16" s="1"/>
      <c r="C16" s="122" t="s">
        <v>92</v>
      </c>
      <c r="D16" s="122"/>
      <c r="E16" s="122"/>
      <c r="F16" s="2"/>
    </row>
    <row r="17" spans="2:6" ht="15" customHeight="1" x14ac:dyDescent="0.25">
      <c r="B17" s="1"/>
      <c r="C17" s="122"/>
      <c r="D17" s="122"/>
      <c r="E17" s="122"/>
      <c r="F17" s="2"/>
    </row>
    <row r="18" spans="2:6" ht="15" customHeight="1" x14ac:dyDescent="0.25">
      <c r="B18" s="1"/>
      <c r="C18" s="122"/>
      <c r="D18" s="122"/>
      <c r="E18" s="122"/>
      <c r="F18" s="2"/>
    </row>
    <row r="19" spans="2:6" ht="15" customHeight="1" x14ac:dyDescent="0.25">
      <c r="B19" s="1"/>
      <c r="C19" s="122"/>
      <c r="D19" s="122"/>
      <c r="E19" s="122"/>
      <c r="F19" s="2"/>
    </row>
    <row r="20" spans="2:6" ht="15" customHeight="1" x14ac:dyDescent="0.25">
      <c r="B20" s="1"/>
      <c r="C20" s="151" t="s">
        <v>93</v>
      </c>
      <c r="D20" s="122"/>
      <c r="E20" s="122"/>
      <c r="F20" s="2"/>
    </row>
    <row r="21" spans="2:6" ht="15" customHeight="1" x14ac:dyDescent="0.25">
      <c r="B21" s="1"/>
      <c r="C21" s="122" t="s">
        <v>1659</v>
      </c>
      <c r="D21" s="122"/>
      <c r="E21" s="122"/>
      <c r="F21" s="2"/>
    </row>
    <row r="22" spans="2:6" ht="15" customHeight="1" x14ac:dyDescent="0.25">
      <c r="B22" s="1"/>
      <c r="C22" s="122"/>
      <c r="D22" s="122"/>
      <c r="E22" s="122"/>
      <c r="F22" s="2"/>
    </row>
    <row r="23" spans="2:6" ht="15" customHeight="1" x14ac:dyDescent="0.25">
      <c r="B23" s="1"/>
      <c r="C23" s="122"/>
      <c r="D23" s="122"/>
      <c r="E23" s="122"/>
      <c r="F23" s="2"/>
    </row>
    <row r="24" spans="2:6" ht="15" customHeight="1" x14ac:dyDescent="0.25">
      <c r="B24" s="1"/>
      <c r="C24" s="122"/>
      <c r="D24" s="122"/>
      <c r="E24" s="122"/>
      <c r="F24" s="2"/>
    </row>
    <row r="25" spans="2:6" ht="15" customHeight="1" x14ac:dyDescent="0.25">
      <c r="B25" s="1"/>
      <c r="C25" s="151" t="s">
        <v>94</v>
      </c>
      <c r="D25" s="122"/>
      <c r="E25" s="122"/>
      <c r="F25" s="2"/>
    </row>
    <row r="26" spans="2:6" ht="15" customHeight="1" x14ac:dyDescent="0.25">
      <c r="B26" s="1"/>
      <c r="C26" s="122" t="s">
        <v>106</v>
      </c>
      <c r="D26" s="122"/>
      <c r="E26" s="122"/>
      <c r="F26" s="2"/>
    </row>
    <row r="27" spans="2:6" ht="15" customHeight="1" x14ac:dyDescent="0.25">
      <c r="B27" s="1"/>
      <c r="C27" s="122"/>
      <c r="D27" s="122"/>
      <c r="E27" s="122"/>
      <c r="F27" s="2"/>
    </row>
    <row r="28" spans="2:6" ht="15" customHeight="1" x14ac:dyDescent="0.25">
      <c r="B28" s="1"/>
      <c r="C28" s="122"/>
      <c r="D28" s="122"/>
      <c r="E28" s="122"/>
      <c r="F28" s="2"/>
    </row>
    <row r="29" spans="2:6" ht="15" customHeight="1" x14ac:dyDescent="0.25">
      <c r="B29" s="1"/>
      <c r="C29" s="122"/>
      <c r="D29" s="122"/>
      <c r="E29" s="122"/>
      <c r="F29" s="2"/>
    </row>
    <row r="30" spans="2:6" ht="15" customHeight="1" x14ac:dyDescent="0.25">
      <c r="B30" s="1"/>
      <c r="C30" s="122"/>
      <c r="D30" s="122"/>
      <c r="E30" s="122"/>
      <c r="F30" s="2"/>
    </row>
    <row r="31" spans="2:6" ht="15" customHeight="1" x14ac:dyDescent="0.25">
      <c r="B31" s="1"/>
      <c r="C31" s="122"/>
      <c r="D31" s="122"/>
      <c r="E31" s="122"/>
      <c r="F31" s="2"/>
    </row>
    <row r="32" spans="2:6" ht="15" customHeight="1" x14ac:dyDescent="0.25">
      <c r="B32" s="1"/>
      <c r="C32" s="122"/>
      <c r="D32" s="122"/>
      <c r="E32" s="122"/>
      <c r="F32" s="2"/>
    </row>
    <row r="33" spans="2:6" ht="15" customHeight="1" x14ac:dyDescent="0.25">
      <c r="B33" s="1"/>
      <c r="C33" s="151" t="s">
        <v>1702</v>
      </c>
      <c r="D33" s="122"/>
      <c r="E33" s="122"/>
      <c r="F33" s="2"/>
    </row>
    <row r="34" spans="2:6" ht="15" customHeight="1" x14ac:dyDescent="0.25">
      <c r="B34" s="1"/>
      <c r="C34" s="122" t="s">
        <v>1973</v>
      </c>
      <c r="D34" s="122"/>
      <c r="E34" s="122"/>
      <c r="F34" s="2"/>
    </row>
    <row r="35" spans="2:6" ht="15" customHeight="1" x14ac:dyDescent="0.25">
      <c r="B35" s="1"/>
      <c r="C35" s="122"/>
      <c r="D35" s="122"/>
      <c r="E35" s="122"/>
      <c r="F35" s="2"/>
    </row>
    <row r="36" spans="2:6" ht="15" customHeight="1" x14ac:dyDescent="0.25">
      <c r="B36" s="1"/>
      <c r="C36" s="122"/>
      <c r="D36" s="122"/>
      <c r="E36" s="122"/>
      <c r="F36" s="2"/>
    </row>
    <row r="37" spans="2:6" ht="15" customHeight="1" x14ac:dyDescent="0.25">
      <c r="B37" s="1"/>
      <c r="C37" s="122"/>
      <c r="D37" s="122"/>
      <c r="E37" s="122"/>
      <c r="F37" s="2"/>
    </row>
    <row r="38" spans="2:6" ht="15" customHeight="1" x14ac:dyDescent="0.25">
      <c r="B38" s="3"/>
      <c r="C38" s="8">
        <f>R.Instructions.VersionNumber</f>
        <v>5</v>
      </c>
      <c r="D38" s="4"/>
      <c r="E38" s="9">
        <f>R.Instructions.VersionDate</f>
        <v>45691</v>
      </c>
      <c r="F38" s="5"/>
    </row>
  </sheetData>
  <sheetProtection algorithmName="SHA-512" hashValue="S0wlSKqlidLuvcWKo7Z7ZdqM6SCGbQyNr7/Nylh4jB54B3bE6kCefITkOja4uegc87Vy/jeZsjJ+/HbK/l3mag==" saltValue="z+L0cnYImG0kT9IevGsiDA==" spinCount="100000" sheet="1" objects="1" scenarios="1" selectLockedCells="1" selectUnlockedCells="1"/>
  <mergeCells count="13">
    <mergeCell ref="C4:E4"/>
    <mergeCell ref="C15:E15"/>
    <mergeCell ref="C16:E19"/>
    <mergeCell ref="C20:E20"/>
    <mergeCell ref="C21:E24"/>
    <mergeCell ref="C34:E37"/>
    <mergeCell ref="C11:E11"/>
    <mergeCell ref="C12:E14"/>
    <mergeCell ref="C7:E10"/>
    <mergeCell ref="C6:E6"/>
    <mergeCell ref="C33:E33"/>
    <mergeCell ref="C26:E32"/>
    <mergeCell ref="C25:E25"/>
  </mergeCells>
  <printOptions horizontalCentered="1"/>
  <pageMargins left="0.25" right="0.25" top="0.25" bottom="0.25" header="0" footer="0"/>
  <pageSetup scale="85"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39F44-7A98-4DA7-A2D2-A5AAF6C4BA8C}">
  <sheetPr codeName="Sheet11">
    <tabColor rgb="FF2C3136"/>
  </sheetPr>
  <dimension ref="A1:T1592"/>
  <sheetViews>
    <sheetView showGridLines="0" showRowColHeaders="0" zoomScaleNormal="100" workbookViewId="0"/>
  </sheetViews>
  <sheetFormatPr defaultRowHeight="14.45" customHeight="1" x14ac:dyDescent="0.25"/>
  <cols>
    <col min="1" max="1" width="5.5703125" style="24" customWidth="1"/>
    <col min="2" max="2" width="34.7109375" style="26" bestFit="1" customWidth="1"/>
    <col min="3" max="3" width="6" style="26" bestFit="1" customWidth="1"/>
    <col min="4" max="4" width="33.5703125" style="26" bestFit="1" customWidth="1"/>
    <col min="5" max="6" width="34.7109375" style="26" bestFit="1" customWidth="1"/>
    <col min="7" max="7" width="17.28515625" style="26" bestFit="1" customWidth="1"/>
    <col min="8" max="8" width="11.140625" style="26" bestFit="1" customWidth="1"/>
    <col min="9" max="9" width="31.7109375" style="26" customWidth="1"/>
    <col min="10" max="10" width="5.5703125" style="26" customWidth="1"/>
    <col min="11" max="11" width="25.140625" style="26" bestFit="1" customWidth="1"/>
    <col min="12" max="12" width="38.42578125" style="26" bestFit="1" customWidth="1"/>
    <col min="13" max="13" width="5.5703125" style="26" customWidth="1"/>
    <col min="14" max="14" width="28.28515625" style="26" bestFit="1" customWidth="1"/>
    <col min="15" max="15" width="36.28515625" style="26" bestFit="1" customWidth="1"/>
    <col min="16" max="16" width="17.85546875" style="26" customWidth="1"/>
    <col min="17" max="17" width="17.28515625" style="26" customWidth="1"/>
    <col min="18" max="18" width="5.5703125" style="26" customWidth="1"/>
    <col min="19" max="19" width="52.5703125" style="26" customWidth="1"/>
    <col min="20" max="20" width="7.5703125" style="26" bestFit="1" customWidth="1"/>
    <col min="21" max="16384" width="9.140625" style="26"/>
  </cols>
  <sheetData>
    <row r="1" spans="2:20" ht="14.45" customHeight="1" x14ac:dyDescent="0.25">
      <c r="B1" s="25"/>
      <c r="C1" s="25"/>
      <c r="D1" s="25"/>
      <c r="E1" s="25"/>
      <c r="F1" s="25"/>
      <c r="G1" s="25"/>
      <c r="H1" s="25"/>
      <c r="I1" s="25"/>
      <c r="M1" s="25"/>
    </row>
    <row r="2" spans="2:20" ht="14.45" customHeight="1" x14ac:dyDescent="0.25">
      <c r="B2" s="27" t="s">
        <v>95</v>
      </c>
      <c r="C2" s="27"/>
      <c r="D2" s="27"/>
      <c r="E2" s="28"/>
      <c r="F2" s="28"/>
      <c r="G2" s="28"/>
      <c r="H2" s="28"/>
      <c r="I2" s="28"/>
      <c r="J2" s="28"/>
      <c r="K2" s="27" t="s">
        <v>96</v>
      </c>
      <c r="L2" s="27"/>
      <c r="M2" s="28"/>
      <c r="N2" s="27" t="s">
        <v>97</v>
      </c>
      <c r="O2" s="27"/>
      <c r="P2" s="28"/>
      <c r="Q2" s="28"/>
      <c r="R2" s="28"/>
      <c r="S2" s="27" t="s">
        <v>98</v>
      </c>
      <c r="T2" s="28"/>
    </row>
    <row r="3" spans="2:20" ht="14.45" customHeight="1" x14ac:dyDescent="0.25">
      <c r="B3" s="29" t="s">
        <v>107</v>
      </c>
      <c r="C3" s="29" t="s">
        <v>99</v>
      </c>
      <c r="D3" s="29" t="s">
        <v>115</v>
      </c>
      <c r="E3" s="29" t="s">
        <v>108</v>
      </c>
      <c r="F3" s="29" t="s">
        <v>109</v>
      </c>
      <c r="G3" s="29" t="s">
        <v>110</v>
      </c>
      <c r="H3" s="29" t="s">
        <v>111</v>
      </c>
      <c r="I3" s="30" t="s">
        <v>112</v>
      </c>
      <c r="J3" s="28"/>
      <c r="K3" s="31" t="s">
        <v>113</v>
      </c>
      <c r="L3" s="32" t="s">
        <v>115</v>
      </c>
      <c r="M3" s="28"/>
      <c r="N3" s="33" t="s">
        <v>114</v>
      </c>
      <c r="O3" s="29" t="s">
        <v>115</v>
      </c>
      <c r="P3" s="29" t="s">
        <v>109</v>
      </c>
      <c r="Q3" s="30" t="s">
        <v>110</v>
      </c>
      <c r="R3" s="28"/>
      <c r="S3" s="33" t="s">
        <v>100</v>
      </c>
      <c r="T3" s="30" t="s">
        <v>84</v>
      </c>
    </row>
    <row r="4" spans="2:20" ht="14.45" customHeight="1" x14ac:dyDescent="0.25">
      <c r="B4" s="34" t="s">
        <v>1999</v>
      </c>
      <c r="C4" s="35">
        <v>1</v>
      </c>
      <c r="D4" s="36" t="s">
        <v>2001</v>
      </c>
      <c r="E4" s="36"/>
      <c r="F4" s="35" t="str">
        <f>IF(I.Facility.EmitterName="","",I.Facility.EmitterName)</f>
        <v/>
      </c>
      <c r="G4" s="36"/>
      <c r="H4" s="35" t="str">
        <f>IF(I.Facility.EmitterName="","Incomplete","Complete")</f>
        <v>Incomplete</v>
      </c>
      <c r="I4" s="37" t="s">
        <v>2000</v>
      </c>
      <c r="K4" s="38" t="s">
        <v>140</v>
      </c>
      <c r="L4" s="39" t="s">
        <v>2204</v>
      </c>
      <c r="N4" s="34" t="s">
        <v>252</v>
      </c>
      <c r="O4" s="36" t="s">
        <v>2335</v>
      </c>
      <c r="P4" s="40"/>
      <c r="Q4" s="41"/>
      <c r="S4" s="42" t="s">
        <v>116</v>
      </c>
      <c r="T4" s="43">
        <v>1</v>
      </c>
    </row>
    <row r="5" spans="2:20" ht="14.45" customHeight="1" x14ac:dyDescent="0.25">
      <c r="B5" s="44" t="s">
        <v>286</v>
      </c>
      <c r="C5" s="28">
        <v>1</v>
      </c>
      <c r="D5" s="45" t="s">
        <v>2002</v>
      </c>
      <c r="E5" s="45"/>
      <c r="F5" s="28" t="str">
        <f>IF(I.Facility.FacilityName="","",I.Facility.FacilityName)</f>
        <v/>
      </c>
      <c r="G5" s="45"/>
      <c r="H5" s="28" t="str">
        <f>IF(I.Facility.FacilityName="","Incomplete","Complete")</f>
        <v>Incomplete</v>
      </c>
      <c r="I5" s="46" t="s">
        <v>471</v>
      </c>
      <c r="K5" s="44" t="s">
        <v>141</v>
      </c>
      <c r="L5" s="47" t="s">
        <v>2205</v>
      </c>
      <c r="N5" s="44" t="s">
        <v>253</v>
      </c>
      <c r="O5" s="45" t="s">
        <v>2336</v>
      </c>
      <c r="P5" s="48">
        <f>R.Instructions.VersionNumber</f>
        <v>5</v>
      </c>
      <c r="Q5" s="49"/>
      <c r="S5" s="50" t="s">
        <v>117</v>
      </c>
      <c r="T5" s="51">
        <v>28</v>
      </c>
    </row>
    <row r="6" spans="2:20" ht="14.45" customHeight="1" x14ac:dyDescent="0.25">
      <c r="B6" s="44" t="s">
        <v>287</v>
      </c>
      <c r="C6" s="28">
        <v>1</v>
      </c>
      <c r="D6" s="45" t="s">
        <v>2003</v>
      </c>
      <c r="E6" s="45"/>
      <c r="F6" s="28" t="str">
        <f>IF(I.Facility.OBPSNumber="","",I.Facility.OBPSNumber)</f>
        <v/>
      </c>
      <c r="G6" s="45"/>
      <c r="H6" s="28" t="str">
        <f>IF(I.Facility.OBPSNumber="","Incomplete","Complete")</f>
        <v>Incomplete</v>
      </c>
      <c r="I6" s="46" t="s">
        <v>472</v>
      </c>
      <c r="K6" s="44" t="s">
        <v>142</v>
      </c>
      <c r="L6" s="47" t="s">
        <v>2206</v>
      </c>
      <c r="N6" s="53" t="s">
        <v>254</v>
      </c>
      <c r="O6" s="54" t="s">
        <v>2337</v>
      </c>
      <c r="P6" s="55">
        <f>R.Instructions.VersionDate</f>
        <v>45691</v>
      </c>
      <c r="Q6" s="56"/>
      <c r="S6" s="50" t="s">
        <v>118</v>
      </c>
      <c r="T6" s="51">
        <v>265</v>
      </c>
    </row>
    <row r="7" spans="2:20" ht="14.45" customHeight="1" x14ac:dyDescent="0.25">
      <c r="B7" s="44" t="s">
        <v>288</v>
      </c>
      <c r="C7" s="28">
        <v>1</v>
      </c>
      <c r="D7" s="45" t="s">
        <v>2004</v>
      </c>
      <c r="E7" s="52"/>
      <c r="F7" s="52" t="str">
        <f>IF(I.Facility.ComplianceYear="","",I.Facility.ComplianceYear)</f>
        <v/>
      </c>
      <c r="G7" s="52"/>
      <c r="H7" s="28" t="str">
        <f>IF(I.Facility.ComplianceYear="","Incomplete","Complete")</f>
        <v>Incomplete</v>
      </c>
      <c r="I7" s="46" t="s">
        <v>473</v>
      </c>
      <c r="K7" s="44" t="s">
        <v>143</v>
      </c>
      <c r="L7" s="47" t="s">
        <v>2207</v>
      </c>
      <c r="N7" s="44" t="s">
        <v>255</v>
      </c>
      <c r="O7" s="45" t="s">
        <v>2338</v>
      </c>
      <c r="P7" s="57"/>
      <c r="Q7" s="58"/>
      <c r="S7" s="50" t="s">
        <v>119</v>
      </c>
      <c r="T7" s="51">
        <v>23500</v>
      </c>
    </row>
    <row r="8" spans="2:20" ht="14.45" customHeight="1" x14ac:dyDescent="0.25">
      <c r="B8" s="44" t="s">
        <v>289</v>
      </c>
      <c r="C8" s="28">
        <v>1</v>
      </c>
      <c r="D8" s="45" t="s">
        <v>2005</v>
      </c>
      <c r="E8" s="52">
        <v>1</v>
      </c>
      <c r="F8" s="52">
        <f>IF(I.Facility.ProductCount="","",I.Facility.ProductCount)</f>
        <v>1</v>
      </c>
      <c r="G8" s="52"/>
      <c r="H8" s="28" t="str">
        <f>IF(I.Facility.ProductCount="","Incomplete","Complete")</f>
        <v>Complete</v>
      </c>
      <c r="I8" s="46" t="s">
        <v>474</v>
      </c>
      <c r="K8" s="44" t="s">
        <v>144</v>
      </c>
      <c r="L8" s="47" t="s">
        <v>2208</v>
      </c>
      <c r="N8" s="44" t="s">
        <v>2364</v>
      </c>
      <c r="O8" s="45" t="s">
        <v>2365</v>
      </c>
      <c r="P8" s="57"/>
      <c r="Q8" s="58"/>
      <c r="S8" s="50" t="s">
        <v>120</v>
      </c>
      <c r="T8" s="51">
        <v>6630</v>
      </c>
    </row>
    <row r="9" spans="2:20" ht="14.45" customHeight="1" x14ac:dyDescent="0.25">
      <c r="B9" s="44" t="s">
        <v>290</v>
      </c>
      <c r="C9" s="28">
        <v>1</v>
      </c>
      <c r="D9" s="45" t="s">
        <v>2006</v>
      </c>
      <c r="E9" s="45"/>
      <c r="F9" s="28" t="str">
        <f>IF(I.Facility.GasToPower="","",I.Facility.GasToPower)</f>
        <v/>
      </c>
      <c r="G9" s="45"/>
      <c r="H9" s="28" t="str">
        <f>IF(I.Facility.GasToPower="","Incomplete","Complete")</f>
        <v>Incomplete</v>
      </c>
      <c r="I9" s="46" t="s">
        <v>475</v>
      </c>
      <c r="K9" s="53" t="s">
        <v>145</v>
      </c>
      <c r="L9" s="61" t="s">
        <v>2209</v>
      </c>
      <c r="N9" s="44" t="s">
        <v>256</v>
      </c>
      <c r="O9" s="45" t="s">
        <v>2339</v>
      </c>
      <c r="P9" s="59" t="str">
        <f>IF(R.Facility.Timestamp="","",R.Facility.Timestamp)</f>
        <v/>
      </c>
      <c r="Q9" s="60"/>
      <c r="S9" s="50" t="s">
        <v>121</v>
      </c>
      <c r="T9" s="51">
        <v>11100</v>
      </c>
    </row>
    <row r="10" spans="2:20" ht="14.45" customHeight="1" x14ac:dyDescent="0.25">
      <c r="B10" s="44" t="s">
        <v>291</v>
      </c>
      <c r="C10" s="28">
        <v>1</v>
      </c>
      <c r="D10" s="45" t="s">
        <v>2007</v>
      </c>
      <c r="E10" s="45"/>
      <c r="F10" s="28" t="str">
        <f>IF(I.Facility.OilGas="","",I.Facility.OilGas)</f>
        <v/>
      </c>
      <c r="G10" s="45"/>
      <c r="H10" s="28" t="str">
        <f>IF(I.Facility.OilGas="","Incomplete","Complete")</f>
        <v>Incomplete</v>
      </c>
      <c r="I10" s="46" t="s">
        <v>476</v>
      </c>
      <c r="K10" s="38" t="s">
        <v>146</v>
      </c>
      <c r="L10" s="39" t="s">
        <v>2210</v>
      </c>
      <c r="N10" s="53" t="s">
        <v>1941</v>
      </c>
      <c r="O10" s="54" t="s">
        <v>2340</v>
      </c>
      <c r="P10" s="62" t="str">
        <f>IF(R.Facility.Notification="","",R.Facility.Notification)</f>
        <v>Enter the regulated emitter name.</v>
      </c>
      <c r="Q10" s="63"/>
      <c r="S10" s="50" t="s">
        <v>122</v>
      </c>
      <c r="T10" s="51">
        <v>8900</v>
      </c>
    </row>
    <row r="11" spans="2:20" ht="14.45" customHeight="1" x14ac:dyDescent="0.25">
      <c r="B11" s="44" t="s">
        <v>292</v>
      </c>
      <c r="C11" s="28">
        <v>1</v>
      </c>
      <c r="D11" s="45" t="s">
        <v>2008</v>
      </c>
      <c r="E11" s="45"/>
      <c r="F11" s="28" t="str">
        <f>IF(I.Facility.Drilling="","",I.Facility.Drilling)</f>
        <v/>
      </c>
      <c r="G11" s="45"/>
      <c r="H11" s="28" t="str">
        <f>IF(AND(I.Facility.OilGas="Yes",I.Facility.Drilling=""),"Incomplete","Complete")</f>
        <v>Complete</v>
      </c>
      <c r="I11" s="46" t="s">
        <v>477</v>
      </c>
      <c r="K11" s="44" t="s">
        <v>147</v>
      </c>
      <c r="L11" s="47" t="s">
        <v>2211</v>
      </c>
      <c r="N11" s="34" t="s">
        <v>257</v>
      </c>
      <c r="O11" s="36" t="s">
        <v>2341</v>
      </c>
      <c r="P11" s="64"/>
      <c r="Q11" s="65"/>
      <c r="S11" s="50" t="s">
        <v>123</v>
      </c>
      <c r="T11" s="51">
        <v>9200</v>
      </c>
    </row>
    <row r="12" spans="2:20" ht="14.45" customHeight="1" x14ac:dyDescent="0.25">
      <c r="B12" s="53" t="s">
        <v>293</v>
      </c>
      <c r="C12" s="66">
        <v>1</v>
      </c>
      <c r="D12" s="54" t="s">
        <v>2009</v>
      </c>
      <c r="E12" s="67">
        <v>1</v>
      </c>
      <c r="F12" s="67" t="str">
        <f>IF(I.Facility.FacilityCount="","",I.Facility.FacilityCount)</f>
        <v/>
      </c>
      <c r="G12" s="67"/>
      <c r="H12" s="66" t="str">
        <f>IF(AND(I.Facility.OilGas="Yes",I.Facility.FacilityCount=""),"Incomplete","Complete")</f>
        <v>Complete</v>
      </c>
      <c r="I12" s="68" t="s">
        <v>478</v>
      </c>
      <c r="K12" s="44" t="s">
        <v>148</v>
      </c>
      <c r="L12" s="47" t="s">
        <v>2212</v>
      </c>
      <c r="N12" s="44" t="s">
        <v>258</v>
      </c>
      <c r="O12" s="45" t="s">
        <v>2342</v>
      </c>
      <c r="P12" s="57" t="str">
        <f>IF(R.Product.Timestamp="","",R.Product.Timestamp)</f>
        <v/>
      </c>
      <c r="Q12" s="58"/>
      <c r="S12" s="50" t="s">
        <v>124</v>
      </c>
      <c r="T12" s="51">
        <v>9540</v>
      </c>
    </row>
    <row r="13" spans="2:20" ht="14.45" customHeight="1" x14ac:dyDescent="0.25">
      <c r="B13" s="44" t="s">
        <v>294</v>
      </c>
      <c r="C13" s="28">
        <v>1</v>
      </c>
      <c r="D13" s="45" t="s">
        <v>2010</v>
      </c>
      <c r="E13" s="45"/>
      <c r="F13" s="28" t="str">
        <f>IF(INDEX(I.Facility.IDNumber,1)="","",INDEX(I.Facility.IDNumber,1))</f>
        <v/>
      </c>
      <c r="G13" s="45"/>
      <c r="H13" s="28" t="str">
        <f>IF(AND(I.Facility.FacilityCount&gt;=1,F13=""),"Incomplete","Complete")</f>
        <v>Complete</v>
      </c>
      <c r="I13" s="46" t="s">
        <v>479</v>
      </c>
      <c r="K13" s="44" t="s">
        <v>149</v>
      </c>
      <c r="L13" s="47" t="s">
        <v>2213</v>
      </c>
      <c r="N13" s="53" t="s">
        <v>1942</v>
      </c>
      <c r="O13" s="54" t="s">
        <v>2343</v>
      </c>
      <c r="P13" s="55" t="str">
        <f>IF(R.Product.Notification="","",R.Product.Notification)</f>
        <v>Enter the name of product 1.</v>
      </c>
      <c r="Q13" s="56"/>
      <c r="S13" s="50" t="s">
        <v>125</v>
      </c>
      <c r="T13" s="51">
        <v>8550</v>
      </c>
    </row>
    <row r="14" spans="2:20" ht="14.45" customHeight="1" x14ac:dyDescent="0.25">
      <c r="B14" s="44" t="s">
        <v>294</v>
      </c>
      <c r="C14" s="28">
        <v>2</v>
      </c>
      <c r="D14" s="45" t="s">
        <v>2010</v>
      </c>
      <c r="E14" s="45"/>
      <c r="F14" s="28" t="str">
        <f>IF(INDEX(I.Facility.IDNumber,2)="","",INDEX(I.Facility.IDNumber,2))</f>
        <v/>
      </c>
      <c r="G14" s="45"/>
      <c r="H14" s="28" t="str">
        <f>IF(AND(I.Facility.FacilityCount&gt;=2,F14=""),"Incomplete","Complete")</f>
        <v>Complete</v>
      </c>
      <c r="I14" s="46" t="s">
        <v>480</v>
      </c>
      <c r="K14" s="44" t="s">
        <v>150</v>
      </c>
      <c r="L14" s="47" t="s">
        <v>2214</v>
      </c>
      <c r="N14" s="44" t="s">
        <v>259</v>
      </c>
      <c r="O14" s="45" t="s">
        <v>2344</v>
      </c>
      <c r="P14" s="57"/>
      <c r="Q14" s="58"/>
      <c r="S14" s="50" t="s">
        <v>126</v>
      </c>
      <c r="T14" s="51">
        <v>7910</v>
      </c>
    </row>
    <row r="15" spans="2:20" ht="14.45" customHeight="1" x14ac:dyDescent="0.25">
      <c r="B15" s="44" t="s">
        <v>294</v>
      </c>
      <c r="C15" s="28">
        <v>3</v>
      </c>
      <c r="D15" s="45" t="s">
        <v>2010</v>
      </c>
      <c r="E15" s="45"/>
      <c r="F15" s="28" t="str">
        <f>IF(INDEX(I.Facility.IDNumber,3)="","",INDEX(I.Facility.IDNumber,3))</f>
        <v/>
      </c>
      <c r="G15" s="45"/>
      <c r="H15" s="28" t="str">
        <f>IF(AND(I.Facility.FacilityCount&gt;=3,F15=""),"Incomplete","Complete")</f>
        <v>Complete</v>
      </c>
      <c r="I15" s="46" t="s">
        <v>481</v>
      </c>
      <c r="K15" s="44" t="s">
        <v>151</v>
      </c>
      <c r="L15" s="47" t="s">
        <v>2215</v>
      </c>
      <c r="N15" s="44" t="s">
        <v>260</v>
      </c>
      <c r="O15" s="45" t="s">
        <v>2345</v>
      </c>
      <c r="P15" s="59" t="str">
        <f>IF(R.Production.Timestamp="","",R.Production.Timestamp)</f>
        <v/>
      </c>
      <c r="Q15" s="60"/>
      <c r="S15" s="50" t="s">
        <v>127</v>
      </c>
      <c r="T15" s="51">
        <v>12400</v>
      </c>
    </row>
    <row r="16" spans="2:20" ht="14.45" customHeight="1" x14ac:dyDescent="0.25">
      <c r="B16" s="44" t="s">
        <v>294</v>
      </c>
      <c r="C16" s="28">
        <v>4</v>
      </c>
      <c r="D16" s="45" t="s">
        <v>2010</v>
      </c>
      <c r="E16" s="45"/>
      <c r="F16" s="28" t="str">
        <f>IF(INDEX(I.Facility.IDNumber,4)="","",INDEX(I.Facility.IDNumber,4))</f>
        <v/>
      </c>
      <c r="G16" s="45"/>
      <c r="H16" s="28" t="str">
        <f>IF(AND(I.Facility.FacilityCount&gt;=4,F16=""),"Incomplete","Complete")</f>
        <v>Complete</v>
      </c>
      <c r="I16" s="46" t="s">
        <v>482</v>
      </c>
      <c r="K16" s="44" t="s">
        <v>152</v>
      </c>
      <c r="L16" s="47" t="s">
        <v>2216</v>
      </c>
      <c r="N16" s="53" t="s">
        <v>1943</v>
      </c>
      <c r="O16" s="54" t="s">
        <v>2346</v>
      </c>
      <c r="P16" s="62" t="str">
        <f>IF(R.Production.Notification="","",R.Production.Notification)</f>
        <v>Enter the amount of commercial product produced for product 1 in the compliance year.</v>
      </c>
      <c r="Q16" s="63"/>
      <c r="S16" s="50" t="s">
        <v>128</v>
      </c>
      <c r="T16" s="51">
        <v>677</v>
      </c>
    </row>
    <row r="17" spans="2:20" ht="14.45" customHeight="1" x14ac:dyDescent="0.25">
      <c r="B17" s="44" t="s">
        <v>294</v>
      </c>
      <c r="C17" s="28">
        <v>5</v>
      </c>
      <c r="D17" s="45" t="s">
        <v>2010</v>
      </c>
      <c r="E17" s="45"/>
      <c r="F17" s="28" t="str">
        <f>IF(INDEX(I.Facility.IDNumber,5)="","",INDEX(I.Facility.IDNumber,5))</f>
        <v/>
      </c>
      <c r="G17" s="45"/>
      <c r="H17" s="28" t="str">
        <f>IF(AND(I.Facility.FacilityCount&gt;=5,F17=""),"Incomplete","Complete")</f>
        <v>Complete</v>
      </c>
      <c r="I17" s="46" t="s">
        <v>483</v>
      </c>
      <c r="K17" s="44" t="s">
        <v>153</v>
      </c>
      <c r="L17" s="47" t="s">
        <v>2217</v>
      </c>
      <c r="N17" s="34" t="s">
        <v>261</v>
      </c>
      <c r="O17" s="36" t="s">
        <v>2347</v>
      </c>
      <c r="P17" s="64"/>
      <c r="Q17" s="65"/>
      <c r="S17" s="50" t="s">
        <v>129</v>
      </c>
      <c r="T17" s="51">
        <v>116</v>
      </c>
    </row>
    <row r="18" spans="2:20" ht="14.45" customHeight="1" x14ac:dyDescent="0.25">
      <c r="B18" s="44" t="s">
        <v>294</v>
      </c>
      <c r="C18" s="28">
        <v>6</v>
      </c>
      <c r="D18" s="45" t="s">
        <v>2010</v>
      </c>
      <c r="E18" s="45"/>
      <c r="F18" s="28" t="str">
        <f>IF(INDEX(I.Facility.IDNumber,6)="","",INDEX(I.Facility.IDNumber,6))</f>
        <v/>
      </c>
      <c r="G18" s="45"/>
      <c r="H18" s="28" t="str">
        <f>IF(AND(I.Facility.FacilityCount&gt;=6,F18=""),"Incomplete","Complete")</f>
        <v>Complete</v>
      </c>
      <c r="I18" s="46" t="s">
        <v>484</v>
      </c>
      <c r="K18" s="44" t="s">
        <v>154</v>
      </c>
      <c r="L18" s="47" t="s">
        <v>2218</v>
      </c>
      <c r="N18" s="44" t="s">
        <v>262</v>
      </c>
      <c r="O18" s="45" t="s">
        <v>2348</v>
      </c>
      <c r="P18" s="57" t="str">
        <f>IF(R.Electricity.Timestamp="","",R.Electricity.Timestamp)</f>
        <v/>
      </c>
      <c r="Q18" s="58"/>
      <c r="S18" s="50" t="s">
        <v>130</v>
      </c>
      <c r="T18" s="51">
        <v>1650</v>
      </c>
    </row>
    <row r="19" spans="2:20" ht="14.45" customHeight="1" x14ac:dyDescent="0.25">
      <c r="B19" s="44" t="s">
        <v>294</v>
      </c>
      <c r="C19" s="28">
        <v>7</v>
      </c>
      <c r="D19" s="45" t="s">
        <v>2010</v>
      </c>
      <c r="E19" s="45"/>
      <c r="F19" s="28" t="str">
        <f>IF(INDEX(I.Facility.IDNumber,7)="","",INDEX(I.Facility.IDNumber,7))</f>
        <v/>
      </c>
      <c r="G19" s="45"/>
      <c r="H19" s="28" t="str">
        <f>IF(AND(I.Facility.FacilityCount&gt;=7,F19=""),"Incomplete","Complete")</f>
        <v>Complete</v>
      </c>
      <c r="I19" s="46" t="s">
        <v>485</v>
      </c>
      <c r="K19" s="53" t="s">
        <v>155</v>
      </c>
      <c r="L19" s="61" t="s">
        <v>2219</v>
      </c>
      <c r="N19" s="53" t="s">
        <v>1944</v>
      </c>
      <c r="O19" s="54" t="s">
        <v>2349</v>
      </c>
      <c r="P19" s="55" t="str">
        <f>IF(R.Electricity.Notification="","",R.Electricity.Notification)</f>
        <v>Sheet complete.</v>
      </c>
      <c r="Q19" s="56"/>
      <c r="S19" s="50" t="s">
        <v>131</v>
      </c>
      <c r="T19" s="51">
        <v>3170</v>
      </c>
    </row>
    <row r="20" spans="2:20" ht="14.45" customHeight="1" x14ac:dyDescent="0.25">
      <c r="B20" s="44" t="s">
        <v>294</v>
      </c>
      <c r="C20" s="28">
        <v>8</v>
      </c>
      <c r="D20" s="45" t="s">
        <v>2010</v>
      </c>
      <c r="E20" s="45"/>
      <c r="F20" s="28" t="str">
        <f>IF(INDEX(I.Facility.IDNumber,8)="","",INDEX(I.Facility.IDNumber,8))</f>
        <v/>
      </c>
      <c r="G20" s="45"/>
      <c r="H20" s="28" t="str">
        <f>IF(AND(I.Facility.FacilityCount&gt;=8,F20=""),"Incomplete","Complete")</f>
        <v>Complete</v>
      </c>
      <c r="I20" s="46" t="s">
        <v>486</v>
      </c>
      <c r="K20" s="38" t="s">
        <v>156</v>
      </c>
      <c r="L20" s="39" t="s">
        <v>2220</v>
      </c>
      <c r="N20" s="34" t="s">
        <v>263</v>
      </c>
      <c r="O20" s="36" t="s">
        <v>2350</v>
      </c>
      <c r="P20" s="40"/>
      <c r="Q20" s="41"/>
      <c r="S20" s="50" t="s">
        <v>132</v>
      </c>
      <c r="T20" s="51">
        <v>1120</v>
      </c>
    </row>
    <row r="21" spans="2:20" ht="14.45" customHeight="1" x14ac:dyDescent="0.25">
      <c r="B21" s="44" t="s">
        <v>294</v>
      </c>
      <c r="C21" s="28">
        <v>9</v>
      </c>
      <c r="D21" s="45" t="s">
        <v>2010</v>
      </c>
      <c r="E21" s="45"/>
      <c r="F21" s="28" t="str">
        <f>IF(INDEX(I.Facility.IDNumber,9)="","",INDEX(I.Facility.IDNumber,9))</f>
        <v/>
      </c>
      <c r="G21" s="45"/>
      <c r="H21" s="28" t="str">
        <f>IF(AND(I.Facility.FacilityCount&gt;=9,F21=""),"Incomplete","Complete")</f>
        <v>Complete</v>
      </c>
      <c r="I21" s="46" t="s">
        <v>487</v>
      </c>
      <c r="K21" s="44" t="s">
        <v>157</v>
      </c>
      <c r="L21" s="47" t="s">
        <v>2221</v>
      </c>
      <c r="N21" s="44" t="s">
        <v>2366</v>
      </c>
      <c r="O21" s="45" t="s">
        <v>2367</v>
      </c>
      <c r="P21" s="57"/>
      <c r="Q21" s="58"/>
      <c r="S21" s="50" t="s">
        <v>133</v>
      </c>
      <c r="T21" s="51">
        <v>1300</v>
      </c>
    </row>
    <row r="22" spans="2:20" ht="14.45" customHeight="1" x14ac:dyDescent="0.25">
      <c r="B22" s="44" t="s">
        <v>294</v>
      </c>
      <c r="C22" s="28">
        <v>10</v>
      </c>
      <c r="D22" s="45" t="s">
        <v>2010</v>
      </c>
      <c r="E22" s="45"/>
      <c r="F22" s="28" t="str">
        <f>IF(INDEX(I.Facility.IDNumber,10)="","",INDEX(I.Facility.IDNumber,10))</f>
        <v/>
      </c>
      <c r="G22" s="45"/>
      <c r="H22" s="28" t="str">
        <f>IF(AND(I.Facility.FacilityCount&gt;=10,F22=""),"Incomplete","Complete")</f>
        <v>Complete</v>
      </c>
      <c r="I22" s="46" t="s">
        <v>488</v>
      </c>
      <c r="K22" s="44" t="s">
        <v>158</v>
      </c>
      <c r="L22" s="47" t="s">
        <v>2222</v>
      </c>
      <c r="N22" s="44" t="s">
        <v>264</v>
      </c>
      <c r="O22" s="45" t="s">
        <v>2351</v>
      </c>
      <c r="P22" s="57" t="str">
        <f>IF(R.Gas.Timestamp="","",R.Gas.Timestamp)</f>
        <v/>
      </c>
      <c r="Q22" s="58"/>
      <c r="S22" s="50" t="s">
        <v>134</v>
      </c>
      <c r="T22" s="51">
        <v>328</v>
      </c>
    </row>
    <row r="23" spans="2:20" ht="14.45" customHeight="1" x14ac:dyDescent="0.25">
      <c r="B23" s="44" t="s">
        <v>294</v>
      </c>
      <c r="C23" s="28">
        <v>11</v>
      </c>
      <c r="D23" s="45" t="s">
        <v>2010</v>
      </c>
      <c r="E23" s="45"/>
      <c r="F23" s="28" t="str">
        <f>IF(INDEX(I.Facility.IDNumber,11)="","",INDEX(I.Facility.IDNumber,11))</f>
        <v/>
      </c>
      <c r="G23" s="45"/>
      <c r="H23" s="28" t="str">
        <f>IF(AND(I.Facility.FacilityCount&gt;=11,F23=""),"Incomplete","Complete")</f>
        <v>Complete</v>
      </c>
      <c r="I23" s="46" t="s">
        <v>489</v>
      </c>
      <c r="K23" s="44" t="s">
        <v>159</v>
      </c>
      <c r="L23" s="47" t="s">
        <v>2223</v>
      </c>
      <c r="N23" s="53" t="s">
        <v>1945</v>
      </c>
      <c r="O23" s="54" t="s">
        <v>2352</v>
      </c>
      <c r="P23" s="55" t="str">
        <f>IF(R.Gas.Notification="","",R.Gas.Notification)</f>
        <v>Sheet complete.</v>
      </c>
      <c r="Q23" s="56"/>
      <c r="S23" s="50" t="s">
        <v>135</v>
      </c>
      <c r="T23" s="51">
        <v>4800</v>
      </c>
    </row>
    <row r="24" spans="2:20" ht="14.45" customHeight="1" x14ac:dyDescent="0.25">
      <c r="B24" s="44" t="s">
        <v>294</v>
      </c>
      <c r="C24" s="28">
        <v>12</v>
      </c>
      <c r="D24" s="45" t="s">
        <v>2010</v>
      </c>
      <c r="E24" s="45"/>
      <c r="F24" s="28" t="str">
        <f>IF(INDEX(I.Facility.IDNumber,12)="","",INDEX(I.Facility.IDNumber,12))</f>
        <v/>
      </c>
      <c r="G24" s="45"/>
      <c r="H24" s="28" t="str">
        <f>IF(AND(I.Facility.FacilityCount&gt;=12,F24=""),"Incomplete","Complete")</f>
        <v>Complete</v>
      </c>
      <c r="I24" s="46" t="s">
        <v>490</v>
      </c>
      <c r="K24" s="44" t="s">
        <v>160</v>
      </c>
      <c r="L24" s="47" t="s">
        <v>2224</v>
      </c>
      <c r="N24" s="34" t="s">
        <v>265</v>
      </c>
      <c r="O24" s="36" t="s">
        <v>2353</v>
      </c>
      <c r="P24" s="40"/>
      <c r="Q24" s="41"/>
      <c r="S24" s="50" t="s">
        <v>136</v>
      </c>
      <c r="T24" s="51">
        <v>138</v>
      </c>
    </row>
    <row r="25" spans="2:20" ht="14.45" customHeight="1" x14ac:dyDescent="0.25">
      <c r="B25" s="44" t="s">
        <v>294</v>
      </c>
      <c r="C25" s="28">
        <v>13</v>
      </c>
      <c r="D25" s="45" t="s">
        <v>2010</v>
      </c>
      <c r="E25" s="45"/>
      <c r="F25" s="28" t="str">
        <f>IF(INDEX(I.Facility.IDNumber,13)="","",INDEX(I.Facility.IDNumber,13))</f>
        <v/>
      </c>
      <c r="G25" s="45"/>
      <c r="H25" s="28" t="str">
        <f>IF(AND(I.Facility.FacilityCount&gt;=13,F25=""),"Incomplete","Complete")</f>
        <v>Complete</v>
      </c>
      <c r="I25" s="46" t="s">
        <v>491</v>
      </c>
      <c r="K25" s="44" t="s">
        <v>161</v>
      </c>
      <c r="L25" s="47" t="s">
        <v>2225</v>
      </c>
      <c r="N25" s="44" t="s">
        <v>266</v>
      </c>
      <c r="O25" s="45" t="s">
        <v>2354</v>
      </c>
      <c r="P25" s="57" t="str">
        <f>IF(R.Drilling.Timestamp="","",R.Drilling.Timestamp)</f>
        <v/>
      </c>
      <c r="Q25" s="58"/>
      <c r="S25" s="50" t="s">
        <v>137</v>
      </c>
      <c r="T25" s="51">
        <v>3350</v>
      </c>
    </row>
    <row r="26" spans="2:20" ht="14.45" customHeight="1" x14ac:dyDescent="0.25">
      <c r="B26" s="44" t="s">
        <v>294</v>
      </c>
      <c r="C26" s="28">
        <v>14</v>
      </c>
      <c r="D26" s="45" t="s">
        <v>2010</v>
      </c>
      <c r="E26" s="45"/>
      <c r="F26" s="28" t="str">
        <f>IF(INDEX(I.Facility.IDNumber,14)="","",INDEX(I.Facility.IDNumber,14))</f>
        <v/>
      </c>
      <c r="G26" s="45"/>
      <c r="H26" s="28" t="str">
        <f>IF(AND(I.Facility.FacilityCount&gt;=14,F26=""),"Incomplete","Complete")</f>
        <v>Complete</v>
      </c>
      <c r="I26" s="46" t="s">
        <v>492</v>
      </c>
      <c r="K26" s="44" t="s">
        <v>162</v>
      </c>
      <c r="L26" s="47" t="s">
        <v>2226</v>
      </c>
      <c r="N26" s="53" t="s">
        <v>1946</v>
      </c>
      <c r="O26" s="54" t="s">
        <v>2355</v>
      </c>
      <c r="P26" s="62" t="str">
        <f>IF(R.Drilling.Notification="","",R.Drilling.Notification)</f>
        <v>Sheet complete.</v>
      </c>
      <c r="Q26" s="68"/>
      <c r="S26" s="50" t="s">
        <v>138</v>
      </c>
      <c r="T26" s="51">
        <v>8060</v>
      </c>
    </row>
    <row r="27" spans="2:20" ht="14.45" customHeight="1" x14ac:dyDescent="0.25">
      <c r="B27" s="44" t="s">
        <v>294</v>
      </c>
      <c r="C27" s="28">
        <v>15</v>
      </c>
      <c r="D27" s="45" t="s">
        <v>2010</v>
      </c>
      <c r="E27" s="45"/>
      <c r="F27" s="28" t="str">
        <f>IF(INDEX(I.Facility.IDNumber,15)="","",INDEX(I.Facility.IDNumber,15))</f>
        <v/>
      </c>
      <c r="G27" s="45"/>
      <c r="H27" s="28" t="str">
        <f>IF(AND(I.Facility.FacilityCount&gt;=15,F27=""),"Incomplete","Complete")</f>
        <v>Complete</v>
      </c>
      <c r="I27" s="46" t="s">
        <v>493</v>
      </c>
      <c r="K27" s="44" t="s">
        <v>163</v>
      </c>
      <c r="L27" s="47" t="s">
        <v>2227</v>
      </c>
      <c r="N27" s="42" t="s">
        <v>1948</v>
      </c>
      <c r="O27" s="72" t="s">
        <v>2356</v>
      </c>
      <c r="P27" s="73"/>
      <c r="Q27" s="43"/>
      <c r="S27" s="75" t="s">
        <v>139</v>
      </c>
      <c r="T27" s="76">
        <v>716</v>
      </c>
    </row>
    <row r="28" spans="2:20" ht="14.45" customHeight="1" x14ac:dyDescent="0.25">
      <c r="B28" s="44" t="s">
        <v>294</v>
      </c>
      <c r="C28" s="28">
        <v>16</v>
      </c>
      <c r="D28" s="45" t="s">
        <v>2010</v>
      </c>
      <c r="E28" s="45"/>
      <c r="F28" s="28" t="str">
        <f>IF(INDEX(I.Facility.IDNumber,16)="","",INDEX(I.Facility.IDNumber,16))</f>
        <v/>
      </c>
      <c r="G28" s="45"/>
      <c r="H28" s="28" t="str">
        <f>IF(AND(I.Facility.FacilityCount&gt;=16,F28=""),"Incomplete","Complete")</f>
        <v>Complete</v>
      </c>
      <c r="I28" s="46" t="s">
        <v>494</v>
      </c>
      <c r="K28" s="44" t="s">
        <v>164</v>
      </c>
      <c r="L28" s="47" t="s">
        <v>2228</v>
      </c>
      <c r="N28" s="50" t="s">
        <v>1939</v>
      </c>
      <c r="O28" s="74" t="s">
        <v>2357</v>
      </c>
      <c r="P28" s="57" t="str">
        <f>IF(R.Compliance.Timestamp="","",R.Compliance.Timestamp)</f>
        <v/>
      </c>
      <c r="Q28" s="46"/>
      <c r="S28" s="78" t="s">
        <v>1716</v>
      </c>
      <c r="T28" s="79">
        <v>0.98750000000000004</v>
      </c>
    </row>
    <row r="29" spans="2:20" ht="14.45" customHeight="1" x14ac:dyDescent="0.25">
      <c r="B29" s="44" t="s">
        <v>294</v>
      </c>
      <c r="C29" s="28">
        <v>17</v>
      </c>
      <c r="D29" s="45" t="s">
        <v>2010</v>
      </c>
      <c r="E29" s="45"/>
      <c r="F29" s="28" t="str">
        <f>IF(INDEX(I.Facility.IDNumber,17)="","",INDEX(I.Facility.IDNumber,17))</f>
        <v/>
      </c>
      <c r="G29" s="45"/>
      <c r="H29" s="28" t="str">
        <f>IF(AND(I.Facility.FacilityCount&gt;=17,F29=""),"Incomplete","Complete")</f>
        <v>Complete</v>
      </c>
      <c r="I29" s="46" t="s">
        <v>495</v>
      </c>
      <c r="K29" s="53" t="s">
        <v>165</v>
      </c>
      <c r="L29" s="61" t="s">
        <v>2229</v>
      </c>
      <c r="N29" s="75" t="s">
        <v>1940</v>
      </c>
      <c r="O29" s="77" t="s">
        <v>2358</v>
      </c>
      <c r="P29" s="62" t="str">
        <f>IF(R.Compliance.Notification="","",R.Compliance.Notification)</f>
        <v>Indicate if product 1 has industrial process emissions on its baseline.</v>
      </c>
      <c r="Q29" s="68"/>
      <c r="S29" s="80" t="s">
        <v>1717</v>
      </c>
      <c r="T29" s="81">
        <v>0.97499999999999998</v>
      </c>
    </row>
    <row r="30" spans="2:20" ht="14.45" customHeight="1" x14ac:dyDescent="0.25">
      <c r="B30" s="44" t="s">
        <v>294</v>
      </c>
      <c r="C30" s="28">
        <v>18</v>
      </c>
      <c r="D30" s="45" t="s">
        <v>2010</v>
      </c>
      <c r="E30" s="45"/>
      <c r="F30" s="28" t="str">
        <f>IF(INDEX(I.Facility.IDNumber,18)="","",INDEX(I.Facility.IDNumber,18))</f>
        <v/>
      </c>
      <c r="G30" s="45"/>
      <c r="H30" s="28" t="str">
        <f>IF(AND(I.Facility.FacilityCount&gt;=18,F30=""),"Incomplete","Complete")</f>
        <v>Complete</v>
      </c>
      <c r="I30" s="46" t="s">
        <v>496</v>
      </c>
      <c r="K30" s="38" t="s">
        <v>166</v>
      </c>
      <c r="L30" s="39" t="s">
        <v>2230</v>
      </c>
      <c r="N30" s="34" t="s">
        <v>267</v>
      </c>
      <c r="O30" s="36" t="s">
        <v>2359</v>
      </c>
      <c r="P30" s="40"/>
      <c r="Q30" s="37"/>
      <c r="S30" s="80" t="s">
        <v>1718</v>
      </c>
      <c r="T30" s="81">
        <v>0.96250000000000002</v>
      </c>
    </row>
    <row r="31" spans="2:20" ht="14.45" customHeight="1" x14ac:dyDescent="0.25">
      <c r="B31" s="44" t="s">
        <v>294</v>
      </c>
      <c r="C31" s="28">
        <v>19</v>
      </c>
      <c r="D31" s="45" t="s">
        <v>2010</v>
      </c>
      <c r="E31" s="45"/>
      <c r="F31" s="28" t="str">
        <f>IF(INDEX(I.Facility.IDNumber,19)="","",INDEX(I.Facility.IDNumber,19))</f>
        <v/>
      </c>
      <c r="G31" s="45"/>
      <c r="H31" s="28" t="str">
        <f>IF(AND(I.Facility.FacilityCount&gt;=19,F31=""),"Incomplete","Complete")</f>
        <v>Complete</v>
      </c>
      <c r="I31" s="46" t="s">
        <v>497</v>
      </c>
      <c r="K31" s="44" t="s">
        <v>167</v>
      </c>
      <c r="L31" s="47" t="s">
        <v>2231</v>
      </c>
      <c r="N31" s="44" t="s">
        <v>268</v>
      </c>
      <c r="O31" s="45" t="s">
        <v>2360</v>
      </c>
      <c r="P31" s="57" t="str">
        <f>IF(R.Declaration.Timestamp="","",R.Declaration.Timestamp)</f>
        <v/>
      </c>
      <c r="Q31" s="46"/>
      <c r="S31" s="80" t="s">
        <v>1719</v>
      </c>
      <c r="T31" s="81">
        <v>0.95</v>
      </c>
    </row>
    <row r="32" spans="2:20" ht="14.45" customHeight="1" x14ac:dyDescent="0.25">
      <c r="B32" s="44" t="s">
        <v>294</v>
      </c>
      <c r="C32" s="28">
        <v>20</v>
      </c>
      <c r="D32" s="45" t="s">
        <v>2010</v>
      </c>
      <c r="E32" s="45"/>
      <c r="F32" s="28" t="str">
        <f>IF(INDEX(I.Facility.IDNumber,20)="","",INDEX(I.Facility.IDNumber,20))</f>
        <v/>
      </c>
      <c r="G32" s="45"/>
      <c r="H32" s="28" t="str">
        <f>IF(AND(I.Facility.FacilityCount&gt;=20,F32=""),"Incomplete","Complete")</f>
        <v>Complete</v>
      </c>
      <c r="I32" s="46" t="s">
        <v>498</v>
      </c>
      <c r="K32" s="44" t="s">
        <v>168</v>
      </c>
      <c r="L32" s="47" t="s">
        <v>2232</v>
      </c>
      <c r="N32" s="44" t="s">
        <v>1975</v>
      </c>
      <c r="O32" s="45" t="s">
        <v>2361</v>
      </c>
      <c r="P32" s="57"/>
      <c r="Q32" s="46"/>
      <c r="S32" s="80" t="s">
        <v>1720</v>
      </c>
      <c r="T32" s="81">
        <v>0.9375</v>
      </c>
    </row>
    <row r="33" spans="2:20" ht="14.45" customHeight="1" x14ac:dyDescent="0.25">
      <c r="B33" s="44" t="s">
        <v>294</v>
      </c>
      <c r="C33" s="28">
        <v>21</v>
      </c>
      <c r="D33" s="45" t="s">
        <v>2010</v>
      </c>
      <c r="E33" s="45"/>
      <c r="F33" s="28" t="str">
        <f>IF(INDEX(I.Facility.IDNumber,21)="","",INDEX(I.Facility.IDNumber,21))</f>
        <v/>
      </c>
      <c r="G33" s="45"/>
      <c r="H33" s="28" t="str">
        <f>IF(AND(I.Facility.FacilityCount&gt;=21,F33=""),"Incomplete","Complete")</f>
        <v>Complete</v>
      </c>
      <c r="I33" s="46" t="s">
        <v>499</v>
      </c>
      <c r="K33" s="44" t="s">
        <v>169</v>
      </c>
      <c r="L33" s="47" t="s">
        <v>2233</v>
      </c>
      <c r="N33" s="53" t="s">
        <v>1947</v>
      </c>
      <c r="O33" s="54" t="s">
        <v>2362</v>
      </c>
      <c r="P33" s="62" t="str">
        <f>IF(R.Declaration.Notification="","",R.Declaration.Notification)</f>
        <v>Enter the name of the authorized signing officer.</v>
      </c>
      <c r="Q33" s="68"/>
      <c r="S33" s="80" t="s">
        <v>1721</v>
      </c>
      <c r="T33" s="81">
        <v>0.92500000000000004</v>
      </c>
    </row>
    <row r="34" spans="2:20" ht="14.45" customHeight="1" x14ac:dyDescent="0.25">
      <c r="B34" s="44" t="s">
        <v>294</v>
      </c>
      <c r="C34" s="28">
        <v>22</v>
      </c>
      <c r="D34" s="45" t="s">
        <v>2010</v>
      </c>
      <c r="E34" s="45"/>
      <c r="F34" s="28" t="str">
        <f>IF(INDEX(I.Facility.IDNumber,22)="","",INDEX(I.Facility.IDNumber,22))</f>
        <v/>
      </c>
      <c r="G34" s="45"/>
      <c r="H34" s="28" t="str">
        <f>IF(AND(I.Facility.FacilityCount&gt;=22,F34=""),"Incomplete","Complete")</f>
        <v>Complete</v>
      </c>
      <c r="I34" s="46" t="s">
        <v>500</v>
      </c>
      <c r="K34" s="44" t="s">
        <v>170</v>
      </c>
      <c r="L34" s="47" t="s">
        <v>2234</v>
      </c>
      <c r="N34" s="38" t="s">
        <v>269</v>
      </c>
      <c r="O34" s="69" t="s">
        <v>2370</v>
      </c>
      <c r="P34" s="70"/>
      <c r="Q34" s="71"/>
      <c r="S34" s="80" t="s">
        <v>1722</v>
      </c>
      <c r="T34" s="81">
        <v>0.91249999999999998</v>
      </c>
    </row>
    <row r="35" spans="2:20" ht="14.45" customHeight="1" x14ac:dyDescent="0.25">
      <c r="B35" s="44" t="s">
        <v>294</v>
      </c>
      <c r="C35" s="28">
        <v>23</v>
      </c>
      <c r="D35" s="45" t="s">
        <v>2010</v>
      </c>
      <c r="E35" s="45"/>
      <c r="F35" s="28" t="str">
        <f>IF(INDEX(I.Facility.IDNumber,23)="","",INDEX(I.Facility.IDNumber,23))</f>
        <v/>
      </c>
      <c r="G35" s="45"/>
      <c r="H35" s="28" t="str">
        <f>IF(AND(I.Facility.FacilityCount&gt;=23,F35=""),"Incomplete","Complete")</f>
        <v>Complete</v>
      </c>
      <c r="I35" s="46" t="s">
        <v>501</v>
      </c>
      <c r="K35" s="44" t="s">
        <v>171</v>
      </c>
      <c r="L35" s="47" t="s">
        <v>2235</v>
      </c>
      <c r="N35" s="44" t="s">
        <v>285</v>
      </c>
      <c r="O35" s="45" t="s">
        <v>2368</v>
      </c>
      <c r="P35" s="82"/>
      <c r="Q35" s="46"/>
      <c r="S35" s="80" t="s">
        <v>1723</v>
      </c>
      <c r="T35" s="81">
        <v>0.9</v>
      </c>
    </row>
    <row r="36" spans="2:20" ht="14.45" customHeight="1" x14ac:dyDescent="0.25">
      <c r="B36" s="44" t="s">
        <v>294</v>
      </c>
      <c r="C36" s="28">
        <v>24</v>
      </c>
      <c r="D36" s="45" t="s">
        <v>2010</v>
      </c>
      <c r="E36" s="45"/>
      <c r="F36" s="28" t="str">
        <f>IF(INDEX(I.Facility.IDNumber,24)="","",INDEX(I.Facility.IDNumber,24))</f>
        <v/>
      </c>
      <c r="G36" s="45"/>
      <c r="H36" s="28" t="str">
        <f>IF(AND(I.Facility.FacilityCount&gt;=24,F36=""),"Incomplete","Complete")</f>
        <v>Complete</v>
      </c>
      <c r="I36" s="46" t="s">
        <v>502</v>
      </c>
      <c r="K36" s="44" t="s">
        <v>172</v>
      </c>
      <c r="L36" s="47" t="s">
        <v>2236</v>
      </c>
      <c r="N36" s="44"/>
      <c r="O36" s="45"/>
      <c r="P36" s="57" t="s">
        <v>270</v>
      </c>
      <c r="Q36" s="46"/>
      <c r="S36" s="80" t="s">
        <v>1724</v>
      </c>
      <c r="T36" s="81">
        <v>0.88749999999999996</v>
      </c>
    </row>
    <row r="37" spans="2:20" ht="14.45" customHeight="1" x14ac:dyDescent="0.25">
      <c r="B37" s="44" t="s">
        <v>294</v>
      </c>
      <c r="C37" s="28">
        <v>25</v>
      </c>
      <c r="D37" s="45" t="s">
        <v>2010</v>
      </c>
      <c r="E37" s="45"/>
      <c r="F37" s="28" t="str">
        <f>IF(INDEX(I.Facility.IDNumber,25)="","",INDEX(I.Facility.IDNumber,25))</f>
        <v/>
      </c>
      <c r="G37" s="45"/>
      <c r="H37" s="28" t="str">
        <f>IF(AND(I.Facility.FacilityCount&gt;=25,F37=""),"Incomplete","Complete")</f>
        <v>Complete</v>
      </c>
      <c r="I37" s="46" t="s">
        <v>503</v>
      </c>
      <c r="K37" s="44" t="s">
        <v>173</v>
      </c>
      <c r="L37" s="47" t="s">
        <v>2237</v>
      </c>
      <c r="N37" s="44"/>
      <c r="O37" s="45"/>
      <c r="P37" s="57" t="s">
        <v>271</v>
      </c>
      <c r="Q37" s="46"/>
      <c r="S37" s="80" t="s">
        <v>1725</v>
      </c>
      <c r="T37" s="81">
        <v>0.875</v>
      </c>
    </row>
    <row r="38" spans="2:20" ht="14.45" customHeight="1" x14ac:dyDescent="0.25">
      <c r="B38" s="44" t="s">
        <v>294</v>
      </c>
      <c r="C38" s="28">
        <v>26</v>
      </c>
      <c r="D38" s="45" t="s">
        <v>2010</v>
      </c>
      <c r="E38" s="45"/>
      <c r="F38" s="28" t="str">
        <f>IF(INDEX(I.Facility.IDNumber,26)="","",INDEX(I.Facility.IDNumber,26))</f>
        <v/>
      </c>
      <c r="G38" s="45"/>
      <c r="H38" s="28" t="str">
        <f>IF(AND(I.Facility.FacilityCount&gt;=26,F38=""),"Incomplete","Complete")</f>
        <v>Complete</v>
      </c>
      <c r="I38" s="46" t="s">
        <v>504</v>
      </c>
      <c r="K38" s="44" t="s">
        <v>174</v>
      </c>
      <c r="L38" s="47" t="s">
        <v>2238</v>
      </c>
      <c r="N38" s="44"/>
      <c r="O38" s="45"/>
      <c r="P38" s="57" t="s">
        <v>272</v>
      </c>
      <c r="Q38" s="46"/>
      <c r="S38" s="80" t="s">
        <v>1726</v>
      </c>
      <c r="T38" s="81">
        <v>0.86250000000000004</v>
      </c>
    </row>
    <row r="39" spans="2:20" ht="14.45" customHeight="1" x14ac:dyDescent="0.25">
      <c r="B39" s="44" t="s">
        <v>294</v>
      </c>
      <c r="C39" s="28">
        <v>27</v>
      </c>
      <c r="D39" s="45" t="s">
        <v>2010</v>
      </c>
      <c r="E39" s="45"/>
      <c r="F39" s="28" t="str">
        <f>IF(INDEX(I.Facility.IDNumber,27)="","",INDEX(I.Facility.IDNumber,27))</f>
        <v/>
      </c>
      <c r="G39" s="45"/>
      <c r="H39" s="28" t="str">
        <f>IF(AND(I.Facility.FacilityCount&gt;=27,F39=""),"Incomplete","Complete")</f>
        <v>Complete</v>
      </c>
      <c r="I39" s="46" t="s">
        <v>505</v>
      </c>
      <c r="K39" s="53" t="s">
        <v>175</v>
      </c>
      <c r="L39" s="61" t="s">
        <v>2239</v>
      </c>
      <c r="N39" s="44"/>
      <c r="O39" s="45"/>
      <c r="P39" s="57" t="s">
        <v>273</v>
      </c>
      <c r="Q39" s="46"/>
      <c r="S39" s="83" t="s">
        <v>1727</v>
      </c>
      <c r="T39" s="84">
        <v>0.85</v>
      </c>
    </row>
    <row r="40" spans="2:20" ht="14.45" customHeight="1" x14ac:dyDescent="0.25">
      <c r="B40" s="44" t="s">
        <v>294</v>
      </c>
      <c r="C40" s="28">
        <v>28</v>
      </c>
      <c r="D40" s="45" t="s">
        <v>2010</v>
      </c>
      <c r="E40" s="45"/>
      <c r="F40" s="28" t="str">
        <f>IF(INDEX(I.Facility.IDNumber,28)="","",INDEX(I.Facility.IDNumber,28))</f>
        <v/>
      </c>
      <c r="G40" s="45"/>
      <c r="H40" s="28" t="str">
        <f>IF(AND(I.Facility.FacilityCount&gt;=28,F40=""),"Incomplete","Complete")</f>
        <v>Complete</v>
      </c>
      <c r="I40" s="46" t="s">
        <v>506</v>
      </c>
      <c r="K40" s="38" t="s">
        <v>176</v>
      </c>
      <c r="L40" s="39" t="s">
        <v>2240</v>
      </c>
      <c r="N40" s="44"/>
      <c r="O40" s="45"/>
      <c r="P40" s="57" t="s">
        <v>274</v>
      </c>
      <c r="Q40" s="46"/>
      <c r="S40" s="80" t="s">
        <v>1728</v>
      </c>
      <c r="T40" s="81">
        <v>0.98750000000000004</v>
      </c>
    </row>
    <row r="41" spans="2:20" ht="14.45" customHeight="1" x14ac:dyDescent="0.25">
      <c r="B41" s="44" t="s">
        <v>294</v>
      </c>
      <c r="C41" s="28">
        <v>29</v>
      </c>
      <c r="D41" s="45" t="s">
        <v>2010</v>
      </c>
      <c r="E41" s="45"/>
      <c r="F41" s="28" t="str">
        <f>IF(INDEX(I.Facility.IDNumber,29)="","",INDEX(I.Facility.IDNumber,29))</f>
        <v/>
      </c>
      <c r="G41" s="45"/>
      <c r="H41" s="28" t="str">
        <f>IF(AND(I.Facility.FacilityCount&gt;=29,F41=""),"Incomplete","Complete")</f>
        <v>Complete</v>
      </c>
      <c r="I41" s="46" t="s">
        <v>507</v>
      </c>
      <c r="K41" s="44" t="s">
        <v>177</v>
      </c>
      <c r="L41" s="47" t="s">
        <v>2241</v>
      </c>
      <c r="N41" s="44"/>
      <c r="O41" s="45"/>
      <c r="P41" s="57" t="s">
        <v>275</v>
      </c>
      <c r="Q41" s="46"/>
      <c r="S41" s="80" t="s">
        <v>1729</v>
      </c>
      <c r="T41" s="81">
        <v>0.97499999999999998</v>
      </c>
    </row>
    <row r="42" spans="2:20" ht="14.45" customHeight="1" x14ac:dyDescent="0.25">
      <c r="B42" s="44" t="s">
        <v>294</v>
      </c>
      <c r="C42" s="28">
        <v>30</v>
      </c>
      <c r="D42" s="45" t="s">
        <v>2010</v>
      </c>
      <c r="E42" s="45"/>
      <c r="F42" s="28" t="str">
        <f>IF(INDEX(I.Facility.IDNumber,30)="","",INDEX(I.Facility.IDNumber,30))</f>
        <v/>
      </c>
      <c r="G42" s="45"/>
      <c r="H42" s="28" t="str">
        <f>IF(AND(I.Facility.FacilityCount&gt;=30,F42=""),"Incomplete","Complete")</f>
        <v>Complete</v>
      </c>
      <c r="I42" s="46" t="s">
        <v>508</v>
      </c>
      <c r="K42" s="44" t="s">
        <v>178</v>
      </c>
      <c r="L42" s="47" t="s">
        <v>2242</v>
      </c>
      <c r="N42" s="44"/>
      <c r="O42" s="45"/>
      <c r="P42" s="57" t="s">
        <v>276</v>
      </c>
      <c r="Q42" s="46"/>
      <c r="S42" s="80" t="s">
        <v>1730</v>
      </c>
      <c r="T42" s="81">
        <v>0.96250000000000002</v>
      </c>
    </row>
    <row r="43" spans="2:20" ht="14.45" customHeight="1" x14ac:dyDescent="0.25">
      <c r="B43" s="44" t="s">
        <v>294</v>
      </c>
      <c r="C43" s="28">
        <v>31</v>
      </c>
      <c r="D43" s="45" t="s">
        <v>2010</v>
      </c>
      <c r="E43" s="45"/>
      <c r="F43" s="28" t="str">
        <f>IF(INDEX(I.Facility.IDNumber,31)="","",INDEX(I.Facility.IDNumber,31))</f>
        <v/>
      </c>
      <c r="G43" s="45"/>
      <c r="H43" s="28" t="str">
        <f>IF(AND(I.Facility.FacilityCount&gt;=31,F43=""),"Incomplete","Complete")</f>
        <v>Complete</v>
      </c>
      <c r="I43" s="46" t="s">
        <v>509</v>
      </c>
      <c r="K43" s="44" t="s">
        <v>179</v>
      </c>
      <c r="L43" s="47" t="s">
        <v>2243</v>
      </c>
      <c r="N43" s="50"/>
      <c r="O43" s="74"/>
      <c r="P43" s="57" t="s">
        <v>277</v>
      </c>
      <c r="Q43" s="51"/>
      <c r="S43" s="80" t="s">
        <v>1731</v>
      </c>
      <c r="T43" s="81">
        <v>0.95</v>
      </c>
    </row>
    <row r="44" spans="2:20" ht="14.45" customHeight="1" x14ac:dyDescent="0.25">
      <c r="B44" s="44" t="s">
        <v>294</v>
      </c>
      <c r="C44" s="28">
        <v>32</v>
      </c>
      <c r="D44" s="45" t="s">
        <v>2010</v>
      </c>
      <c r="E44" s="45"/>
      <c r="F44" s="28" t="str">
        <f>IF(INDEX(I.Facility.IDNumber,32)="","",INDEX(I.Facility.IDNumber,32))</f>
        <v/>
      </c>
      <c r="G44" s="45"/>
      <c r="H44" s="28" t="str">
        <f>IF(AND(I.Facility.FacilityCount&gt;=32,F44=""),"Incomplete","Complete")</f>
        <v>Complete</v>
      </c>
      <c r="I44" s="46" t="s">
        <v>510</v>
      </c>
      <c r="K44" s="44" t="s">
        <v>180</v>
      </c>
      <c r="L44" s="47" t="s">
        <v>2244</v>
      </c>
      <c r="N44" s="50"/>
      <c r="O44" s="74"/>
      <c r="P44" s="57" t="s">
        <v>278</v>
      </c>
      <c r="Q44" s="51"/>
      <c r="S44" s="80" t="s">
        <v>1732</v>
      </c>
      <c r="T44" s="81">
        <v>0.9375</v>
      </c>
    </row>
    <row r="45" spans="2:20" ht="14.45" customHeight="1" x14ac:dyDescent="0.25">
      <c r="B45" s="44" t="s">
        <v>294</v>
      </c>
      <c r="C45" s="28">
        <v>33</v>
      </c>
      <c r="D45" s="45" t="s">
        <v>2010</v>
      </c>
      <c r="E45" s="45"/>
      <c r="F45" s="28" t="str">
        <f>IF(INDEX(I.Facility.IDNumber,33)="","",INDEX(I.Facility.IDNumber,33))</f>
        <v/>
      </c>
      <c r="G45" s="45"/>
      <c r="H45" s="28" t="str">
        <f>IF(AND(I.Facility.FacilityCount&gt;=33,F45=""),"Incomplete","Complete")</f>
        <v>Complete</v>
      </c>
      <c r="I45" s="46" t="s">
        <v>511</v>
      </c>
      <c r="K45" s="44" t="s">
        <v>181</v>
      </c>
      <c r="L45" s="47" t="s">
        <v>2245</v>
      </c>
      <c r="N45" s="50"/>
      <c r="O45" s="74"/>
      <c r="P45" s="57" t="s">
        <v>279</v>
      </c>
      <c r="Q45" s="51"/>
      <c r="S45" s="80" t="s">
        <v>1733</v>
      </c>
      <c r="T45" s="81">
        <v>0.92500000000000004</v>
      </c>
    </row>
    <row r="46" spans="2:20" ht="14.45" customHeight="1" x14ac:dyDescent="0.25">
      <c r="B46" s="44" t="s">
        <v>294</v>
      </c>
      <c r="C46" s="28">
        <v>34</v>
      </c>
      <c r="D46" s="45" t="s">
        <v>2010</v>
      </c>
      <c r="E46" s="45"/>
      <c r="F46" s="28" t="str">
        <f>IF(INDEX(I.Facility.IDNumber,34)="","",INDEX(I.Facility.IDNumber,34))</f>
        <v/>
      </c>
      <c r="G46" s="45"/>
      <c r="H46" s="28" t="str">
        <f>IF(AND(I.Facility.FacilityCount&gt;=34,F46=""),"Incomplete","Complete")</f>
        <v>Complete</v>
      </c>
      <c r="I46" s="46" t="s">
        <v>512</v>
      </c>
      <c r="K46" s="44" t="s">
        <v>182</v>
      </c>
      <c r="L46" s="47" t="s">
        <v>2246</v>
      </c>
      <c r="N46" s="50"/>
      <c r="O46" s="74"/>
      <c r="P46" s="57" t="s">
        <v>280</v>
      </c>
      <c r="Q46" s="51"/>
      <c r="S46" s="80" t="s">
        <v>1734</v>
      </c>
      <c r="T46" s="81">
        <v>0.91249999999999998</v>
      </c>
    </row>
    <row r="47" spans="2:20" ht="14.45" customHeight="1" x14ac:dyDescent="0.25">
      <c r="B47" s="44" t="s">
        <v>294</v>
      </c>
      <c r="C47" s="28">
        <v>35</v>
      </c>
      <c r="D47" s="45" t="s">
        <v>2010</v>
      </c>
      <c r="E47" s="45"/>
      <c r="F47" s="28" t="str">
        <f>IF(INDEX(I.Facility.IDNumber,35)="","",INDEX(I.Facility.IDNumber,35))</f>
        <v/>
      </c>
      <c r="G47" s="45"/>
      <c r="H47" s="28" t="str">
        <f>IF(AND(I.Facility.FacilityCount&gt;=35,F47=""),"Incomplete","Complete")</f>
        <v>Complete</v>
      </c>
      <c r="I47" s="46" t="s">
        <v>513</v>
      </c>
      <c r="K47" s="44" t="s">
        <v>183</v>
      </c>
      <c r="L47" s="47" t="s">
        <v>2247</v>
      </c>
      <c r="N47" s="50"/>
      <c r="O47" s="74"/>
      <c r="P47" s="57" t="s">
        <v>281</v>
      </c>
      <c r="Q47" s="51"/>
      <c r="S47" s="80" t="s">
        <v>1735</v>
      </c>
      <c r="T47" s="81">
        <v>0.9</v>
      </c>
    </row>
    <row r="48" spans="2:20" ht="14.45" customHeight="1" x14ac:dyDescent="0.25">
      <c r="B48" s="44" t="s">
        <v>294</v>
      </c>
      <c r="C48" s="28">
        <v>36</v>
      </c>
      <c r="D48" s="45" t="s">
        <v>2010</v>
      </c>
      <c r="E48" s="45"/>
      <c r="F48" s="28" t="str">
        <f>IF(INDEX(I.Facility.IDNumber,36)="","",INDEX(I.Facility.IDNumber,36))</f>
        <v/>
      </c>
      <c r="G48" s="45"/>
      <c r="H48" s="28" t="str">
        <f>IF(AND(I.Facility.FacilityCount&gt;=36,F48=""),"Incomplete","Complete")</f>
        <v>Complete</v>
      </c>
      <c r="I48" s="46" t="s">
        <v>514</v>
      </c>
      <c r="K48" s="44" t="s">
        <v>184</v>
      </c>
      <c r="L48" s="47" t="s">
        <v>2248</v>
      </c>
      <c r="M48" s="50"/>
      <c r="N48" s="50"/>
      <c r="O48" s="74"/>
      <c r="P48" s="57" t="s">
        <v>282</v>
      </c>
      <c r="Q48" s="51"/>
      <c r="S48" s="80" t="s">
        <v>1736</v>
      </c>
      <c r="T48" s="81">
        <v>0.88749999999999996</v>
      </c>
    </row>
    <row r="49" spans="2:20" ht="14.45" customHeight="1" x14ac:dyDescent="0.25">
      <c r="B49" s="44" t="s">
        <v>294</v>
      </c>
      <c r="C49" s="28">
        <v>37</v>
      </c>
      <c r="D49" s="45" t="s">
        <v>2010</v>
      </c>
      <c r="E49" s="45"/>
      <c r="F49" s="28" t="str">
        <f>IF(INDEX(I.Facility.IDNumber,37)="","",INDEX(I.Facility.IDNumber,37))</f>
        <v/>
      </c>
      <c r="G49" s="45"/>
      <c r="H49" s="28" t="str">
        <f>IF(AND(I.Facility.FacilityCount&gt;=37,F49=""),"Incomplete","Complete")</f>
        <v>Complete</v>
      </c>
      <c r="I49" s="46" t="s">
        <v>515</v>
      </c>
      <c r="K49" s="53" t="s">
        <v>185</v>
      </c>
      <c r="L49" s="61" t="s">
        <v>2249</v>
      </c>
      <c r="N49" s="50"/>
      <c r="O49" s="74"/>
      <c r="P49" s="57" t="s">
        <v>283</v>
      </c>
      <c r="Q49" s="51"/>
      <c r="S49" s="80" t="s">
        <v>1737</v>
      </c>
      <c r="T49" s="81">
        <v>0.875</v>
      </c>
    </row>
    <row r="50" spans="2:20" ht="14.45" customHeight="1" x14ac:dyDescent="0.25">
      <c r="B50" s="44" t="s">
        <v>294</v>
      </c>
      <c r="C50" s="28">
        <v>38</v>
      </c>
      <c r="D50" s="45" t="s">
        <v>2010</v>
      </c>
      <c r="E50" s="45"/>
      <c r="F50" s="28" t="str">
        <f>IF(INDEX(I.Facility.IDNumber,38)="","",INDEX(I.Facility.IDNumber,38))</f>
        <v/>
      </c>
      <c r="G50" s="45"/>
      <c r="H50" s="28" t="str">
        <f>IF(AND(I.Facility.FacilityCount&gt;=38,F50=""),"Incomplete","Complete")</f>
        <v>Complete</v>
      </c>
      <c r="I50" s="46" t="s">
        <v>516</v>
      </c>
      <c r="K50" s="38" t="s">
        <v>186</v>
      </c>
      <c r="L50" s="39" t="s">
        <v>2250</v>
      </c>
      <c r="N50" s="75"/>
      <c r="O50" s="94"/>
      <c r="P50" s="62" t="s">
        <v>284</v>
      </c>
      <c r="Q50" s="76"/>
      <c r="S50" s="80" t="s">
        <v>1738</v>
      </c>
      <c r="T50" s="81">
        <v>0.86250000000000004</v>
      </c>
    </row>
    <row r="51" spans="2:20" ht="14.45" customHeight="1" x14ac:dyDescent="0.25">
      <c r="B51" s="44" t="s">
        <v>294</v>
      </c>
      <c r="C51" s="28">
        <v>39</v>
      </c>
      <c r="D51" s="45" t="s">
        <v>2010</v>
      </c>
      <c r="E51" s="45"/>
      <c r="F51" s="28" t="str">
        <f>IF(INDEX(I.Facility.IDNumber,39)="","",INDEX(I.Facility.IDNumber,39))</f>
        <v/>
      </c>
      <c r="G51" s="45"/>
      <c r="H51" s="28" t="str">
        <f>IF(AND(I.Facility.FacilityCount&gt;=39,F51=""),"Incomplete","Complete")</f>
        <v>Complete</v>
      </c>
      <c r="I51" s="46" t="s">
        <v>517</v>
      </c>
      <c r="K51" s="44" t="s">
        <v>187</v>
      </c>
      <c r="L51" s="47" t="s">
        <v>2251</v>
      </c>
      <c r="S51" s="83" t="s">
        <v>1739</v>
      </c>
      <c r="T51" s="84">
        <v>0.85</v>
      </c>
    </row>
    <row r="52" spans="2:20" ht="14.45" customHeight="1" x14ac:dyDescent="0.25">
      <c r="B52" s="44" t="s">
        <v>294</v>
      </c>
      <c r="C52" s="28">
        <v>40</v>
      </c>
      <c r="D52" s="45" t="s">
        <v>2010</v>
      </c>
      <c r="E52" s="45"/>
      <c r="F52" s="28" t="str">
        <f>IF(INDEX(I.Facility.IDNumber,40)="","",INDEX(I.Facility.IDNumber,40))</f>
        <v/>
      </c>
      <c r="G52" s="45"/>
      <c r="H52" s="28" t="str">
        <f>IF(AND(I.Facility.FacilityCount&gt;=40,F52=""),"Incomplete","Complete")</f>
        <v>Complete</v>
      </c>
      <c r="I52" s="46" t="s">
        <v>518</v>
      </c>
      <c r="K52" s="44" t="s">
        <v>188</v>
      </c>
      <c r="L52" s="47" t="s">
        <v>2252</v>
      </c>
      <c r="S52" s="80" t="s">
        <v>1740</v>
      </c>
      <c r="T52" s="81">
        <v>0.98750000000000004</v>
      </c>
    </row>
    <row r="53" spans="2:20" ht="14.45" customHeight="1" x14ac:dyDescent="0.25">
      <c r="B53" s="44" t="s">
        <v>294</v>
      </c>
      <c r="C53" s="28">
        <v>41</v>
      </c>
      <c r="D53" s="45" t="s">
        <v>2010</v>
      </c>
      <c r="E53" s="45"/>
      <c r="F53" s="28" t="str">
        <f>IF(INDEX(I.Facility.IDNumber,41)="","",INDEX(I.Facility.IDNumber,41))</f>
        <v/>
      </c>
      <c r="G53" s="45"/>
      <c r="H53" s="28" t="str">
        <f>IF(AND(I.Facility.FacilityCount&gt;=41,F53=""),"Incomplete","Complete")</f>
        <v>Complete</v>
      </c>
      <c r="I53" s="46" t="s">
        <v>519</v>
      </c>
      <c r="K53" s="44" t="s">
        <v>189</v>
      </c>
      <c r="L53" s="47" t="s">
        <v>2253</v>
      </c>
      <c r="S53" s="80" t="s">
        <v>1741</v>
      </c>
      <c r="T53" s="81">
        <v>0.97499999999999998</v>
      </c>
    </row>
    <row r="54" spans="2:20" ht="14.45" customHeight="1" x14ac:dyDescent="0.25">
      <c r="B54" s="44" t="s">
        <v>294</v>
      </c>
      <c r="C54" s="28">
        <v>42</v>
      </c>
      <c r="D54" s="45" t="s">
        <v>2010</v>
      </c>
      <c r="E54" s="45"/>
      <c r="F54" s="28" t="str">
        <f>IF(INDEX(I.Facility.IDNumber,42)="","",INDEX(I.Facility.IDNumber,42))</f>
        <v/>
      </c>
      <c r="G54" s="45"/>
      <c r="H54" s="28" t="str">
        <f>IF(AND(I.Facility.FacilityCount&gt;=42,F54=""),"Incomplete","Complete")</f>
        <v>Complete</v>
      </c>
      <c r="I54" s="46" t="s">
        <v>520</v>
      </c>
      <c r="K54" s="44" t="s">
        <v>190</v>
      </c>
      <c r="L54" s="47" t="s">
        <v>2254</v>
      </c>
      <c r="S54" s="80" t="s">
        <v>1742</v>
      </c>
      <c r="T54" s="81">
        <v>0.96250000000000002</v>
      </c>
    </row>
    <row r="55" spans="2:20" ht="14.45" customHeight="1" x14ac:dyDescent="0.25">
      <c r="B55" s="44" t="s">
        <v>294</v>
      </c>
      <c r="C55" s="28">
        <v>43</v>
      </c>
      <c r="D55" s="45" t="s">
        <v>2010</v>
      </c>
      <c r="E55" s="45"/>
      <c r="F55" s="28" t="str">
        <f>IF(INDEX(I.Facility.IDNumber,43)="","",INDEX(I.Facility.IDNumber,43))</f>
        <v/>
      </c>
      <c r="G55" s="45"/>
      <c r="H55" s="28" t="str">
        <f>IF(AND(I.Facility.FacilityCount&gt;=43,F55=""),"Incomplete","Complete")</f>
        <v>Complete</v>
      </c>
      <c r="I55" s="46" t="s">
        <v>521</v>
      </c>
      <c r="K55" s="44" t="s">
        <v>191</v>
      </c>
      <c r="L55" s="47" t="s">
        <v>2255</v>
      </c>
      <c r="S55" s="80" t="s">
        <v>1743</v>
      </c>
      <c r="T55" s="81">
        <v>0.95</v>
      </c>
    </row>
    <row r="56" spans="2:20" ht="14.45" customHeight="1" x14ac:dyDescent="0.25">
      <c r="B56" s="44" t="s">
        <v>294</v>
      </c>
      <c r="C56" s="28">
        <v>44</v>
      </c>
      <c r="D56" s="45" t="s">
        <v>2010</v>
      </c>
      <c r="E56" s="45"/>
      <c r="F56" s="28" t="str">
        <f>IF(INDEX(I.Facility.IDNumber,44)="","",INDEX(I.Facility.IDNumber,44))</f>
        <v/>
      </c>
      <c r="G56" s="45"/>
      <c r="H56" s="28" t="str">
        <f>IF(AND(I.Facility.FacilityCount&gt;=44,F56=""),"Incomplete","Complete")</f>
        <v>Complete</v>
      </c>
      <c r="I56" s="46" t="s">
        <v>522</v>
      </c>
      <c r="K56" s="44" t="s">
        <v>192</v>
      </c>
      <c r="L56" s="47" t="s">
        <v>2256</v>
      </c>
      <c r="S56" s="80" t="s">
        <v>1744</v>
      </c>
      <c r="T56" s="81">
        <v>0.9375</v>
      </c>
    </row>
    <row r="57" spans="2:20" ht="14.45" customHeight="1" x14ac:dyDescent="0.25">
      <c r="B57" s="44" t="s">
        <v>294</v>
      </c>
      <c r="C57" s="28">
        <v>45</v>
      </c>
      <c r="D57" s="45" t="s">
        <v>2010</v>
      </c>
      <c r="E57" s="45"/>
      <c r="F57" s="28" t="str">
        <f>IF(INDEX(I.Facility.IDNumber,45)="","",INDEX(I.Facility.IDNumber,45))</f>
        <v/>
      </c>
      <c r="G57" s="45"/>
      <c r="H57" s="28" t="str">
        <f>IF(AND(I.Facility.FacilityCount&gt;=45,F57=""),"Incomplete","Complete")</f>
        <v>Complete</v>
      </c>
      <c r="I57" s="46" t="s">
        <v>523</v>
      </c>
      <c r="K57" s="44" t="s">
        <v>193</v>
      </c>
      <c r="L57" s="47" t="s">
        <v>2257</v>
      </c>
      <c r="S57" s="80" t="s">
        <v>1745</v>
      </c>
      <c r="T57" s="81">
        <v>0.92500000000000004</v>
      </c>
    </row>
    <row r="58" spans="2:20" ht="14.45" customHeight="1" x14ac:dyDescent="0.25">
      <c r="B58" s="44" t="s">
        <v>294</v>
      </c>
      <c r="C58" s="28">
        <v>46</v>
      </c>
      <c r="D58" s="45" t="s">
        <v>2010</v>
      </c>
      <c r="E58" s="45"/>
      <c r="F58" s="28" t="str">
        <f>IF(INDEX(I.Facility.IDNumber,46)="","",INDEX(I.Facility.IDNumber,46))</f>
        <v/>
      </c>
      <c r="G58" s="45"/>
      <c r="H58" s="28" t="str">
        <f>IF(AND(I.Facility.FacilityCount&gt;=46,F58=""),"Incomplete","Complete")</f>
        <v>Complete</v>
      </c>
      <c r="I58" s="46" t="s">
        <v>524</v>
      </c>
      <c r="K58" s="44" t="s">
        <v>194</v>
      </c>
      <c r="L58" s="47" t="s">
        <v>2258</v>
      </c>
      <c r="S58" s="80" t="s">
        <v>1746</v>
      </c>
      <c r="T58" s="81">
        <v>0.91249999999999998</v>
      </c>
    </row>
    <row r="59" spans="2:20" ht="14.45" customHeight="1" x14ac:dyDescent="0.25">
      <c r="B59" s="44" t="s">
        <v>294</v>
      </c>
      <c r="C59" s="28">
        <v>47</v>
      </c>
      <c r="D59" s="45" t="s">
        <v>2010</v>
      </c>
      <c r="E59" s="45"/>
      <c r="F59" s="28" t="str">
        <f>IF(INDEX(I.Facility.IDNumber,47)="","",INDEX(I.Facility.IDNumber,47))</f>
        <v/>
      </c>
      <c r="G59" s="45"/>
      <c r="H59" s="28" t="str">
        <f>IF(AND(I.Facility.FacilityCount&gt;=47,F59=""),"Incomplete","Complete")</f>
        <v>Complete</v>
      </c>
      <c r="I59" s="46" t="s">
        <v>525</v>
      </c>
      <c r="K59" s="53" t="s">
        <v>195</v>
      </c>
      <c r="L59" s="61" t="s">
        <v>2259</v>
      </c>
      <c r="S59" s="80" t="s">
        <v>1747</v>
      </c>
      <c r="T59" s="81">
        <v>0.9</v>
      </c>
    </row>
    <row r="60" spans="2:20" ht="14.45" customHeight="1" x14ac:dyDescent="0.25">
      <c r="B60" s="44" t="s">
        <v>294</v>
      </c>
      <c r="C60" s="28">
        <v>48</v>
      </c>
      <c r="D60" s="45" t="s">
        <v>2010</v>
      </c>
      <c r="E60" s="45"/>
      <c r="F60" s="28" t="str">
        <f>IF(INDEX(I.Facility.IDNumber,48)="","",INDEX(I.Facility.IDNumber,48))</f>
        <v/>
      </c>
      <c r="G60" s="45"/>
      <c r="H60" s="28" t="str">
        <f>IF(AND(I.Facility.FacilityCount&gt;=48,F60=""),"Incomplete","Complete")</f>
        <v>Complete</v>
      </c>
      <c r="I60" s="46" t="s">
        <v>526</v>
      </c>
      <c r="K60" s="38" t="s">
        <v>196</v>
      </c>
      <c r="L60" s="39" t="s">
        <v>2260</v>
      </c>
      <c r="S60" s="80" t="s">
        <v>1748</v>
      </c>
      <c r="T60" s="81">
        <v>0.88749999999999996</v>
      </c>
    </row>
    <row r="61" spans="2:20" ht="14.45" customHeight="1" x14ac:dyDescent="0.25">
      <c r="B61" s="44" t="s">
        <v>294</v>
      </c>
      <c r="C61" s="28">
        <v>49</v>
      </c>
      <c r="D61" s="45" t="s">
        <v>2010</v>
      </c>
      <c r="E61" s="45"/>
      <c r="F61" s="28" t="str">
        <f>IF(INDEX(I.Facility.IDNumber,49)="","",INDEX(I.Facility.IDNumber,49))</f>
        <v/>
      </c>
      <c r="G61" s="45"/>
      <c r="H61" s="28" t="str">
        <f>IF(AND(I.Facility.FacilityCount&gt;=49,F61=""),"Incomplete","Complete")</f>
        <v>Complete</v>
      </c>
      <c r="I61" s="46" t="s">
        <v>527</v>
      </c>
      <c r="K61" s="44" t="s">
        <v>197</v>
      </c>
      <c r="L61" s="47" t="s">
        <v>2261</v>
      </c>
      <c r="S61" s="80" t="s">
        <v>1749</v>
      </c>
      <c r="T61" s="81">
        <v>0.875</v>
      </c>
    </row>
    <row r="62" spans="2:20" ht="14.45" customHeight="1" x14ac:dyDescent="0.25">
      <c r="B62" s="44" t="s">
        <v>294</v>
      </c>
      <c r="C62" s="28">
        <v>50</v>
      </c>
      <c r="D62" s="45" t="s">
        <v>2010</v>
      </c>
      <c r="E62" s="45"/>
      <c r="F62" s="28" t="str">
        <f>IF(INDEX(I.Facility.IDNumber,50)="","",INDEX(I.Facility.IDNumber,50))</f>
        <v/>
      </c>
      <c r="G62" s="45"/>
      <c r="H62" s="28" t="str">
        <f>IF(AND(I.Facility.FacilityCount&gt;=50,F62=""),"Incomplete","Complete")</f>
        <v>Complete</v>
      </c>
      <c r="I62" s="46" t="s">
        <v>528</v>
      </c>
      <c r="K62" s="44" t="s">
        <v>198</v>
      </c>
      <c r="L62" s="47" t="s">
        <v>2262</v>
      </c>
      <c r="S62" s="80" t="s">
        <v>1750</v>
      </c>
      <c r="T62" s="81">
        <v>0.86250000000000004</v>
      </c>
    </row>
    <row r="63" spans="2:20" ht="14.45" customHeight="1" x14ac:dyDescent="0.25">
      <c r="B63" s="44" t="s">
        <v>294</v>
      </c>
      <c r="C63" s="28">
        <v>51</v>
      </c>
      <c r="D63" s="45" t="s">
        <v>2010</v>
      </c>
      <c r="E63" s="45"/>
      <c r="F63" s="28" t="str">
        <f>IF(INDEX(I.Facility.IDNumber,51)="","",INDEX(I.Facility.IDNumber,51))</f>
        <v/>
      </c>
      <c r="G63" s="45"/>
      <c r="H63" s="28" t="str">
        <f>IF(AND(I.Facility.FacilityCount&gt;=51,F63=""),"Incomplete","Complete")</f>
        <v>Complete</v>
      </c>
      <c r="I63" s="46" t="s">
        <v>529</v>
      </c>
      <c r="K63" s="44" t="s">
        <v>199</v>
      </c>
      <c r="L63" s="47" t="s">
        <v>2263</v>
      </c>
      <c r="S63" s="83" t="s">
        <v>1751</v>
      </c>
      <c r="T63" s="84">
        <v>0.85</v>
      </c>
    </row>
    <row r="64" spans="2:20" ht="14.45" customHeight="1" x14ac:dyDescent="0.25">
      <c r="B64" s="44" t="s">
        <v>294</v>
      </c>
      <c r="C64" s="28">
        <v>52</v>
      </c>
      <c r="D64" s="45" t="s">
        <v>2010</v>
      </c>
      <c r="E64" s="45"/>
      <c r="F64" s="28" t="str">
        <f>IF(INDEX(I.Facility.IDNumber,52)="","",INDEX(I.Facility.IDNumber,52))</f>
        <v/>
      </c>
      <c r="G64" s="45"/>
      <c r="H64" s="28" t="str">
        <f>IF(AND(I.Facility.FacilityCount&gt;=52,F64=""),"Incomplete","Complete")</f>
        <v>Complete</v>
      </c>
      <c r="I64" s="46" t="s">
        <v>530</v>
      </c>
      <c r="K64" s="44" t="s">
        <v>200</v>
      </c>
      <c r="L64" s="47" t="s">
        <v>2264</v>
      </c>
      <c r="S64" s="80" t="s">
        <v>1752</v>
      </c>
      <c r="T64" s="81">
        <v>0.98750000000000004</v>
      </c>
    </row>
    <row r="65" spans="2:20" ht="14.45" customHeight="1" x14ac:dyDescent="0.25">
      <c r="B65" s="44" t="s">
        <v>294</v>
      </c>
      <c r="C65" s="28">
        <v>53</v>
      </c>
      <c r="D65" s="45" t="s">
        <v>2010</v>
      </c>
      <c r="E65" s="45"/>
      <c r="F65" s="28" t="str">
        <f>IF(INDEX(I.Facility.IDNumber,53)="","",INDEX(I.Facility.IDNumber,53))</f>
        <v/>
      </c>
      <c r="G65" s="45"/>
      <c r="H65" s="28" t="str">
        <f>IF(AND(I.Facility.FacilityCount&gt;=53,F65=""),"Incomplete","Complete")</f>
        <v>Complete</v>
      </c>
      <c r="I65" s="46" t="s">
        <v>531</v>
      </c>
      <c r="K65" s="44" t="s">
        <v>201</v>
      </c>
      <c r="L65" s="47" t="s">
        <v>2265</v>
      </c>
      <c r="S65" s="80" t="s">
        <v>1753</v>
      </c>
      <c r="T65" s="81">
        <v>0.97499999999999998</v>
      </c>
    </row>
    <row r="66" spans="2:20" ht="14.45" customHeight="1" x14ac:dyDescent="0.25">
      <c r="B66" s="44" t="s">
        <v>294</v>
      </c>
      <c r="C66" s="28">
        <v>54</v>
      </c>
      <c r="D66" s="45" t="s">
        <v>2010</v>
      </c>
      <c r="E66" s="45"/>
      <c r="F66" s="28" t="str">
        <f>IF(INDEX(I.Facility.IDNumber,54)="","",INDEX(I.Facility.IDNumber,54))</f>
        <v/>
      </c>
      <c r="G66" s="45"/>
      <c r="H66" s="28" t="str">
        <f>IF(AND(I.Facility.FacilityCount&gt;=54,F66=""),"Incomplete","Complete")</f>
        <v>Complete</v>
      </c>
      <c r="I66" s="46" t="s">
        <v>532</v>
      </c>
      <c r="K66" s="44" t="s">
        <v>202</v>
      </c>
      <c r="L66" s="47" t="s">
        <v>2266</v>
      </c>
      <c r="S66" s="80" t="s">
        <v>1754</v>
      </c>
      <c r="T66" s="81">
        <v>0.96250000000000002</v>
      </c>
    </row>
    <row r="67" spans="2:20" ht="14.45" customHeight="1" x14ac:dyDescent="0.25">
      <c r="B67" s="44" t="s">
        <v>294</v>
      </c>
      <c r="C67" s="28">
        <v>55</v>
      </c>
      <c r="D67" s="45" t="s">
        <v>2010</v>
      </c>
      <c r="E67" s="45"/>
      <c r="F67" s="28" t="str">
        <f>IF(INDEX(I.Facility.IDNumber,55)="","",INDEX(I.Facility.IDNumber,55))</f>
        <v/>
      </c>
      <c r="G67" s="45"/>
      <c r="H67" s="28" t="str">
        <f>IF(AND(I.Facility.FacilityCount&gt;=55,F67=""),"Incomplete","Complete")</f>
        <v>Complete</v>
      </c>
      <c r="I67" s="46" t="s">
        <v>533</v>
      </c>
      <c r="K67" s="44" t="s">
        <v>203</v>
      </c>
      <c r="L67" s="47" t="s">
        <v>2267</v>
      </c>
      <c r="S67" s="80" t="s">
        <v>1755</v>
      </c>
      <c r="T67" s="81">
        <v>0.95</v>
      </c>
    </row>
    <row r="68" spans="2:20" ht="14.45" customHeight="1" x14ac:dyDescent="0.25">
      <c r="B68" s="44" t="s">
        <v>294</v>
      </c>
      <c r="C68" s="28">
        <v>56</v>
      </c>
      <c r="D68" s="45" t="s">
        <v>2010</v>
      </c>
      <c r="E68" s="45"/>
      <c r="F68" s="28" t="str">
        <f>IF(INDEX(I.Facility.IDNumber,56)="","",INDEX(I.Facility.IDNumber,56))</f>
        <v/>
      </c>
      <c r="G68" s="45"/>
      <c r="H68" s="28" t="str">
        <f>IF(AND(I.Facility.FacilityCount&gt;=56,F68=""),"Incomplete","Complete")</f>
        <v>Complete</v>
      </c>
      <c r="I68" s="46" t="s">
        <v>534</v>
      </c>
      <c r="K68" s="44" t="s">
        <v>204</v>
      </c>
      <c r="L68" s="47" t="s">
        <v>2268</v>
      </c>
      <c r="S68" s="80" t="s">
        <v>1756</v>
      </c>
      <c r="T68" s="81">
        <v>0.9375</v>
      </c>
    </row>
    <row r="69" spans="2:20" ht="14.45" customHeight="1" x14ac:dyDescent="0.25">
      <c r="B69" s="44" t="s">
        <v>294</v>
      </c>
      <c r="C69" s="28">
        <v>57</v>
      </c>
      <c r="D69" s="45" t="s">
        <v>2010</v>
      </c>
      <c r="E69" s="45"/>
      <c r="F69" s="28" t="str">
        <f>IF(INDEX(I.Facility.IDNumber,57)="","",INDEX(I.Facility.IDNumber,57))</f>
        <v/>
      </c>
      <c r="G69" s="45"/>
      <c r="H69" s="28" t="str">
        <f>IF(AND(I.Facility.FacilityCount&gt;=57,F69=""),"Incomplete","Complete")</f>
        <v>Complete</v>
      </c>
      <c r="I69" s="46" t="s">
        <v>535</v>
      </c>
      <c r="K69" s="53" t="s">
        <v>205</v>
      </c>
      <c r="L69" s="61" t="s">
        <v>2269</v>
      </c>
      <c r="S69" s="80" t="s">
        <v>1757</v>
      </c>
      <c r="T69" s="81">
        <v>0.92500000000000004</v>
      </c>
    </row>
    <row r="70" spans="2:20" ht="14.45" customHeight="1" x14ac:dyDescent="0.25">
      <c r="B70" s="44" t="s">
        <v>294</v>
      </c>
      <c r="C70" s="28">
        <v>58</v>
      </c>
      <c r="D70" s="45" t="s">
        <v>2010</v>
      </c>
      <c r="E70" s="45"/>
      <c r="F70" s="28" t="str">
        <f>IF(INDEX(I.Facility.IDNumber,58)="","",INDEX(I.Facility.IDNumber,58))</f>
        <v/>
      </c>
      <c r="G70" s="45"/>
      <c r="H70" s="28" t="str">
        <f>IF(AND(I.Facility.FacilityCount&gt;=58,F70=""),"Incomplete","Complete")</f>
        <v>Complete</v>
      </c>
      <c r="I70" s="46" t="s">
        <v>536</v>
      </c>
      <c r="K70" s="38" t="s">
        <v>206</v>
      </c>
      <c r="L70" s="39" t="s">
        <v>2270</v>
      </c>
      <c r="S70" s="80" t="s">
        <v>1758</v>
      </c>
      <c r="T70" s="81">
        <v>0.91249999999999998</v>
      </c>
    </row>
    <row r="71" spans="2:20" ht="14.45" customHeight="1" x14ac:dyDescent="0.25">
      <c r="B71" s="44" t="s">
        <v>294</v>
      </c>
      <c r="C71" s="28">
        <v>59</v>
      </c>
      <c r="D71" s="45" t="s">
        <v>2010</v>
      </c>
      <c r="E71" s="45"/>
      <c r="F71" s="28" t="str">
        <f>IF(INDEX(I.Facility.IDNumber,59)="","",INDEX(I.Facility.IDNumber,59))</f>
        <v/>
      </c>
      <c r="G71" s="45"/>
      <c r="H71" s="28" t="str">
        <f>IF(AND(I.Facility.FacilityCount&gt;=59,F71=""),"Incomplete","Complete")</f>
        <v>Complete</v>
      </c>
      <c r="I71" s="46" t="s">
        <v>537</v>
      </c>
      <c r="K71" s="44" t="s">
        <v>207</v>
      </c>
      <c r="L71" s="47" t="s">
        <v>2271</v>
      </c>
      <c r="S71" s="80" t="s">
        <v>1759</v>
      </c>
      <c r="T71" s="81">
        <v>0.9</v>
      </c>
    </row>
    <row r="72" spans="2:20" ht="14.45" customHeight="1" x14ac:dyDescent="0.25">
      <c r="B72" s="44" t="s">
        <v>294</v>
      </c>
      <c r="C72" s="28">
        <v>60</v>
      </c>
      <c r="D72" s="45" t="s">
        <v>2010</v>
      </c>
      <c r="E72" s="45"/>
      <c r="F72" s="28" t="str">
        <f>IF(INDEX(I.Facility.IDNumber,60)="","",INDEX(I.Facility.IDNumber,60))</f>
        <v/>
      </c>
      <c r="G72" s="45"/>
      <c r="H72" s="28" t="str">
        <f>IF(AND(I.Facility.FacilityCount&gt;=60,F72=""),"Incomplete","Complete")</f>
        <v>Complete</v>
      </c>
      <c r="I72" s="46" t="s">
        <v>538</v>
      </c>
      <c r="K72" s="44" t="s">
        <v>208</v>
      </c>
      <c r="L72" s="47" t="s">
        <v>2272</v>
      </c>
      <c r="S72" s="80" t="s">
        <v>1760</v>
      </c>
      <c r="T72" s="81">
        <v>0.88749999999999996</v>
      </c>
    </row>
    <row r="73" spans="2:20" ht="14.45" customHeight="1" x14ac:dyDescent="0.25">
      <c r="B73" s="44" t="s">
        <v>294</v>
      </c>
      <c r="C73" s="28">
        <v>61</v>
      </c>
      <c r="D73" s="45" t="s">
        <v>2010</v>
      </c>
      <c r="E73" s="45"/>
      <c r="F73" s="28" t="str">
        <f>IF(INDEX(I.Facility.IDNumber,61)="","",INDEX(I.Facility.IDNumber,61))</f>
        <v/>
      </c>
      <c r="G73" s="45"/>
      <c r="H73" s="28" t="str">
        <f>IF(AND(I.Facility.FacilityCount&gt;=61,F73=""),"Incomplete","Complete")</f>
        <v>Complete</v>
      </c>
      <c r="I73" s="46" t="s">
        <v>539</v>
      </c>
      <c r="K73" s="44" t="s">
        <v>209</v>
      </c>
      <c r="L73" s="47" t="s">
        <v>2273</v>
      </c>
      <c r="S73" s="80" t="s">
        <v>1761</v>
      </c>
      <c r="T73" s="81">
        <v>0.875</v>
      </c>
    </row>
    <row r="74" spans="2:20" ht="14.45" customHeight="1" x14ac:dyDescent="0.25">
      <c r="B74" s="44" t="s">
        <v>294</v>
      </c>
      <c r="C74" s="28">
        <v>62</v>
      </c>
      <c r="D74" s="45" t="s">
        <v>2010</v>
      </c>
      <c r="E74" s="45"/>
      <c r="F74" s="28" t="str">
        <f>IF(INDEX(I.Facility.IDNumber,62)="","",INDEX(I.Facility.IDNumber,62))</f>
        <v/>
      </c>
      <c r="G74" s="45"/>
      <c r="H74" s="28" t="str">
        <f>IF(AND(I.Facility.FacilityCount&gt;=62,F74=""),"Incomplete","Complete")</f>
        <v>Complete</v>
      </c>
      <c r="I74" s="46" t="s">
        <v>540</v>
      </c>
      <c r="K74" s="44" t="s">
        <v>210</v>
      </c>
      <c r="L74" s="47" t="s">
        <v>2274</v>
      </c>
      <c r="S74" s="80" t="s">
        <v>1762</v>
      </c>
      <c r="T74" s="81">
        <v>0.86250000000000004</v>
      </c>
    </row>
    <row r="75" spans="2:20" ht="14.45" customHeight="1" x14ac:dyDescent="0.25">
      <c r="B75" s="44" t="s">
        <v>294</v>
      </c>
      <c r="C75" s="28">
        <v>63</v>
      </c>
      <c r="D75" s="45" t="s">
        <v>2010</v>
      </c>
      <c r="E75" s="45"/>
      <c r="F75" s="28" t="str">
        <f>IF(INDEX(I.Facility.IDNumber,63)="","",INDEX(I.Facility.IDNumber,63))</f>
        <v/>
      </c>
      <c r="G75" s="45"/>
      <c r="H75" s="28" t="str">
        <f>IF(AND(I.Facility.FacilityCount&gt;=63,F75=""),"Incomplete","Complete")</f>
        <v>Complete</v>
      </c>
      <c r="I75" s="46" t="s">
        <v>541</v>
      </c>
      <c r="K75" s="44" t="s">
        <v>211</v>
      </c>
      <c r="L75" s="47" t="s">
        <v>2275</v>
      </c>
      <c r="S75" s="83" t="s">
        <v>1763</v>
      </c>
      <c r="T75" s="84">
        <v>0.85</v>
      </c>
    </row>
    <row r="76" spans="2:20" ht="14.45" customHeight="1" x14ac:dyDescent="0.25">
      <c r="B76" s="44" t="s">
        <v>294</v>
      </c>
      <c r="C76" s="28">
        <v>64</v>
      </c>
      <c r="D76" s="45" t="s">
        <v>2010</v>
      </c>
      <c r="E76" s="45"/>
      <c r="F76" s="28" t="str">
        <f>IF(INDEX(I.Facility.IDNumber,64)="","",INDEX(I.Facility.IDNumber,64))</f>
        <v/>
      </c>
      <c r="G76" s="45"/>
      <c r="H76" s="28" t="str">
        <f>IF(AND(I.Facility.FacilityCount&gt;=64,F76=""),"Incomplete","Complete")</f>
        <v>Complete</v>
      </c>
      <c r="I76" s="46" t="s">
        <v>542</v>
      </c>
      <c r="K76" s="44" t="s">
        <v>212</v>
      </c>
      <c r="L76" s="47" t="s">
        <v>2276</v>
      </c>
      <c r="S76" s="80" t="s">
        <v>1764</v>
      </c>
      <c r="T76" s="81">
        <v>0.98750000000000004</v>
      </c>
    </row>
    <row r="77" spans="2:20" ht="14.45" customHeight="1" x14ac:dyDescent="0.25">
      <c r="B77" s="44" t="s">
        <v>294</v>
      </c>
      <c r="C77" s="28">
        <v>65</v>
      </c>
      <c r="D77" s="45" t="s">
        <v>2010</v>
      </c>
      <c r="E77" s="45"/>
      <c r="F77" s="28" t="str">
        <f>IF(INDEX(I.Facility.IDNumber,65)="","",INDEX(I.Facility.IDNumber,65))</f>
        <v/>
      </c>
      <c r="G77" s="45"/>
      <c r="H77" s="28" t="str">
        <f>IF(AND(I.Facility.FacilityCount&gt;=65,F77=""),"Incomplete","Complete")</f>
        <v>Complete</v>
      </c>
      <c r="I77" s="46" t="s">
        <v>543</v>
      </c>
      <c r="K77" s="44" t="s">
        <v>213</v>
      </c>
      <c r="L77" s="47" t="s">
        <v>2277</v>
      </c>
      <c r="S77" s="80" t="s">
        <v>1765</v>
      </c>
      <c r="T77" s="81">
        <v>0.97499999999999998</v>
      </c>
    </row>
    <row r="78" spans="2:20" ht="14.45" customHeight="1" x14ac:dyDescent="0.25">
      <c r="B78" s="44" t="s">
        <v>294</v>
      </c>
      <c r="C78" s="28">
        <v>66</v>
      </c>
      <c r="D78" s="45" t="s">
        <v>2010</v>
      </c>
      <c r="E78" s="45"/>
      <c r="F78" s="28" t="str">
        <f>IF(INDEX(I.Facility.IDNumber,66)="","",INDEX(I.Facility.IDNumber,66))</f>
        <v/>
      </c>
      <c r="G78" s="45"/>
      <c r="H78" s="28" t="str">
        <f>IF(AND(I.Facility.FacilityCount&gt;=66,F78=""),"Incomplete","Complete")</f>
        <v>Complete</v>
      </c>
      <c r="I78" s="46" t="s">
        <v>544</v>
      </c>
      <c r="K78" s="44" t="s">
        <v>214</v>
      </c>
      <c r="L78" s="47" t="s">
        <v>2278</v>
      </c>
      <c r="S78" s="80" t="s">
        <v>1766</v>
      </c>
      <c r="T78" s="81">
        <v>0.96250000000000002</v>
      </c>
    </row>
    <row r="79" spans="2:20" ht="14.45" customHeight="1" x14ac:dyDescent="0.25">
      <c r="B79" s="44" t="s">
        <v>294</v>
      </c>
      <c r="C79" s="28">
        <v>67</v>
      </c>
      <c r="D79" s="45" t="s">
        <v>2010</v>
      </c>
      <c r="E79" s="45"/>
      <c r="F79" s="28" t="str">
        <f>IF(INDEX(I.Facility.IDNumber,67)="","",INDEX(I.Facility.IDNumber,67))</f>
        <v/>
      </c>
      <c r="G79" s="45"/>
      <c r="H79" s="28" t="str">
        <f>IF(AND(I.Facility.FacilityCount&gt;=67,F79=""),"Incomplete","Complete")</f>
        <v>Complete</v>
      </c>
      <c r="I79" s="46" t="s">
        <v>545</v>
      </c>
      <c r="K79" s="53" t="s">
        <v>215</v>
      </c>
      <c r="L79" s="61" t="s">
        <v>2279</v>
      </c>
      <c r="S79" s="80" t="s">
        <v>1767</v>
      </c>
      <c r="T79" s="81">
        <v>0.95</v>
      </c>
    </row>
    <row r="80" spans="2:20" ht="14.45" customHeight="1" x14ac:dyDescent="0.25">
      <c r="B80" s="44" t="s">
        <v>294</v>
      </c>
      <c r="C80" s="28">
        <v>68</v>
      </c>
      <c r="D80" s="45" t="s">
        <v>2010</v>
      </c>
      <c r="E80" s="45"/>
      <c r="F80" s="28" t="str">
        <f>IF(INDEX(I.Facility.IDNumber,68)="","",INDEX(I.Facility.IDNumber,68))</f>
        <v/>
      </c>
      <c r="G80" s="45"/>
      <c r="H80" s="28" t="str">
        <f>IF(AND(I.Facility.FacilityCount&gt;=68,F80=""),"Incomplete","Complete")</f>
        <v>Complete</v>
      </c>
      <c r="I80" s="46" t="s">
        <v>546</v>
      </c>
      <c r="K80" s="38" t="s">
        <v>216</v>
      </c>
      <c r="L80" s="39" t="s">
        <v>2280</v>
      </c>
      <c r="S80" s="80" t="s">
        <v>1768</v>
      </c>
      <c r="T80" s="81">
        <v>0.9375</v>
      </c>
    </row>
    <row r="81" spans="2:20" ht="14.45" customHeight="1" x14ac:dyDescent="0.25">
      <c r="B81" s="44" t="s">
        <v>294</v>
      </c>
      <c r="C81" s="28">
        <v>69</v>
      </c>
      <c r="D81" s="45" t="s">
        <v>2010</v>
      </c>
      <c r="E81" s="45"/>
      <c r="F81" s="28" t="str">
        <f>IF(INDEX(I.Facility.IDNumber,69)="","",INDEX(I.Facility.IDNumber,69))</f>
        <v/>
      </c>
      <c r="G81" s="45"/>
      <c r="H81" s="28" t="str">
        <f>IF(AND(I.Facility.FacilityCount&gt;=69,F81=""),"Incomplete","Complete")</f>
        <v>Complete</v>
      </c>
      <c r="I81" s="46" t="s">
        <v>547</v>
      </c>
      <c r="K81" s="44" t="s">
        <v>217</v>
      </c>
      <c r="L81" s="47" t="s">
        <v>2281</v>
      </c>
      <c r="S81" s="80" t="s">
        <v>1769</v>
      </c>
      <c r="T81" s="81">
        <v>0.92500000000000004</v>
      </c>
    </row>
    <row r="82" spans="2:20" ht="14.45" customHeight="1" x14ac:dyDescent="0.25">
      <c r="B82" s="44" t="s">
        <v>294</v>
      </c>
      <c r="C82" s="28">
        <v>70</v>
      </c>
      <c r="D82" s="45" t="s">
        <v>2010</v>
      </c>
      <c r="E82" s="45"/>
      <c r="F82" s="28" t="str">
        <f>IF(INDEX(I.Facility.IDNumber,70)="","",INDEX(I.Facility.IDNumber,70))</f>
        <v/>
      </c>
      <c r="G82" s="45"/>
      <c r="H82" s="28" t="str">
        <f>IF(AND(I.Facility.FacilityCount&gt;=70,F82=""),"Incomplete","Complete")</f>
        <v>Complete</v>
      </c>
      <c r="I82" s="46" t="s">
        <v>548</v>
      </c>
      <c r="K82" s="44" t="s">
        <v>218</v>
      </c>
      <c r="L82" s="47" t="s">
        <v>2282</v>
      </c>
      <c r="S82" s="80" t="s">
        <v>1770</v>
      </c>
      <c r="T82" s="81">
        <v>0.91249999999999998</v>
      </c>
    </row>
    <row r="83" spans="2:20" ht="14.45" customHeight="1" x14ac:dyDescent="0.25">
      <c r="B83" s="44" t="s">
        <v>294</v>
      </c>
      <c r="C83" s="28">
        <v>71</v>
      </c>
      <c r="D83" s="45" t="s">
        <v>2010</v>
      </c>
      <c r="E83" s="45"/>
      <c r="F83" s="28" t="str">
        <f>IF(INDEX(I.Facility.IDNumber,71)="","",INDEX(I.Facility.IDNumber,71))</f>
        <v/>
      </c>
      <c r="G83" s="45"/>
      <c r="H83" s="28" t="str">
        <f>IF(AND(I.Facility.FacilityCount&gt;=71,F83=""),"Incomplete","Complete")</f>
        <v>Complete</v>
      </c>
      <c r="I83" s="46" t="s">
        <v>549</v>
      </c>
      <c r="K83" s="44" t="s">
        <v>219</v>
      </c>
      <c r="L83" s="47" t="s">
        <v>2283</v>
      </c>
      <c r="S83" s="80" t="s">
        <v>1771</v>
      </c>
      <c r="T83" s="81">
        <v>0.9</v>
      </c>
    </row>
    <row r="84" spans="2:20" ht="14.45" customHeight="1" x14ac:dyDescent="0.25">
      <c r="B84" s="44" t="s">
        <v>294</v>
      </c>
      <c r="C84" s="28">
        <v>72</v>
      </c>
      <c r="D84" s="45" t="s">
        <v>2010</v>
      </c>
      <c r="E84" s="45"/>
      <c r="F84" s="28" t="str">
        <f>IF(INDEX(I.Facility.IDNumber,72)="","",INDEX(I.Facility.IDNumber,72))</f>
        <v/>
      </c>
      <c r="G84" s="45"/>
      <c r="H84" s="28" t="str">
        <f>IF(AND(I.Facility.FacilityCount&gt;=72,F84=""),"Incomplete","Complete")</f>
        <v>Complete</v>
      </c>
      <c r="I84" s="46" t="s">
        <v>550</v>
      </c>
      <c r="K84" s="44" t="s">
        <v>220</v>
      </c>
      <c r="L84" s="47" t="s">
        <v>2284</v>
      </c>
      <c r="S84" s="80" t="s">
        <v>1772</v>
      </c>
      <c r="T84" s="81">
        <v>0.88749999999999996</v>
      </c>
    </row>
    <row r="85" spans="2:20" ht="14.45" customHeight="1" x14ac:dyDescent="0.25">
      <c r="B85" s="44" t="s">
        <v>294</v>
      </c>
      <c r="C85" s="28">
        <v>73</v>
      </c>
      <c r="D85" s="45" t="s">
        <v>2010</v>
      </c>
      <c r="E85" s="45"/>
      <c r="F85" s="28" t="str">
        <f>IF(INDEX(I.Facility.IDNumber,73)="","",INDEX(I.Facility.IDNumber,73))</f>
        <v/>
      </c>
      <c r="G85" s="45"/>
      <c r="H85" s="28" t="str">
        <f>IF(AND(I.Facility.FacilityCount&gt;=73,F85=""),"Incomplete","Complete")</f>
        <v>Complete</v>
      </c>
      <c r="I85" s="46" t="s">
        <v>551</v>
      </c>
      <c r="K85" s="44" t="s">
        <v>221</v>
      </c>
      <c r="L85" s="47" t="s">
        <v>2285</v>
      </c>
      <c r="S85" s="80" t="s">
        <v>1773</v>
      </c>
      <c r="T85" s="81">
        <v>0.875</v>
      </c>
    </row>
    <row r="86" spans="2:20" ht="14.45" customHeight="1" x14ac:dyDescent="0.25">
      <c r="B86" s="44" t="s">
        <v>294</v>
      </c>
      <c r="C86" s="28">
        <v>74</v>
      </c>
      <c r="D86" s="45" t="s">
        <v>2010</v>
      </c>
      <c r="E86" s="45"/>
      <c r="F86" s="28" t="str">
        <f>IF(INDEX(I.Facility.IDNumber,74)="","",INDEX(I.Facility.IDNumber,74))</f>
        <v/>
      </c>
      <c r="G86" s="45"/>
      <c r="H86" s="28" t="str">
        <f>IF(AND(I.Facility.FacilityCount&gt;=74,F86=""),"Incomplete","Complete")</f>
        <v>Complete</v>
      </c>
      <c r="I86" s="46" t="s">
        <v>552</v>
      </c>
      <c r="K86" s="44" t="s">
        <v>222</v>
      </c>
      <c r="L86" s="47" t="s">
        <v>2286</v>
      </c>
      <c r="S86" s="80" t="s">
        <v>1774</v>
      </c>
      <c r="T86" s="81">
        <v>0.86250000000000004</v>
      </c>
    </row>
    <row r="87" spans="2:20" ht="14.45" customHeight="1" x14ac:dyDescent="0.25">
      <c r="B87" s="44" t="s">
        <v>294</v>
      </c>
      <c r="C87" s="28">
        <v>75</v>
      </c>
      <c r="D87" s="45" t="s">
        <v>2010</v>
      </c>
      <c r="E87" s="45"/>
      <c r="F87" s="28" t="str">
        <f>IF(INDEX(I.Facility.IDNumber,75)="","",INDEX(I.Facility.IDNumber,75))</f>
        <v/>
      </c>
      <c r="G87" s="45"/>
      <c r="H87" s="28" t="str">
        <f>IF(AND(I.Facility.FacilityCount&gt;=75,F87=""),"Incomplete","Complete")</f>
        <v>Complete</v>
      </c>
      <c r="I87" s="46" t="s">
        <v>553</v>
      </c>
      <c r="K87" s="44" t="s">
        <v>223</v>
      </c>
      <c r="L87" s="47" t="s">
        <v>2287</v>
      </c>
      <c r="S87" s="83" t="s">
        <v>1775</v>
      </c>
      <c r="T87" s="84">
        <v>0.85</v>
      </c>
    </row>
    <row r="88" spans="2:20" ht="14.45" customHeight="1" x14ac:dyDescent="0.25">
      <c r="B88" s="44" t="s">
        <v>294</v>
      </c>
      <c r="C88" s="28">
        <v>76</v>
      </c>
      <c r="D88" s="45" t="s">
        <v>2010</v>
      </c>
      <c r="E88" s="45"/>
      <c r="F88" s="28" t="str">
        <f>IF(INDEX(I.Facility.IDNumber,76)="","",INDEX(I.Facility.IDNumber,76))</f>
        <v/>
      </c>
      <c r="G88" s="45"/>
      <c r="H88" s="28" t="str">
        <f>IF(AND(I.Facility.FacilityCount&gt;=76,F88=""),"Incomplete","Complete")</f>
        <v>Complete</v>
      </c>
      <c r="I88" s="46" t="s">
        <v>554</v>
      </c>
      <c r="K88" s="44" t="s">
        <v>224</v>
      </c>
      <c r="L88" s="47" t="s">
        <v>2288</v>
      </c>
      <c r="S88" s="80" t="s">
        <v>1776</v>
      </c>
      <c r="T88" s="81">
        <v>0.98750000000000004</v>
      </c>
    </row>
    <row r="89" spans="2:20" ht="14.45" customHeight="1" x14ac:dyDescent="0.25">
      <c r="B89" s="44" t="s">
        <v>294</v>
      </c>
      <c r="C89" s="28">
        <v>77</v>
      </c>
      <c r="D89" s="45" t="s">
        <v>2010</v>
      </c>
      <c r="E89" s="45"/>
      <c r="F89" s="28" t="str">
        <f>IF(INDEX(I.Facility.IDNumber,77)="","",INDEX(I.Facility.IDNumber,77))</f>
        <v/>
      </c>
      <c r="G89" s="45"/>
      <c r="H89" s="28" t="str">
        <f>IF(AND(I.Facility.FacilityCount&gt;=77,F89=""),"Incomplete","Complete")</f>
        <v>Complete</v>
      </c>
      <c r="I89" s="46" t="s">
        <v>555</v>
      </c>
      <c r="K89" s="53" t="s">
        <v>225</v>
      </c>
      <c r="L89" s="61" t="s">
        <v>2289</v>
      </c>
      <c r="S89" s="80" t="s">
        <v>1777</v>
      </c>
      <c r="T89" s="81">
        <v>0.97499999999999998</v>
      </c>
    </row>
    <row r="90" spans="2:20" ht="14.45" customHeight="1" x14ac:dyDescent="0.25">
      <c r="B90" s="44" t="s">
        <v>294</v>
      </c>
      <c r="C90" s="28">
        <v>78</v>
      </c>
      <c r="D90" s="45" t="s">
        <v>2010</v>
      </c>
      <c r="E90" s="45"/>
      <c r="F90" s="28" t="str">
        <f>IF(INDEX(I.Facility.IDNumber,78)="","",INDEX(I.Facility.IDNumber,78))</f>
        <v/>
      </c>
      <c r="G90" s="45"/>
      <c r="H90" s="28" t="str">
        <f>IF(AND(I.Facility.FacilityCount&gt;=78,F90=""),"Incomplete","Complete")</f>
        <v>Complete</v>
      </c>
      <c r="I90" s="46" t="s">
        <v>556</v>
      </c>
      <c r="K90" s="38" t="s">
        <v>226</v>
      </c>
      <c r="L90" s="39" t="s">
        <v>2290</v>
      </c>
      <c r="S90" s="80" t="s">
        <v>1778</v>
      </c>
      <c r="T90" s="81">
        <v>0.96250000000000002</v>
      </c>
    </row>
    <row r="91" spans="2:20" ht="14.45" customHeight="1" x14ac:dyDescent="0.25">
      <c r="B91" s="44" t="s">
        <v>294</v>
      </c>
      <c r="C91" s="28">
        <v>79</v>
      </c>
      <c r="D91" s="45" t="s">
        <v>2010</v>
      </c>
      <c r="E91" s="45"/>
      <c r="F91" s="28" t="str">
        <f>IF(INDEX(I.Facility.IDNumber,79)="","",INDEX(I.Facility.IDNumber,79))</f>
        <v/>
      </c>
      <c r="G91" s="45"/>
      <c r="H91" s="28" t="str">
        <f>IF(AND(I.Facility.FacilityCount&gt;=79,F91=""),"Incomplete","Complete")</f>
        <v>Complete</v>
      </c>
      <c r="I91" s="46" t="s">
        <v>557</v>
      </c>
      <c r="K91" s="44" t="s">
        <v>227</v>
      </c>
      <c r="L91" s="47" t="s">
        <v>2291</v>
      </c>
      <c r="S91" s="80" t="s">
        <v>1779</v>
      </c>
      <c r="T91" s="81">
        <v>0.95</v>
      </c>
    </row>
    <row r="92" spans="2:20" ht="14.45" customHeight="1" x14ac:dyDescent="0.25">
      <c r="B92" s="44" t="s">
        <v>294</v>
      </c>
      <c r="C92" s="28">
        <v>80</v>
      </c>
      <c r="D92" s="45" t="s">
        <v>2010</v>
      </c>
      <c r="E92" s="45"/>
      <c r="F92" s="28" t="str">
        <f>IF(INDEX(I.Facility.IDNumber,80)="","",INDEX(I.Facility.IDNumber,80))</f>
        <v/>
      </c>
      <c r="G92" s="45"/>
      <c r="H92" s="28" t="str">
        <f>IF(AND(I.Facility.FacilityCount&gt;=80,F92=""),"Incomplete","Complete")</f>
        <v>Complete</v>
      </c>
      <c r="I92" s="46" t="s">
        <v>558</v>
      </c>
      <c r="K92" s="44" t="s">
        <v>228</v>
      </c>
      <c r="L92" s="47" t="s">
        <v>2292</v>
      </c>
      <c r="S92" s="80" t="s">
        <v>1780</v>
      </c>
      <c r="T92" s="81">
        <v>0.9375</v>
      </c>
    </row>
    <row r="93" spans="2:20" ht="14.45" customHeight="1" x14ac:dyDescent="0.25">
      <c r="B93" s="44" t="s">
        <v>294</v>
      </c>
      <c r="C93" s="28">
        <v>81</v>
      </c>
      <c r="D93" s="45" t="s">
        <v>2010</v>
      </c>
      <c r="E93" s="45"/>
      <c r="F93" s="28" t="str">
        <f>IF(INDEX(I.Facility.IDNumber,81)="","",INDEX(I.Facility.IDNumber,81))</f>
        <v/>
      </c>
      <c r="G93" s="45"/>
      <c r="H93" s="28" t="str">
        <f>IF(AND(I.Facility.FacilityCount&gt;=81,F93=""),"Incomplete","Complete")</f>
        <v>Complete</v>
      </c>
      <c r="I93" s="46" t="s">
        <v>559</v>
      </c>
      <c r="K93" s="44" t="s">
        <v>229</v>
      </c>
      <c r="L93" s="47" t="s">
        <v>2293</v>
      </c>
      <c r="S93" s="80" t="s">
        <v>1781</v>
      </c>
      <c r="T93" s="81">
        <v>0.92500000000000004</v>
      </c>
    </row>
    <row r="94" spans="2:20" ht="14.45" customHeight="1" x14ac:dyDescent="0.25">
      <c r="B94" s="44" t="s">
        <v>294</v>
      </c>
      <c r="C94" s="28">
        <v>82</v>
      </c>
      <c r="D94" s="45" t="s">
        <v>2010</v>
      </c>
      <c r="E94" s="45"/>
      <c r="F94" s="28" t="str">
        <f>IF(INDEX(I.Facility.IDNumber,82)="","",INDEX(I.Facility.IDNumber,82))</f>
        <v/>
      </c>
      <c r="G94" s="45"/>
      <c r="H94" s="28" t="str">
        <f>IF(AND(I.Facility.FacilityCount&gt;=82,F94=""),"Incomplete","Complete")</f>
        <v>Complete</v>
      </c>
      <c r="I94" s="46" t="s">
        <v>560</v>
      </c>
      <c r="K94" s="44" t="s">
        <v>230</v>
      </c>
      <c r="L94" s="47" t="s">
        <v>2294</v>
      </c>
      <c r="S94" s="80" t="s">
        <v>1782</v>
      </c>
      <c r="T94" s="81">
        <v>0.91249999999999998</v>
      </c>
    </row>
    <row r="95" spans="2:20" ht="14.45" customHeight="1" x14ac:dyDescent="0.25">
      <c r="B95" s="44" t="s">
        <v>294</v>
      </c>
      <c r="C95" s="28">
        <v>83</v>
      </c>
      <c r="D95" s="45" t="s">
        <v>2010</v>
      </c>
      <c r="E95" s="45"/>
      <c r="F95" s="28" t="str">
        <f>IF(INDEX(I.Facility.IDNumber,83)="","",INDEX(I.Facility.IDNumber,83))</f>
        <v/>
      </c>
      <c r="G95" s="45"/>
      <c r="H95" s="28" t="str">
        <f>IF(AND(I.Facility.FacilityCount&gt;=83,F95=""),"Incomplete","Complete")</f>
        <v>Complete</v>
      </c>
      <c r="I95" s="46" t="s">
        <v>561</v>
      </c>
      <c r="K95" s="44" t="s">
        <v>231</v>
      </c>
      <c r="L95" s="47" t="s">
        <v>2295</v>
      </c>
      <c r="S95" s="80" t="s">
        <v>1783</v>
      </c>
      <c r="T95" s="81">
        <v>0.9</v>
      </c>
    </row>
    <row r="96" spans="2:20" ht="14.45" customHeight="1" x14ac:dyDescent="0.25">
      <c r="B96" s="44" t="s">
        <v>294</v>
      </c>
      <c r="C96" s="28">
        <v>84</v>
      </c>
      <c r="D96" s="45" t="s">
        <v>2010</v>
      </c>
      <c r="E96" s="45"/>
      <c r="F96" s="28" t="str">
        <f>IF(INDEX(I.Facility.IDNumber,84)="","",INDEX(I.Facility.IDNumber,84))</f>
        <v/>
      </c>
      <c r="G96" s="45"/>
      <c r="H96" s="28" t="str">
        <f>IF(AND(I.Facility.FacilityCount&gt;=84,F96=""),"Incomplete","Complete")</f>
        <v>Complete</v>
      </c>
      <c r="I96" s="46" t="s">
        <v>562</v>
      </c>
      <c r="K96" s="44" t="s">
        <v>232</v>
      </c>
      <c r="L96" s="47" t="s">
        <v>2296</v>
      </c>
      <c r="S96" s="80" t="s">
        <v>1784</v>
      </c>
      <c r="T96" s="81">
        <v>0.88749999999999996</v>
      </c>
    </row>
    <row r="97" spans="2:20" ht="14.45" customHeight="1" x14ac:dyDescent="0.25">
      <c r="B97" s="44" t="s">
        <v>294</v>
      </c>
      <c r="C97" s="28">
        <v>85</v>
      </c>
      <c r="D97" s="45" t="s">
        <v>2010</v>
      </c>
      <c r="E97" s="45"/>
      <c r="F97" s="28" t="str">
        <f>IF(INDEX(I.Facility.IDNumber,85)="","",INDEX(I.Facility.IDNumber,85))</f>
        <v/>
      </c>
      <c r="G97" s="45"/>
      <c r="H97" s="28" t="str">
        <f>IF(AND(I.Facility.FacilityCount&gt;=85,F97=""),"Incomplete","Complete")</f>
        <v>Complete</v>
      </c>
      <c r="I97" s="46" t="s">
        <v>563</v>
      </c>
      <c r="K97" s="44" t="s">
        <v>233</v>
      </c>
      <c r="L97" s="47" t="s">
        <v>2297</v>
      </c>
      <c r="S97" s="80" t="s">
        <v>1785</v>
      </c>
      <c r="T97" s="81">
        <v>0.875</v>
      </c>
    </row>
    <row r="98" spans="2:20" ht="14.45" customHeight="1" x14ac:dyDescent="0.25">
      <c r="B98" s="44" t="s">
        <v>294</v>
      </c>
      <c r="C98" s="28">
        <v>86</v>
      </c>
      <c r="D98" s="45" t="s">
        <v>2010</v>
      </c>
      <c r="E98" s="45"/>
      <c r="F98" s="28" t="str">
        <f>IF(INDEX(I.Facility.IDNumber,86)="","",INDEX(I.Facility.IDNumber,86))</f>
        <v/>
      </c>
      <c r="G98" s="45"/>
      <c r="H98" s="28" t="str">
        <f>IF(AND(I.Facility.FacilityCount&gt;=86,F98=""),"Incomplete","Complete")</f>
        <v>Complete</v>
      </c>
      <c r="I98" s="46" t="s">
        <v>564</v>
      </c>
      <c r="K98" s="44" t="s">
        <v>234</v>
      </c>
      <c r="L98" s="47" t="s">
        <v>2298</v>
      </c>
      <c r="S98" s="80" t="s">
        <v>1786</v>
      </c>
      <c r="T98" s="81">
        <v>0.86250000000000004</v>
      </c>
    </row>
    <row r="99" spans="2:20" ht="14.45" customHeight="1" x14ac:dyDescent="0.25">
      <c r="B99" s="44" t="s">
        <v>294</v>
      </c>
      <c r="C99" s="28">
        <v>87</v>
      </c>
      <c r="D99" s="45" t="s">
        <v>2010</v>
      </c>
      <c r="E99" s="45"/>
      <c r="F99" s="28" t="str">
        <f>IF(INDEX(I.Facility.IDNumber,87)="","",INDEX(I.Facility.IDNumber,87))</f>
        <v/>
      </c>
      <c r="G99" s="45"/>
      <c r="H99" s="28" t="str">
        <f>IF(AND(I.Facility.FacilityCount&gt;=87,F99=""),"Incomplete","Complete")</f>
        <v>Complete</v>
      </c>
      <c r="I99" s="46" t="s">
        <v>565</v>
      </c>
      <c r="K99" s="53" t="s">
        <v>235</v>
      </c>
      <c r="L99" s="61" t="s">
        <v>2299</v>
      </c>
      <c r="S99" s="83" t="s">
        <v>1787</v>
      </c>
      <c r="T99" s="84">
        <v>0.85</v>
      </c>
    </row>
    <row r="100" spans="2:20" ht="14.45" customHeight="1" x14ac:dyDescent="0.25">
      <c r="B100" s="44" t="s">
        <v>294</v>
      </c>
      <c r="C100" s="28">
        <v>88</v>
      </c>
      <c r="D100" s="45" t="s">
        <v>2010</v>
      </c>
      <c r="E100" s="45"/>
      <c r="F100" s="28" t="str">
        <f>IF(INDEX(I.Facility.IDNumber,88)="","",INDEX(I.Facility.IDNumber,88))</f>
        <v/>
      </c>
      <c r="G100" s="45"/>
      <c r="H100" s="28" t="str">
        <f>IF(AND(I.Facility.FacilityCount&gt;=88,F100=""),"Incomplete","Complete")</f>
        <v>Complete</v>
      </c>
      <c r="I100" s="46" t="s">
        <v>566</v>
      </c>
      <c r="K100" s="38" t="s">
        <v>236</v>
      </c>
      <c r="L100" s="39" t="s">
        <v>2300</v>
      </c>
      <c r="S100" s="80" t="s">
        <v>1788</v>
      </c>
      <c r="T100" s="81">
        <v>0.98750000000000004</v>
      </c>
    </row>
    <row r="101" spans="2:20" ht="14.45" customHeight="1" x14ac:dyDescent="0.25">
      <c r="B101" s="44" t="s">
        <v>294</v>
      </c>
      <c r="C101" s="28">
        <v>89</v>
      </c>
      <c r="D101" s="45" t="s">
        <v>2010</v>
      </c>
      <c r="E101" s="45"/>
      <c r="F101" s="28" t="str">
        <f>IF(INDEX(I.Facility.IDNumber,89)="","",INDEX(I.Facility.IDNumber,89))</f>
        <v/>
      </c>
      <c r="G101" s="45"/>
      <c r="H101" s="28" t="str">
        <f>IF(AND(I.Facility.FacilityCount&gt;=89,F101=""),"Incomplete","Complete")</f>
        <v>Complete</v>
      </c>
      <c r="I101" s="46" t="s">
        <v>567</v>
      </c>
      <c r="K101" s="44" t="s">
        <v>237</v>
      </c>
      <c r="L101" s="47" t="s">
        <v>2301</v>
      </c>
      <c r="S101" s="80" t="s">
        <v>1789</v>
      </c>
      <c r="T101" s="81">
        <v>0.97499999999999998</v>
      </c>
    </row>
    <row r="102" spans="2:20" ht="14.45" customHeight="1" x14ac:dyDescent="0.25">
      <c r="B102" s="44" t="s">
        <v>294</v>
      </c>
      <c r="C102" s="28">
        <v>90</v>
      </c>
      <c r="D102" s="45" t="s">
        <v>2010</v>
      </c>
      <c r="E102" s="45"/>
      <c r="F102" s="28" t="str">
        <f>IF(INDEX(I.Facility.IDNumber,90)="","",INDEX(I.Facility.IDNumber,90))</f>
        <v/>
      </c>
      <c r="G102" s="45"/>
      <c r="H102" s="28" t="str">
        <f>IF(AND(I.Facility.FacilityCount&gt;=90,F102=""),"Incomplete","Complete")</f>
        <v>Complete</v>
      </c>
      <c r="I102" s="46" t="s">
        <v>568</v>
      </c>
      <c r="K102" s="44" t="s">
        <v>238</v>
      </c>
      <c r="L102" s="47" t="s">
        <v>2302</v>
      </c>
      <c r="S102" s="80" t="s">
        <v>1790</v>
      </c>
      <c r="T102" s="81">
        <v>0.96250000000000002</v>
      </c>
    </row>
    <row r="103" spans="2:20" ht="14.45" customHeight="1" x14ac:dyDescent="0.25">
      <c r="B103" s="44" t="s">
        <v>294</v>
      </c>
      <c r="C103" s="28">
        <v>91</v>
      </c>
      <c r="D103" s="45" t="s">
        <v>2010</v>
      </c>
      <c r="E103" s="45"/>
      <c r="F103" s="28" t="str">
        <f>IF(INDEX(I.Facility.IDNumber,91)="","",INDEX(I.Facility.IDNumber,91))</f>
        <v/>
      </c>
      <c r="G103" s="45"/>
      <c r="H103" s="28" t="str">
        <f>IF(AND(I.Facility.FacilityCount&gt;=91,F103=""),"Incomplete","Complete")</f>
        <v>Complete</v>
      </c>
      <c r="I103" s="46" t="s">
        <v>569</v>
      </c>
      <c r="K103" s="44" t="s">
        <v>239</v>
      </c>
      <c r="L103" s="47" t="s">
        <v>2303</v>
      </c>
      <c r="S103" s="80" t="s">
        <v>1791</v>
      </c>
      <c r="T103" s="81">
        <v>0.95</v>
      </c>
    </row>
    <row r="104" spans="2:20" ht="14.45" customHeight="1" x14ac:dyDescent="0.25">
      <c r="B104" s="44" t="s">
        <v>294</v>
      </c>
      <c r="C104" s="28">
        <v>92</v>
      </c>
      <c r="D104" s="45" t="s">
        <v>2010</v>
      </c>
      <c r="E104" s="45"/>
      <c r="F104" s="28" t="str">
        <f>IF(INDEX(I.Facility.IDNumber,92)="","",INDEX(I.Facility.IDNumber,92))</f>
        <v/>
      </c>
      <c r="G104" s="45"/>
      <c r="H104" s="28" t="str">
        <f>IF(AND(I.Facility.FacilityCount&gt;=92,F104=""),"Incomplete","Complete")</f>
        <v>Complete</v>
      </c>
      <c r="I104" s="46" t="s">
        <v>570</v>
      </c>
      <c r="K104" s="44" t="s">
        <v>240</v>
      </c>
      <c r="L104" s="47" t="s">
        <v>2304</v>
      </c>
      <c r="S104" s="80" t="s">
        <v>1792</v>
      </c>
      <c r="T104" s="81">
        <v>0.9375</v>
      </c>
    </row>
    <row r="105" spans="2:20" ht="14.45" customHeight="1" x14ac:dyDescent="0.25">
      <c r="B105" s="44" t="s">
        <v>294</v>
      </c>
      <c r="C105" s="28">
        <v>93</v>
      </c>
      <c r="D105" s="45" t="s">
        <v>2010</v>
      </c>
      <c r="E105" s="45"/>
      <c r="F105" s="28" t="str">
        <f>IF(INDEX(I.Facility.IDNumber,93)="","",INDEX(I.Facility.IDNumber,93))</f>
        <v/>
      </c>
      <c r="G105" s="45"/>
      <c r="H105" s="28" t="str">
        <f>IF(AND(I.Facility.FacilityCount&gt;=93,F105=""),"Incomplete","Complete")</f>
        <v>Complete</v>
      </c>
      <c r="I105" s="46" t="s">
        <v>571</v>
      </c>
      <c r="K105" s="44" t="s">
        <v>241</v>
      </c>
      <c r="L105" s="47" t="s">
        <v>2305</v>
      </c>
      <c r="S105" s="80" t="s">
        <v>1793</v>
      </c>
      <c r="T105" s="81">
        <v>0.92500000000000004</v>
      </c>
    </row>
    <row r="106" spans="2:20" ht="14.45" customHeight="1" x14ac:dyDescent="0.25">
      <c r="B106" s="44" t="s">
        <v>294</v>
      </c>
      <c r="C106" s="28">
        <v>94</v>
      </c>
      <c r="D106" s="45" t="s">
        <v>2010</v>
      </c>
      <c r="E106" s="45"/>
      <c r="F106" s="28" t="str">
        <f>IF(INDEX(I.Facility.IDNumber,94)="","",INDEX(I.Facility.IDNumber,94))</f>
        <v/>
      </c>
      <c r="G106" s="45"/>
      <c r="H106" s="28" t="str">
        <f>IF(AND(I.Facility.FacilityCount&gt;=94,F106=""),"Incomplete","Complete")</f>
        <v>Complete</v>
      </c>
      <c r="I106" s="46" t="s">
        <v>572</v>
      </c>
      <c r="K106" s="44" t="s">
        <v>242</v>
      </c>
      <c r="L106" s="47" t="s">
        <v>2306</v>
      </c>
      <c r="S106" s="80" t="s">
        <v>1794</v>
      </c>
      <c r="T106" s="81">
        <v>0.91249999999999998</v>
      </c>
    </row>
    <row r="107" spans="2:20" ht="14.45" customHeight="1" x14ac:dyDescent="0.25">
      <c r="B107" s="44" t="s">
        <v>294</v>
      </c>
      <c r="C107" s="28">
        <v>95</v>
      </c>
      <c r="D107" s="45" t="s">
        <v>2010</v>
      </c>
      <c r="E107" s="45"/>
      <c r="F107" s="28" t="str">
        <f>IF(INDEX(I.Facility.IDNumber,95)="","",INDEX(I.Facility.IDNumber,95))</f>
        <v/>
      </c>
      <c r="G107" s="45"/>
      <c r="H107" s="28" t="str">
        <f>IF(AND(I.Facility.FacilityCount&gt;=95,F107=""),"Incomplete","Complete")</f>
        <v>Complete</v>
      </c>
      <c r="I107" s="46" t="s">
        <v>573</v>
      </c>
      <c r="K107" s="44" t="s">
        <v>243</v>
      </c>
      <c r="L107" s="47" t="s">
        <v>2307</v>
      </c>
      <c r="S107" s="80" t="s">
        <v>1795</v>
      </c>
      <c r="T107" s="81">
        <v>0.9</v>
      </c>
    </row>
    <row r="108" spans="2:20" ht="14.45" customHeight="1" x14ac:dyDescent="0.25">
      <c r="B108" s="44" t="s">
        <v>294</v>
      </c>
      <c r="C108" s="28">
        <v>96</v>
      </c>
      <c r="D108" s="45" t="s">
        <v>2010</v>
      </c>
      <c r="E108" s="45"/>
      <c r="F108" s="28" t="str">
        <f>IF(INDEX(I.Facility.IDNumber,96)="","",INDEX(I.Facility.IDNumber,96))</f>
        <v/>
      </c>
      <c r="G108" s="45"/>
      <c r="H108" s="28" t="str">
        <f>IF(AND(I.Facility.FacilityCount&gt;=96,F108=""),"Incomplete","Complete")</f>
        <v>Complete</v>
      </c>
      <c r="I108" s="46" t="s">
        <v>574</v>
      </c>
      <c r="K108" s="44" t="s">
        <v>244</v>
      </c>
      <c r="L108" s="47" t="s">
        <v>2308</v>
      </c>
      <c r="S108" s="80" t="s">
        <v>1796</v>
      </c>
      <c r="T108" s="81">
        <v>0.88749999999999996</v>
      </c>
    </row>
    <row r="109" spans="2:20" ht="14.45" customHeight="1" x14ac:dyDescent="0.25">
      <c r="B109" s="44" t="s">
        <v>294</v>
      </c>
      <c r="C109" s="28">
        <v>97</v>
      </c>
      <c r="D109" s="45" t="s">
        <v>2010</v>
      </c>
      <c r="E109" s="45"/>
      <c r="F109" s="28" t="str">
        <f>IF(INDEX(I.Facility.IDNumber,97)="","",INDEX(I.Facility.IDNumber,97))</f>
        <v/>
      </c>
      <c r="G109" s="45"/>
      <c r="H109" s="28" t="str">
        <f>IF(AND(I.Facility.FacilityCount&gt;=97,F109=""),"Incomplete","Complete")</f>
        <v>Complete</v>
      </c>
      <c r="I109" s="46" t="s">
        <v>575</v>
      </c>
      <c r="K109" s="53" t="s">
        <v>245</v>
      </c>
      <c r="L109" s="61" t="s">
        <v>2309</v>
      </c>
      <c r="S109" s="80" t="s">
        <v>1797</v>
      </c>
      <c r="T109" s="81">
        <v>0.875</v>
      </c>
    </row>
    <row r="110" spans="2:20" ht="14.45" customHeight="1" x14ac:dyDescent="0.25">
      <c r="B110" s="44" t="s">
        <v>294</v>
      </c>
      <c r="C110" s="28">
        <v>98</v>
      </c>
      <c r="D110" s="45" t="s">
        <v>2010</v>
      </c>
      <c r="E110" s="45"/>
      <c r="F110" s="28" t="str">
        <f>IF(INDEX(I.Facility.IDNumber,98)="","",INDEX(I.Facility.IDNumber,98))</f>
        <v/>
      </c>
      <c r="G110" s="45"/>
      <c r="H110" s="28" t="str">
        <f>IF(AND(I.Facility.FacilityCount&gt;=98,F110=""),"Incomplete","Complete")</f>
        <v>Complete</v>
      </c>
      <c r="I110" s="46" t="s">
        <v>576</v>
      </c>
      <c r="K110" s="34" t="s">
        <v>246</v>
      </c>
      <c r="L110" s="85" t="s">
        <v>2310</v>
      </c>
      <c r="S110" s="80" t="s">
        <v>1798</v>
      </c>
      <c r="T110" s="81">
        <v>0.86250000000000004</v>
      </c>
    </row>
    <row r="111" spans="2:20" ht="14.45" customHeight="1" x14ac:dyDescent="0.25">
      <c r="B111" s="44" t="s">
        <v>294</v>
      </c>
      <c r="C111" s="28">
        <v>99</v>
      </c>
      <c r="D111" s="45" t="s">
        <v>2010</v>
      </c>
      <c r="E111" s="45"/>
      <c r="F111" s="28" t="str">
        <f>IF(INDEX(I.Facility.IDNumber,99)="","",INDEX(I.Facility.IDNumber,99))</f>
        <v/>
      </c>
      <c r="G111" s="45"/>
      <c r="H111" s="28" t="str">
        <f>IF(AND(I.Facility.FacilityCount&gt;=99,F111=""),"Incomplete","Complete")</f>
        <v>Complete</v>
      </c>
      <c r="I111" s="46" t="s">
        <v>577</v>
      </c>
      <c r="K111" s="53" t="s">
        <v>247</v>
      </c>
      <c r="L111" s="61" t="s">
        <v>2311</v>
      </c>
      <c r="S111" s="83" t="s">
        <v>1799</v>
      </c>
      <c r="T111" s="84">
        <v>0.85</v>
      </c>
    </row>
    <row r="112" spans="2:20" ht="14.45" customHeight="1" x14ac:dyDescent="0.25">
      <c r="B112" s="44" t="s">
        <v>294</v>
      </c>
      <c r="C112" s="28">
        <v>100</v>
      </c>
      <c r="D112" s="45" t="s">
        <v>2010</v>
      </c>
      <c r="E112" s="45"/>
      <c r="F112" s="28" t="str">
        <f>IF(INDEX(I.Facility.IDNumber,100)="","",INDEX(I.Facility.IDNumber,100))</f>
        <v/>
      </c>
      <c r="G112" s="45"/>
      <c r="H112" s="28" t="str">
        <f>IF(AND(I.Facility.FacilityCount&gt;=100,F112=""),"Incomplete","Complete")</f>
        <v>Complete</v>
      </c>
      <c r="I112" s="46" t="s">
        <v>578</v>
      </c>
      <c r="K112" s="44" t="s">
        <v>248</v>
      </c>
      <c r="L112" s="47" t="s">
        <v>2312</v>
      </c>
      <c r="S112" s="80" t="s">
        <v>1800</v>
      </c>
      <c r="T112" s="81">
        <v>0.98750000000000004</v>
      </c>
    </row>
    <row r="113" spans="2:20" ht="14.45" customHeight="1" x14ac:dyDescent="0.25">
      <c r="B113" s="44" t="s">
        <v>294</v>
      </c>
      <c r="C113" s="28">
        <v>101</v>
      </c>
      <c r="D113" s="45" t="s">
        <v>2010</v>
      </c>
      <c r="E113" s="45"/>
      <c r="F113" s="28" t="str">
        <f>IF(INDEX(I.Facility.IDNumber,101)="","",INDEX(I.Facility.IDNumber,101))</f>
        <v/>
      </c>
      <c r="G113" s="45"/>
      <c r="H113" s="28" t="str">
        <f>IF(AND(I.Facility.FacilityCount&gt;=101,F113=""),"Incomplete","Complete")</f>
        <v>Complete</v>
      </c>
      <c r="I113" s="46" t="s">
        <v>579</v>
      </c>
      <c r="K113" s="53" t="s">
        <v>1658</v>
      </c>
      <c r="L113" s="61" t="s">
        <v>2313</v>
      </c>
      <c r="S113" s="80" t="s">
        <v>1801</v>
      </c>
      <c r="T113" s="81">
        <v>0.97499999999999998</v>
      </c>
    </row>
    <row r="114" spans="2:20" ht="14.45" customHeight="1" x14ac:dyDescent="0.25">
      <c r="B114" s="44" t="s">
        <v>294</v>
      </c>
      <c r="C114" s="28">
        <v>102</v>
      </c>
      <c r="D114" s="45" t="s">
        <v>2010</v>
      </c>
      <c r="E114" s="45"/>
      <c r="F114" s="28" t="str">
        <f>IF(INDEX(I.Facility.IDNumber,102)="","",INDEX(I.Facility.IDNumber,102))</f>
        <v/>
      </c>
      <c r="G114" s="45"/>
      <c r="H114" s="28" t="str">
        <f>IF(AND(I.Facility.FacilityCount&gt;=102,F114=""),"Incomplete","Complete")</f>
        <v>Complete</v>
      </c>
      <c r="I114" s="46" t="s">
        <v>580</v>
      </c>
      <c r="K114" s="34" t="s">
        <v>1932</v>
      </c>
      <c r="L114" s="85" t="s">
        <v>2314</v>
      </c>
      <c r="S114" s="80" t="s">
        <v>1802</v>
      </c>
      <c r="T114" s="81">
        <v>0.96250000000000002</v>
      </c>
    </row>
    <row r="115" spans="2:20" ht="14.45" customHeight="1" x14ac:dyDescent="0.25">
      <c r="B115" s="44" t="s">
        <v>294</v>
      </c>
      <c r="C115" s="28">
        <v>103</v>
      </c>
      <c r="D115" s="45" t="s">
        <v>2010</v>
      </c>
      <c r="E115" s="45"/>
      <c r="F115" s="28" t="str">
        <f>IF(INDEX(I.Facility.IDNumber,103)="","",INDEX(I.Facility.IDNumber,103))</f>
        <v/>
      </c>
      <c r="G115" s="45"/>
      <c r="H115" s="28" t="str">
        <f>IF(AND(I.Facility.FacilityCount&gt;=103,F115=""),"Incomplete","Complete")</f>
        <v>Complete</v>
      </c>
      <c r="I115" s="46" t="s">
        <v>581</v>
      </c>
      <c r="K115" s="44" t="s">
        <v>1961</v>
      </c>
      <c r="L115" s="47" t="s">
        <v>2315</v>
      </c>
      <c r="S115" s="80" t="s">
        <v>1803</v>
      </c>
      <c r="T115" s="81">
        <v>0.95</v>
      </c>
    </row>
    <row r="116" spans="2:20" ht="14.45" customHeight="1" x14ac:dyDescent="0.25">
      <c r="B116" s="44" t="s">
        <v>294</v>
      </c>
      <c r="C116" s="28">
        <v>104</v>
      </c>
      <c r="D116" s="45" t="s">
        <v>2010</v>
      </c>
      <c r="E116" s="45"/>
      <c r="F116" s="28" t="str">
        <f>IF(INDEX(I.Facility.IDNumber,104)="","",INDEX(I.Facility.IDNumber,104))</f>
        <v/>
      </c>
      <c r="G116" s="45"/>
      <c r="H116" s="28" t="str">
        <f>IF(AND(I.Facility.FacilityCount&gt;=104,F116=""),"Incomplete","Complete")</f>
        <v>Complete</v>
      </c>
      <c r="I116" s="46" t="s">
        <v>582</v>
      </c>
      <c r="K116" s="75" t="s">
        <v>1969</v>
      </c>
      <c r="L116" s="61" t="s">
        <v>2316</v>
      </c>
      <c r="S116" s="80" t="s">
        <v>1804</v>
      </c>
      <c r="T116" s="81">
        <v>0.9375</v>
      </c>
    </row>
    <row r="117" spans="2:20" ht="14.45" customHeight="1" x14ac:dyDescent="0.25">
      <c r="B117" s="44" t="s">
        <v>294</v>
      </c>
      <c r="C117" s="28">
        <v>105</v>
      </c>
      <c r="D117" s="45" t="s">
        <v>2010</v>
      </c>
      <c r="E117" s="45"/>
      <c r="F117" s="28" t="str">
        <f>IF(INDEX(I.Facility.IDNumber,105)="","",INDEX(I.Facility.IDNumber,105))</f>
        <v/>
      </c>
      <c r="G117" s="45"/>
      <c r="H117" s="28" t="str">
        <f>IF(AND(I.Facility.FacilityCount&gt;=105,F117=""),"Incomplete","Complete")</f>
        <v>Complete</v>
      </c>
      <c r="I117" s="46" t="s">
        <v>583</v>
      </c>
      <c r="K117" s="42" t="s">
        <v>1933</v>
      </c>
      <c r="L117" s="85" t="s">
        <v>2317</v>
      </c>
      <c r="S117" s="80" t="s">
        <v>1805</v>
      </c>
      <c r="T117" s="81">
        <v>0.92500000000000004</v>
      </c>
    </row>
    <row r="118" spans="2:20" ht="14.45" customHeight="1" x14ac:dyDescent="0.25">
      <c r="B118" s="44" t="s">
        <v>294</v>
      </c>
      <c r="C118" s="28">
        <v>106</v>
      </c>
      <c r="D118" s="45" t="s">
        <v>2010</v>
      </c>
      <c r="E118" s="45"/>
      <c r="F118" s="28" t="str">
        <f>IF(INDEX(I.Facility.IDNumber,106)="","",INDEX(I.Facility.IDNumber,106))</f>
        <v/>
      </c>
      <c r="G118" s="45"/>
      <c r="H118" s="28" t="str">
        <f>IF(AND(I.Facility.FacilityCount&gt;=106,F118=""),"Incomplete","Complete")</f>
        <v>Complete</v>
      </c>
      <c r="I118" s="46" t="s">
        <v>584</v>
      </c>
      <c r="K118" s="50" t="s">
        <v>1962</v>
      </c>
      <c r="L118" s="47" t="s">
        <v>2318</v>
      </c>
      <c r="S118" s="80" t="s">
        <v>1806</v>
      </c>
      <c r="T118" s="81">
        <v>0.91249999999999998</v>
      </c>
    </row>
    <row r="119" spans="2:20" ht="14.45" customHeight="1" x14ac:dyDescent="0.25">
      <c r="B119" s="44" t="s">
        <v>294</v>
      </c>
      <c r="C119" s="28">
        <v>107</v>
      </c>
      <c r="D119" s="45" t="s">
        <v>2010</v>
      </c>
      <c r="E119" s="45"/>
      <c r="F119" s="28" t="str">
        <f>IF(INDEX(I.Facility.IDNumber,107)="","",INDEX(I.Facility.IDNumber,107))</f>
        <v/>
      </c>
      <c r="G119" s="45"/>
      <c r="H119" s="28" t="str">
        <f>IF(AND(I.Facility.FacilityCount&gt;=107,F119=""),"Incomplete","Complete")</f>
        <v>Complete</v>
      </c>
      <c r="I119" s="46" t="s">
        <v>585</v>
      </c>
      <c r="K119" s="75" t="s">
        <v>1970</v>
      </c>
      <c r="L119" s="61" t="s">
        <v>2319</v>
      </c>
      <c r="S119" s="80" t="s">
        <v>1807</v>
      </c>
      <c r="T119" s="81">
        <v>0.9</v>
      </c>
    </row>
    <row r="120" spans="2:20" ht="14.45" customHeight="1" x14ac:dyDescent="0.25">
      <c r="B120" s="44" t="s">
        <v>294</v>
      </c>
      <c r="C120" s="28">
        <v>108</v>
      </c>
      <c r="D120" s="45" t="s">
        <v>2010</v>
      </c>
      <c r="E120" s="45"/>
      <c r="F120" s="28" t="str">
        <f>IF(INDEX(I.Facility.IDNumber,108)="","",INDEX(I.Facility.IDNumber,108))</f>
        <v/>
      </c>
      <c r="G120" s="45"/>
      <c r="H120" s="28" t="str">
        <f>IF(AND(I.Facility.FacilityCount&gt;=108,F120=""),"Incomplete","Complete")</f>
        <v>Complete</v>
      </c>
      <c r="I120" s="46" t="s">
        <v>586</v>
      </c>
      <c r="K120" s="42" t="s">
        <v>1934</v>
      </c>
      <c r="L120" s="85" t="s">
        <v>2320</v>
      </c>
      <c r="S120" s="80" t="s">
        <v>1808</v>
      </c>
      <c r="T120" s="81">
        <v>0.88749999999999996</v>
      </c>
    </row>
    <row r="121" spans="2:20" ht="14.45" customHeight="1" x14ac:dyDescent="0.25">
      <c r="B121" s="44" t="s">
        <v>294</v>
      </c>
      <c r="C121" s="28">
        <v>109</v>
      </c>
      <c r="D121" s="45" t="s">
        <v>2010</v>
      </c>
      <c r="E121" s="45"/>
      <c r="F121" s="28" t="str">
        <f>IF(INDEX(I.Facility.IDNumber,109)="","",INDEX(I.Facility.IDNumber,109))</f>
        <v/>
      </c>
      <c r="G121" s="45"/>
      <c r="H121" s="28" t="str">
        <f>IF(AND(I.Facility.FacilityCount&gt;=109,F121=""),"Incomplete","Complete")</f>
        <v>Complete</v>
      </c>
      <c r="I121" s="46" t="s">
        <v>587</v>
      </c>
      <c r="K121" s="50" t="s">
        <v>1963</v>
      </c>
      <c r="L121" s="47" t="s">
        <v>2321</v>
      </c>
      <c r="S121" s="80" t="s">
        <v>1809</v>
      </c>
      <c r="T121" s="81">
        <v>0.875</v>
      </c>
    </row>
    <row r="122" spans="2:20" ht="14.45" customHeight="1" x14ac:dyDescent="0.25">
      <c r="B122" s="44" t="s">
        <v>294</v>
      </c>
      <c r="C122" s="28">
        <v>110</v>
      </c>
      <c r="D122" s="45" t="s">
        <v>2010</v>
      </c>
      <c r="E122" s="45"/>
      <c r="F122" s="28" t="str">
        <f>IF(INDEX(I.Facility.IDNumber,110)="","",INDEX(I.Facility.IDNumber,110))</f>
        <v/>
      </c>
      <c r="G122" s="45"/>
      <c r="H122" s="28" t="str">
        <f>IF(AND(I.Facility.FacilityCount&gt;=110,F122=""),"Incomplete","Complete")</f>
        <v>Complete</v>
      </c>
      <c r="I122" s="46" t="s">
        <v>588</v>
      </c>
      <c r="K122" s="75" t="s">
        <v>1978</v>
      </c>
      <c r="L122" s="61" t="s">
        <v>2322</v>
      </c>
      <c r="S122" s="80" t="s">
        <v>1810</v>
      </c>
      <c r="T122" s="81">
        <v>0.86250000000000004</v>
      </c>
    </row>
    <row r="123" spans="2:20" ht="14.45" customHeight="1" x14ac:dyDescent="0.25">
      <c r="B123" s="44" t="s">
        <v>294</v>
      </c>
      <c r="C123" s="28">
        <v>111</v>
      </c>
      <c r="D123" s="45" t="s">
        <v>2010</v>
      </c>
      <c r="E123" s="45"/>
      <c r="F123" s="28" t="str">
        <f>IF(INDEX(I.Facility.IDNumber,111)="","",INDEX(I.Facility.IDNumber,111))</f>
        <v/>
      </c>
      <c r="G123" s="45"/>
      <c r="H123" s="28" t="str">
        <f>IF(AND(I.Facility.FacilityCount&gt;=111,F123=""),"Incomplete","Complete")</f>
        <v>Complete</v>
      </c>
      <c r="I123" s="46" t="s">
        <v>589</v>
      </c>
      <c r="K123" s="42" t="s">
        <v>1935</v>
      </c>
      <c r="L123" s="85" t="s">
        <v>2323</v>
      </c>
      <c r="S123" s="83" t="s">
        <v>1811</v>
      </c>
      <c r="T123" s="84">
        <v>0.85</v>
      </c>
    </row>
    <row r="124" spans="2:20" ht="14.45" customHeight="1" x14ac:dyDescent="0.25">
      <c r="B124" s="44" t="s">
        <v>294</v>
      </c>
      <c r="C124" s="28">
        <v>112</v>
      </c>
      <c r="D124" s="45" t="s">
        <v>2010</v>
      </c>
      <c r="E124" s="45"/>
      <c r="F124" s="28" t="str">
        <f>IF(INDEX(I.Facility.IDNumber,112)="","",INDEX(I.Facility.IDNumber,112))</f>
        <v/>
      </c>
      <c r="G124" s="45"/>
      <c r="H124" s="28" t="str">
        <f>IF(AND(I.Facility.FacilityCount&gt;=112,F124=""),"Incomplete","Complete")</f>
        <v>Complete</v>
      </c>
      <c r="I124" s="46" t="s">
        <v>590</v>
      </c>
      <c r="K124" s="50" t="s">
        <v>1964</v>
      </c>
      <c r="L124" s="47" t="s">
        <v>2324</v>
      </c>
      <c r="S124" s="80" t="s">
        <v>1812</v>
      </c>
      <c r="T124" s="81">
        <v>0.98750000000000004</v>
      </c>
    </row>
    <row r="125" spans="2:20" ht="14.45" customHeight="1" x14ac:dyDescent="0.25">
      <c r="B125" s="44" t="s">
        <v>294</v>
      </c>
      <c r="C125" s="28">
        <v>113</v>
      </c>
      <c r="D125" s="45" t="s">
        <v>2010</v>
      </c>
      <c r="E125" s="45"/>
      <c r="F125" s="28" t="str">
        <f>IF(INDEX(I.Facility.IDNumber,113)="","",INDEX(I.Facility.IDNumber,113))</f>
        <v/>
      </c>
      <c r="G125" s="45"/>
      <c r="H125" s="28" t="str">
        <f>IF(AND(I.Facility.FacilityCount&gt;=113,F125=""),"Incomplete","Complete")</f>
        <v>Complete</v>
      </c>
      <c r="I125" s="46" t="s">
        <v>591</v>
      </c>
      <c r="K125" s="75" t="s">
        <v>1979</v>
      </c>
      <c r="L125" s="61" t="s">
        <v>2325</v>
      </c>
      <c r="S125" s="80" t="s">
        <v>1813</v>
      </c>
      <c r="T125" s="81">
        <v>0.97499999999999998</v>
      </c>
    </row>
    <row r="126" spans="2:20" ht="14.45" customHeight="1" x14ac:dyDescent="0.25">
      <c r="B126" s="44" t="s">
        <v>294</v>
      </c>
      <c r="C126" s="28">
        <v>114</v>
      </c>
      <c r="D126" s="45" t="s">
        <v>2010</v>
      </c>
      <c r="E126" s="45"/>
      <c r="F126" s="28" t="str">
        <f>IF(INDEX(I.Facility.IDNumber,114)="","",INDEX(I.Facility.IDNumber,114))</f>
        <v/>
      </c>
      <c r="G126" s="45"/>
      <c r="H126" s="28" t="str">
        <f>IF(AND(I.Facility.FacilityCount&gt;=114,F126=""),"Incomplete","Complete")</f>
        <v>Complete</v>
      </c>
      <c r="I126" s="46" t="s">
        <v>592</v>
      </c>
      <c r="K126" s="42" t="s">
        <v>1936</v>
      </c>
      <c r="L126" s="85" t="s">
        <v>2326</v>
      </c>
      <c r="S126" s="80" t="s">
        <v>1814</v>
      </c>
      <c r="T126" s="81">
        <v>0.96250000000000002</v>
      </c>
    </row>
    <row r="127" spans="2:20" ht="14.45" customHeight="1" x14ac:dyDescent="0.25">
      <c r="B127" s="44" t="s">
        <v>294</v>
      </c>
      <c r="C127" s="28">
        <v>115</v>
      </c>
      <c r="D127" s="45" t="s">
        <v>2010</v>
      </c>
      <c r="E127" s="45"/>
      <c r="F127" s="28" t="str">
        <f>IF(INDEX(I.Facility.IDNumber,115)="","",INDEX(I.Facility.IDNumber,115))</f>
        <v/>
      </c>
      <c r="G127" s="45"/>
      <c r="H127" s="28" t="str">
        <f>IF(AND(I.Facility.FacilityCount&gt;=115,F127=""),"Incomplete","Complete")</f>
        <v>Complete</v>
      </c>
      <c r="I127" s="46" t="s">
        <v>593</v>
      </c>
      <c r="K127" s="50" t="s">
        <v>1965</v>
      </c>
      <c r="L127" s="47" t="s">
        <v>2327</v>
      </c>
      <c r="S127" s="80" t="s">
        <v>1815</v>
      </c>
      <c r="T127" s="81">
        <v>0.95</v>
      </c>
    </row>
    <row r="128" spans="2:20" ht="14.45" customHeight="1" x14ac:dyDescent="0.25">
      <c r="B128" s="44" t="s">
        <v>294</v>
      </c>
      <c r="C128" s="28">
        <v>116</v>
      </c>
      <c r="D128" s="45" t="s">
        <v>2010</v>
      </c>
      <c r="E128" s="45"/>
      <c r="F128" s="28" t="str">
        <f>IF(INDEX(I.Facility.IDNumber,116)="","",INDEX(I.Facility.IDNumber,116))</f>
        <v/>
      </c>
      <c r="G128" s="45"/>
      <c r="H128" s="28" t="str">
        <f>IF(AND(I.Facility.FacilityCount&gt;=116,F128=""),"Incomplete","Complete")</f>
        <v>Complete</v>
      </c>
      <c r="I128" s="46" t="s">
        <v>594</v>
      </c>
      <c r="K128" s="75" t="s">
        <v>1980</v>
      </c>
      <c r="L128" s="61" t="s">
        <v>2328</v>
      </c>
      <c r="S128" s="80" t="s">
        <v>1816</v>
      </c>
      <c r="T128" s="81">
        <v>0.9375</v>
      </c>
    </row>
    <row r="129" spans="2:20" ht="14.45" customHeight="1" x14ac:dyDescent="0.25">
      <c r="B129" s="44" t="s">
        <v>294</v>
      </c>
      <c r="C129" s="28">
        <v>117</v>
      </c>
      <c r="D129" s="45" t="s">
        <v>2010</v>
      </c>
      <c r="E129" s="45"/>
      <c r="F129" s="28" t="str">
        <f>IF(INDEX(I.Facility.IDNumber,117)="","",INDEX(I.Facility.IDNumber,117))</f>
        <v/>
      </c>
      <c r="G129" s="45"/>
      <c r="H129" s="28" t="str">
        <f>IF(AND(I.Facility.FacilityCount&gt;=117,F129=""),"Incomplete","Complete")</f>
        <v>Complete</v>
      </c>
      <c r="I129" s="46" t="s">
        <v>595</v>
      </c>
      <c r="K129" s="95" t="s">
        <v>1960</v>
      </c>
      <c r="L129" s="39" t="s">
        <v>2329</v>
      </c>
      <c r="S129" s="80" t="s">
        <v>1817</v>
      </c>
      <c r="T129" s="81">
        <v>0.92500000000000004</v>
      </c>
    </row>
    <row r="130" spans="2:20" ht="14.45" customHeight="1" x14ac:dyDescent="0.25">
      <c r="B130" s="44" t="s">
        <v>294</v>
      </c>
      <c r="C130" s="28">
        <v>118</v>
      </c>
      <c r="D130" s="45" t="s">
        <v>2010</v>
      </c>
      <c r="E130" s="45"/>
      <c r="F130" s="28" t="str">
        <f>IF(INDEX(I.Facility.IDNumber,118)="","",INDEX(I.Facility.IDNumber,118))</f>
        <v/>
      </c>
      <c r="G130" s="45"/>
      <c r="H130" s="28" t="str">
        <f>IF(AND(I.Facility.FacilityCount&gt;=118,F130=""),"Incomplete","Complete")</f>
        <v>Complete</v>
      </c>
      <c r="I130" s="46" t="s">
        <v>596</v>
      </c>
      <c r="K130" s="75" t="s">
        <v>1937</v>
      </c>
      <c r="L130" s="61" t="s">
        <v>2330</v>
      </c>
      <c r="S130" s="80" t="s">
        <v>1818</v>
      </c>
      <c r="T130" s="81">
        <v>0.91249999999999998</v>
      </c>
    </row>
    <row r="131" spans="2:20" ht="14.45" customHeight="1" x14ac:dyDescent="0.25">
      <c r="B131" s="44" t="s">
        <v>294</v>
      </c>
      <c r="C131" s="28">
        <v>119</v>
      </c>
      <c r="D131" s="45" t="s">
        <v>2010</v>
      </c>
      <c r="E131" s="45"/>
      <c r="F131" s="28" t="str">
        <f>IF(INDEX(I.Facility.IDNumber,119)="","",INDEX(I.Facility.IDNumber,119))</f>
        <v/>
      </c>
      <c r="G131" s="45"/>
      <c r="H131" s="28" t="str">
        <f>IF(AND(I.Facility.FacilityCount&gt;=119,F131=""),"Incomplete","Complete")</f>
        <v>Complete</v>
      </c>
      <c r="I131" s="46" t="s">
        <v>597</v>
      </c>
      <c r="K131" s="50" t="s">
        <v>249</v>
      </c>
      <c r="L131" s="47" t="s">
        <v>2331</v>
      </c>
      <c r="S131" s="80" t="s">
        <v>1819</v>
      </c>
      <c r="T131" s="81">
        <v>0.9</v>
      </c>
    </row>
    <row r="132" spans="2:20" ht="14.45" customHeight="1" x14ac:dyDescent="0.25">
      <c r="B132" s="44" t="s">
        <v>294</v>
      </c>
      <c r="C132" s="28">
        <v>120</v>
      </c>
      <c r="D132" s="45" t="s">
        <v>2010</v>
      </c>
      <c r="E132" s="45"/>
      <c r="F132" s="28" t="str">
        <f>IF(INDEX(I.Facility.IDNumber,120)="","",INDEX(I.Facility.IDNumber,120))</f>
        <v/>
      </c>
      <c r="G132" s="45"/>
      <c r="H132" s="28" t="str">
        <f>IF(AND(I.Facility.FacilityCount&gt;=120,F132=""),"Incomplete","Complete")</f>
        <v>Complete</v>
      </c>
      <c r="I132" s="46" t="s">
        <v>598</v>
      </c>
      <c r="K132" s="50" t="s">
        <v>1657</v>
      </c>
      <c r="L132" s="47" t="s">
        <v>2332</v>
      </c>
      <c r="S132" s="80" t="s">
        <v>1820</v>
      </c>
      <c r="T132" s="81">
        <v>0.88749999999999996</v>
      </c>
    </row>
    <row r="133" spans="2:20" ht="14.45" customHeight="1" x14ac:dyDescent="0.25">
      <c r="B133" s="44" t="s">
        <v>294</v>
      </c>
      <c r="C133" s="28">
        <v>121</v>
      </c>
      <c r="D133" s="45" t="s">
        <v>2010</v>
      </c>
      <c r="E133" s="45"/>
      <c r="F133" s="28" t="str">
        <f>IF(INDEX(I.Facility.IDNumber,121)="","",INDEX(I.Facility.IDNumber,121))</f>
        <v/>
      </c>
      <c r="G133" s="45"/>
      <c r="H133" s="28" t="str">
        <f>IF(AND(I.Facility.FacilityCount&gt;=121,F133=""),"Incomplete","Complete")</f>
        <v>Complete</v>
      </c>
      <c r="I133" s="46" t="s">
        <v>599</v>
      </c>
      <c r="K133" s="50" t="s">
        <v>250</v>
      </c>
      <c r="L133" s="47" t="s">
        <v>2333</v>
      </c>
      <c r="S133" s="80" t="s">
        <v>1821</v>
      </c>
      <c r="T133" s="81">
        <v>0.875</v>
      </c>
    </row>
    <row r="134" spans="2:20" ht="14.45" customHeight="1" x14ac:dyDescent="0.25">
      <c r="B134" s="44" t="s">
        <v>294</v>
      </c>
      <c r="C134" s="28">
        <v>122</v>
      </c>
      <c r="D134" s="45" t="s">
        <v>2010</v>
      </c>
      <c r="E134" s="45"/>
      <c r="F134" s="28" t="str">
        <f>IF(INDEX(I.Facility.IDNumber,122)="","",INDEX(I.Facility.IDNumber,122))</f>
        <v/>
      </c>
      <c r="G134" s="45"/>
      <c r="H134" s="28" t="str">
        <f>IF(AND(I.Facility.FacilityCount&gt;=122,F134=""),"Incomplete","Complete")</f>
        <v>Complete</v>
      </c>
      <c r="I134" s="46" t="s">
        <v>600</v>
      </c>
      <c r="K134" s="50" t="s">
        <v>251</v>
      </c>
      <c r="L134" s="47" t="s">
        <v>2363</v>
      </c>
      <c r="S134" s="80" t="s">
        <v>1822</v>
      </c>
      <c r="T134" s="81">
        <v>0.86250000000000004</v>
      </c>
    </row>
    <row r="135" spans="2:20" ht="14.45" customHeight="1" x14ac:dyDescent="0.25">
      <c r="B135" s="44" t="s">
        <v>294</v>
      </c>
      <c r="C135" s="28">
        <v>123</v>
      </c>
      <c r="D135" s="45" t="s">
        <v>2010</v>
      </c>
      <c r="E135" s="45"/>
      <c r="F135" s="28" t="str">
        <f>IF(INDEX(I.Facility.IDNumber,123)="","",INDEX(I.Facility.IDNumber,123))</f>
        <v/>
      </c>
      <c r="G135" s="45"/>
      <c r="H135" s="28" t="str">
        <f>IF(AND(I.Facility.FacilityCount&gt;=123,F135=""),"Incomplete","Complete")</f>
        <v>Complete</v>
      </c>
      <c r="I135" s="46" t="s">
        <v>601</v>
      </c>
      <c r="K135" s="75" t="s">
        <v>1938</v>
      </c>
      <c r="L135" s="61" t="s">
        <v>2334</v>
      </c>
      <c r="S135" s="83" t="s">
        <v>1823</v>
      </c>
      <c r="T135" s="84">
        <v>0.85</v>
      </c>
    </row>
    <row r="136" spans="2:20" ht="14.45" customHeight="1" x14ac:dyDescent="0.25">
      <c r="B136" s="44" t="s">
        <v>294</v>
      </c>
      <c r="C136" s="28">
        <v>124</v>
      </c>
      <c r="D136" s="45" t="s">
        <v>2010</v>
      </c>
      <c r="E136" s="45"/>
      <c r="F136" s="28" t="str">
        <f>IF(INDEX(I.Facility.IDNumber,124)="","",INDEX(I.Facility.IDNumber,124))</f>
        <v/>
      </c>
      <c r="G136" s="45"/>
      <c r="H136" s="28" t="str">
        <f>IF(AND(I.Facility.FacilityCount&gt;=124,F136=""),"Incomplete","Complete")</f>
        <v>Complete</v>
      </c>
      <c r="I136" s="46" t="s">
        <v>602</v>
      </c>
      <c r="S136" s="80" t="s">
        <v>1824</v>
      </c>
      <c r="T136" s="81">
        <v>0.98329999999999995</v>
      </c>
    </row>
    <row r="137" spans="2:20" ht="14.45" customHeight="1" x14ac:dyDescent="0.25">
      <c r="B137" s="44" t="s">
        <v>294</v>
      </c>
      <c r="C137" s="28">
        <v>125</v>
      </c>
      <c r="D137" s="45" t="s">
        <v>2010</v>
      </c>
      <c r="E137" s="45"/>
      <c r="F137" s="28" t="str">
        <f>IF(INDEX(I.Facility.IDNumber,125)="","",INDEX(I.Facility.IDNumber,125))</f>
        <v/>
      </c>
      <c r="G137" s="45"/>
      <c r="H137" s="28" t="str">
        <f>IF(AND(I.Facility.FacilityCount&gt;=125,F137=""),"Incomplete","Complete")</f>
        <v>Complete</v>
      </c>
      <c r="I137" s="46" t="s">
        <v>603</v>
      </c>
      <c r="S137" s="80" t="s">
        <v>1825</v>
      </c>
      <c r="T137" s="81">
        <v>0.9667</v>
      </c>
    </row>
    <row r="138" spans="2:20" ht="14.45" customHeight="1" x14ac:dyDescent="0.25">
      <c r="B138" s="44" t="s">
        <v>294</v>
      </c>
      <c r="C138" s="28">
        <v>126</v>
      </c>
      <c r="D138" s="45" t="s">
        <v>2010</v>
      </c>
      <c r="E138" s="45"/>
      <c r="F138" s="28" t="str">
        <f>IF(INDEX(I.Facility.IDNumber,126)="","",INDEX(I.Facility.IDNumber,126))</f>
        <v/>
      </c>
      <c r="G138" s="45"/>
      <c r="H138" s="28" t="str">
        <f>IF(AND(I.Facility.FacilityCount&gt;=126,F138=""),"Incomplete","Complete")</f>
        <v>Complete</v>
      </c>
      <c r="I138" s="46" t="s">
        <v>604</v>
      </c>
      <c r="S138" s="80" t="s">
        <v>1826</v>
      </c>
      <c r="T138" s="81">
        <v>0.95</v>
      </c>
    </row>
    <row r="139" spans="2:20" ht="14.45" customHeight="1" x14ac:dyDescent="0.25">
      <c r="B139" s="44" t="s">
        <v>294</v>
      </c>
      <c r="C139" s="28">
        <v>127</v>
      </c>
      <c r="D139" s="45" t="s">
        <v>2010</v>
      </c>
      <c r="E139" s="45"/>
      <c r="F139" s="28" t="str">
        <f>IF(INDEX(I.Facility.IDNumber,127)="","",INDEX(I.Facility.IDNumber,127))</f>
        <v/>
      </c>
      <c r="G139" s="45"/>
      <c r="H139" s="28" t="str">
        <f>IF(AND(I.Facility.FacilityCount&gt;=127,F139=""),"Incomplete","Complete")</f>
        <v>Complete</v>
      </c>
      <c r="I139" s="46" t="s">
        <v>605</v>
      </c>
      <c r="S139" s="80" t="s">
        <v>1827</v>
      </c>
      <c r="T139" s="81">
        <v>0.93330000000000002</v>
      </c>
    </row>
    <row r="140" spans="2:20" ht="14.45" customHeight="1" x14ac:dyDescent="0.25">
      <c r="B140" s="44" t="s">
        <v>294</v>
      </c>
      <c r="C140" s="28">
        <v>128</v>
      </c>
      <c r="D140" s="45" t="s">
        <v>2010</v>
      </c>
      <c r="E140" s="45"/>
      <c r="F140" s="28" t="str">
        <f>IF(INDEX(I.Facility.IDNumber,128)="","",INDEX(I.Facility.IDNumber,128))</f>
        <v/>
      </c>
      <c r="G140" s="45"/>
      <c r="H140" s="28" t="str">
        <f>IF(AND(I.Facility.FacilityCount&gt;=128,F140=""),"Incomplete","Complete")</f>
        <v>Complete</v>
      </c>
      <c r="I140" s="46" t="s">
        <v>606</v>
      </c>
      <c r="S140" s="80" t="s">
        <v>1828</v>
      </c>
      <c r="T140" s="81">
        <v>0.91669999999999996</v>
      </c>
    </row>
    <row r="141" spans="2:20" ht="14.45" customHeight="1" x14ac:dyDescent="0.25">
      <c r="B141" s="44" t="s">
        <v>294</v>
      </c>
      <c r="C141" s="28">
        <v>129</v>
      </c>
      <c r="D141" s="45" t="s">
        <v>2010</v>
      </c>
      <c r="E141" s="45"/>
      <c r="F141" s="28" t="str">
        <f>IF(INDEX(I.Facility.IDNumber,129)="","",INDEX(I.Facility.IDNumber,129))</f>
        <v/>
      </c>
      <c r="G141" s="45"/>
      <c r="H141" s="28" t="str">
        <f>IF(AND(I.Facility.FacilityCount&gt;=129,F141=""),"Incomplete","Complete")</f>
        <v>Complete</v>
      </c>
      <c r="I141" s="46" t="s">
        <v>607</v>
      </c>
      <c r="S141" s="80" t="s">
        <v>1829</v>
      </c>
      <c r="T141" s="81">
        <v>0.9</v>
      </c>
    </row>
    <row r="142" spans="2:20" ht="14.45" customHeight="1" x14ac:dyDescent="0.25">
      <c r="B142" s="44" t="s">
        <v>294</v>
      </c>
      <c r="C142" s="28">
        <v>130</v>
      </c>
      <c r="D142" s="45" t="s">
        <v>2010</v>
      </c>
      <c r="E142" s="45"/>
      <c r="F142" s="28" t="str">
        <f>IF(INDEX(I.Facility.IDNumber,130)="","",INDEX(I.Facility.IDNumber,130))</f>
        <v/>
      </c>
      <c r="G142" s="45"/>
      <c r="H142" s="28" t="str">
        <f>IF(AND(I.Facility.FacilityCount&gt;=130,F142=""),"Incomplete","Complete")</f>
        <v>Complete</v>
      </c>
      <c r="I142" s="46" t="s">
        <v>608</v>
      </c>
      <c r="S142" s="80" t="s">
        <v>1830</v>
      </c>
      <c r="T142" s="81">
        <v>0.88329999999999997</v>
      </c>
    </row>
    <row r="143" spans="2:20" ht="14.45" customHeight="1" x14ac:dyDescent="0.25">
      <c r="B143" s="44" t="s">
        <v>294</v>
      </c>
      <c r="C143" s="28">
        <v>131</v>
      </c>
      <c r="D143" s="45" t="s">
        <v>2010</v>
      </c>
      <c r="E143" s="45"/>
      <c r="F143" s="28" t="str">
        <f>IF(INDEX(I.Facility.IDNumber,131)="","",INDEX(I.Facility.IDNumber,131))</f>
        <v/>
      </c>
      <c r="G143" s="45"/>
      <c r="H143" s="28" t="str">
        <f>IF(AND(I.Facility.FacilityCount&gt;=131,F143=""),"Incomplete","Complete")</f>
        <v>Complete</v>
      </c>
      <c r="I143" s="46" t="s">
        <v>609</v>
      </c>
      <c r="S143" s="80" t="s">
        <v>1831</v>
      </c>
      <c r="T143" s="81">
        <v>0.86670000000000003</v>
      </c>
    </row>
    <row r="144" spans="2:20" ht="14.45" customHeight="1" x14ac:dyDescent="0.25">
      <c r="B144" s="44" t="s">
        <v>294</v>
      </c>
      <c r="C144" s="28">
        <v>132</v>
      </c>
      <c r="D144" s="45" t="s">
        <v>2010</v>
      </c>
      <c r="E144" s="45"/>
      <c r="F144" s="28" t="str">
        <f>IF(INDEX(I.Facility.IDNumber,132)="","",INDEX(I.Facility.IDNumber,132))</f>
        <v/>
      </c>
      <c r="G144" s="45"/>
      <c r="H144" s="28" t="str">
        <f>IF(AND(I.Facility.FacilityCount&gt;=132,F144=""),"Incomplete","Complete")</f>
        <v>Complete</v>
      </c>
      <c r="I144" s="46" t="s">
        <v>610</v>
      </c>
      <c r="S144" s="80" t="s">
        <v>1832</v>
      </c>
      <c r="T144" s="81">
        <v>0.85</v>
      </c>
    </row>
    <row r="145" spans="2:20" ht="14.45" customHeight="1" x14ac:dyDescent="0.25">
      <c r="B145" s="44" t="s">
        <v>294</v>
      </c>
      <c r="C145" s="28">
        <v>133</v>
      </c>
      <c r="D145" s="45" t="s">
        <v>2010</v>
      </c>
      <c r="E145" s="45"/>
      <c r="F145" s="28" t="str">
        <f>IF(INDEX(I.Facility.IDNumber,133)="","",INDEX(I.Facility.IDNumber,133))</f>
        <v/>
      </c>
      <c r="G145" s="45"/>
      <c r="H145" s="28" t="str">
        <f>IF(AND(I.Facility.FacilityCount&gt;=133,F145=""),"Incomplete","Complete")</f>
        <v>Complete</v>
      </c>
      <c r="I145" s="46" t="s">
        <v>611</v>
      </c>
      <c r="S145" s="80" t="s">
        <v>1833</v>
      </c>
      <c r="T145" s="81">
        <v>0.83330000000000004</v>
      </c>
    </row>
    <row r="146" spans="2:20" ht="14.45" customHeight="1" x14ac:dyDescent="0.25">
      <c r="B146" s="44" t="s">
        <v>294</v>
      </c>
      <c r="C146" s="28">
        <v>134</v>
      </c>
      <c r="D146" s="45" t="s">
        <v>2010</v>
      </c>
      <c r="E146" s="45"/>
      <c r="F146" s="28" t="str">
        <f>IF(INDEX(I.Facility.IDNumber,134)="","",INDEX(I.Facility.IDNumber,134))</f>
        <v/>
      </c>
      <c r="G146" s="45"/>
      <c r="H146" s="28" t="str">
        <f>IF(AND(I.Facility.FacilityCount&gt;=134,F146=""),"Incomplete","Complete")</f>
        <v>Complete</v>
      </c>
      <c r="I146" s="46" t="s">
        <v>612</v>
      </c>
      <c r="S146" s="80" t="s">
        <v>1834</v>
      </c>
      <c r="T146" s="81">
        <v>0.81669999999999998</v>
      </c>
    </row>
    <row r="147" spans="2:20" ht="14.45" customHeight="1" x14ac:dyDescent="0.25">
      <c r="B147" s="44" t="s">
        <v>294</v>
      </c>
      <c r="C147" s="28">
        <v>135</v>
      </c>
      <c r="D147" s="45" t="s">
        <v>2010</v>
      </c>
      <c r="E147" s="45"/>
      <c r="F147" s="28" t="str">
        <f>IF(INDEX(I.Facility.IDNumber,135)="","",INDEX(I.Facility.IDNumber,135))</f>
        <v/>
      </c>
      <c r="G147" s="45"/>
      <c r="H147" s="28" t="str">
        <f>IF(AND(I.Facility.FacilityCount&gt;=135,F147=""),"Incomplete","Complete")</f>
        <v>Complete</v>
      </c>
      <c r="I147" s="46" t="s">
        <v>613</v>
      </c>
      <c r="S147" s="83" t="s">
        <v>1835</v>
      </c>
      <c r="T147" s="84">
        <v>0.8</v>
      </c>
    </row>
    <row r="148" spans="2:20" ht="14.45" customHeight="1" x14ac:dyDescent="0.25">
      <c r="B148" s="44" t="s">
        <v>294</v>
      </c>
      <c r="C148" s="28">
        <v>136</v>
      </c>
      <c r="D148" s="45" t="s">
        <v>2010</v>
      </c>
      <c r="E148" s="45"/>
      <c r="F148" s="28" t="str">
        <f>IF(INDEX(I.Facility.IDNumber,136)="","",INDEX(I.Facility.IDNumber,136))</f>
        <v/>
      </c>
      <c r="G148" s="45"/>
      <c r="H148" s="28" t="str">
        <f>IF(AND(I.Facility.FacilityCount&gt;=136,F148=""),"Incomplete","Complete")</f>
        <v>Complete</v>
      </c>
      <c r="I148" s="46" t="s">
        <v>614</v>
      </c>
      <c r="S148" s="80" t="s">
        <v>1836</v>
      </c>
      <c r="T148" s="81">
        <v>0.98750000000000004</v>
      </c>
    </row>
    <row r="149" spans="2:20" ht="14.45" customHeight="1" x14ac:dyDescent="0.25">
      <c r="B149" s="44" t="s">
        <v>294</v>
      </c>
      <c r="C149" s="28">
        <v>137</v>
      </c>
      <c r="D149" s="45" t="s">
        <v>2010</v>
      </c>
      <c r="E149" s="45"/>
      <c r="F149" s="28" t="str">
        <f>IF(INDEX(I.Facility.IDNumber,137)="","",INDEX(I.Facility.IDNumber,137))</f>
        <v/>
      </c>
      <c r="G149" s="45"/>
      <c r="H149" s="28" t="str">
        <f>IF(AND(I.Facility.FacilityCount&gt;=137,F149=""),"Incomplete","Complete")</f>
        <v>Complete</v>
      </c>
      <c r="I149" s="46" t="s">
        <v>615</v>
      </c>
      <c r="S149" s="80" t="s">
        <v>1837</v>
      </c>
      <c r="T149" s="81">
        <v>0.97499999999999998</v>
      </c>
    </row>
    <row r="150" spans="2:20" ht="14.45" customHeight="1" x14ac:dyDescent="0.25">
      <c r="B150" s="44" t="s">
        <v>294</v>
      </c>
      <c r="C150" s="28">
        <v>138</v>
      </c>
      <c r="D150" s="45" t="s">
        <v>2010</v>
      </c>
      <c r="E150" s="45"/>
      <c r="F150" s="28" t="str">
        <f>IF(INDEX(I.Facility.IDNumber,138)="","",INDEX(I.Facility.IDNumber,138))</f>
        <v/>
      </c>
      <c r="G150" s="45"/>
      <c r="H150" s="28" t="str">
        <f>IF(AND(I.Facility.FacilityCount&gt;=138,F150=""),"Incomplete","Complete")</f>
        <v>Complete</v>
      </c>
      <c r="I150" s="46" t="s">
        <v>616</v>
      </c>
      <c r="S150" s="80" t="s">
        <v>1838</v>
      </c>
      <c r="T150" s="81">
        <v>0.96250000000000002</v>
      </c>
    </row>
    <row r="151" spans="2:20" ht="14.45" customHeight="1" x14ac:dyDescent="0.25">
      <c r="B151" s="44" t="s">
        <v>294</v>
      </c>
      <c r="C151" s="28">
        <v>139</v>
      </c>
      <c r="D151" s="45" t="s">
        <v>2010</v>
      </c>
      <c r="E151" s="45"/>
      <c r="F151" s="28" t="str">
        <f>IF(INDEX(I.Facility.IDNumber,139)="","",INDEX(I.Facility.IDNumber,139))</f>
        <v/>
      </c>
      <c r="G151" s="45"/>
      <c r="H151" s="28" t="str">
        <f>IF(AND(I.Facility.FacilityCount&gt;=139,F151=""),"Incomplete","Complete")</f>
        <v>Complete</v>
      </c>
      <c r="I151" s="46" t="s">
        <v>617</v>
      </c>
      <c r="S151" s="80" t="s">
        <v>1839</v>
      </c>
      <c r="T151" s="81">
        <v>0.95</v>
      </c>
    </row>
    <row r="152" spans="2:20" ht="14.45" customHeight="1" x14ac:dyDescent="0.25">
      <c r="B152" s="44" t="s">
        <v>294</v>
      </c>
      <c r="C152" s="28">
        <v>140</v>
      </c>
      <c r="D152" s="45" t="s">
        <v>2010</v>
      </c>
      <c r="E152" s="45"/>
      <c r="F152" s="28" t="str">
        <f>IF(INDEX(I.Facility.IDNumber,140)="","",INDEX(I.Facility.IDNumber,140))</f>
        <v/>
      </c>
      <c r="G152" s="45"/>
      <c r="H152" s="28" t="str">
        <f>IF(AND(I.Facility.FacilityCount&gt;=140,F152=""),"Incomplete","Complete")</f>
        <v>Complete</v>
      </c>
      <c r="I152" s="46" t="s">
        <v>618</v>
      </c>
      <c r="S152" s="80" t="s">
        <v>1840</v>
      </c>
      <c r="T152" s="81">
        <v>0.9375</v>
      </c>
    </row>
    <row r="153" spans="2:20" ht="14.45" customHeight="1" x14ac:dyDescent="0.25">
      <c r="B153" s="44" t="s">
        <v>294</v>
      </c>
      <c r="C153" s="28">
        <v>141</v>
      </c>
      <c r="D153" s="45" t="s">
        <v>2010</v>
      </c>
      <c r="E153" s="45"/>
      <c r="F153" s="28" t="str">
        <f>IF(INDEX(I.Facility.IDNumber,141)="","",INDEX(I.Facility.IDNumber,141))</f>
        <v/>
      </c>
      <c r="G153" s="45"/>
      <c r="H153" s="28" t="str">
        <f>IF(AND(I.Facility.FacilityCount&gt;=141,F153=""),"Incomplete","Complete")</f>
        <v>Complete</v>
      </c>
      <c r="I153" s="46" t="s">
        <v>619</v>
      </c>
      <c r="S153" s="80" t="s">
        <v>1841</v>
      </c>
      <c r="T153" s="81">
        <v>0.92500000000000004</v>
      </c>
    </row>
    <row r="154" spans="2:20" ht="14.45" customHeight="1" x14ac:dyDescent="0.25">
      <c r="B154" s="44" t="s">
        <v>294</v>
      </c>
      <c r="C154" s="28">
        <v>142</v>
      </c>
      <c r="D154" s="45" t="s">
        <v>2010</v>
      </c>
      <c r="E154" s="45"/>
      <c r="F154" s="28" t="str">
        <f>IF(INDEX(I.Facility.IDNumber,142)="","",INDEX(I.Facility.IDNumber,142))</f>
        <v/>
      </c>
      <c r="G154" s="45"/>
      <c r="H154" s="28" t="str">
        <f>IF(AND(I.Facility.FacilityCount&gt;=142,F154=""),"Incomplete","Complete")</f>
        <v>Complete</v>
      </c>
      <c r="I154" s="46" t="s">
        <v>620</v>
      </c>
      <c r="S154" s="80" t="s">
        <v>1842</v>
      </c>
      <c r="T154" s="81">
        <v>0.91249999999999998</v>
      </c>
    </row>
    <row r="155" spans="2:20" ht="14.45" customHeight="1" x14ac:dyDescent="0.25">
      <c r="B155" s="44" t="s">
        <v>294</v>
      </c>
      <c r="C155" s="28">
        <v>143</v>
      </c>
      <c r="D155" s="45" t="s">
        <v>2010</v>
      </c>
      <c r="E155" s="45"/>
      <c r="F155" s="28" t="str">
        <f>IF(INDEX(I.Facility.IDNumber,143)="","",INDEX(I.Facility.IDNumber,143))</f>
        <v/>
      </c>
      <c r="G155" s="45"/>
      <c r="H155" s="28" t="str">
        <f>IF(AND(I.Facility.FacilityCount&gt;=143,F155=""),"Incomplete","Complete")</f>
        <v>Complete</v>
      </c>
      <c r="I155" s="46" t="s">
        <v>621</v>
      </c>
      <c r="S155" s="80" t="s">
        <v>1843</v>
      </c>
      <c r="T155" s="81">
        <v>0.9</v>
      </c>
    </row>
    <row r="156" spans="2:20" ht="14.45" customHeight="1" x14ac:dyDescent="0.25">
      <c r="B156" s="44" t="s">
        <v>294</v>
      </c>
      <c r="C156" s="28">
        <v>144</v>
      </c>
      <c r="D156" s="45" t="s">
        <v>2010</v>
      </c>
      <c r="E156" s="45"/>
      <c r="F156" s="28" t="str">
        <f>IF(INDEX(I.Facility.IDNumber,144)="","",INDEX(I.Facility.IDNumber,144))</f>
        <v/>
      </c>
      <c r="G156" s="45"/>
      <c r="H156" s="28" t="str">
        <f>IF(AND(I.Facility.FacilityCount&gt;=144,F156=""),"Incomplete","Complete")</f>
        <v>Complete</v>
      </c>
      <c r="I156" s="46" t="s">
        <v>622</v>
      </c>
      <c r="S156" s="80" t="s">
        <v>1844</v>
      </c>
      <c r="T156" s="81">
        <v>0.88749999999999996</v>
      </c>
    </row>
    <row r="157" spans="2:20" ht="14.45" customHeight="1" x14ac:dyDescent="0.25">
      <c r="B157" s="44" t="s">
        <v>294</v>
      </c>
      <c r="C157" s="28">
        <v>145</v>
      </c>
      <c r="D157" s="45" t="s">
        <v>2010</v>
      </c>
      <c r="E157" s="45"/>
      <c r="F157" s="28" t="str">
        <f>IF(INDEX(I.Facility.IDNumber,145)="","",INDEX(I.Facility.IDNumber,145))</f>
        <v/>
      </c>
      <c r="G157" s="45"/>
      <c r="H157" s="28" t="str">
        <f>IF(AND(I.Facility.FacilityCount&gt;=145,F157=""),"Incomplete","Complete")</f>
        <v>Complete</v>
      </c>
      <c r="I157" s="46" t="s">
        <v>623</v>
      </c>
      <c r="S157" s="80" t="s">
        <v>1845</v>
      </c>
      <c r="T157" s="81">
        <v>0.875</v>
      </c>
    </row>
    <row r="158" spans="2:20" ht="14.45" customHeight="1" x14ac:dyDescent="0.25">
      <c r="B158" s="44" t="s">
        <v>294</v>
      </c>
      <c r="C158" s="28">
        <v>146</v>
      </c>
      <c r="D158" s="45" t="s">
        <v>2010</v>
      </c>
      <c r="E158" s="45"/>
      <c r="F158" s="28" t="str">
        <f>IF(INDEX(I.Facility.IDNumber,146)="","",INDEX(I.Facility.IDNumber,146))</f>
        <v/>
      </c>
      <c r="G158" s="45"/>
      <c r="H158" s="28" t="str">
        <f>IF(AND(I.Facility.FacilityCount&gt;=146,F158=""),"Incomplete","Complete")</f>
        <v>Complete</v>
      </c>
      <c r="I158" s="46" t="s">
        <v>624</v>
      </c>
      <c r="S158" s="80" t="s">
        <v>1846</v>
      </c>
      <c r="T158" s="81">
        <v>0.86250000000000004</v>
      </c>
    </row>
    <row r="159" spans="2:20" ht="14.45" customHeight="1" x14ac:dyDescent="0.25">
      <c r="B159" s="44" t="s">
        <v>294</v>
      </c>
      <c r="C159" s="28">
        <v>147</v>
      </c>
      <c r="D159" s="45" t="s">
        <v>2010</v>
      </c>
      <c r="E159" s="45"/>
      <c r="F159" s="28" t="str">
        <f>IF(INDEX(I.Facility.IDNumber,147)="","",INDEX(I.Facility.IDNumber,147))</f>
        <v/>
      </c>
      <c r="G159" s="45"/>
      <c r="H159" s="28" t="str">
        <f>IF(AND(I.Facility.FacilityCount&gt;=147,F159=""),"Incomplete","Complete")</f>
        <v>Complete</v>
      </c>
      <c r="I159" s="46" t="s">
        <v>625</v>
      </c>
      <c r="S159" s="83" t="s">
        <v>1847</v>
      </c>
      <c r="T159" s="84">
        <v>0.85</v>
      </c>
    </row>
    <row r="160" spans="2:20" ht="14.45" customHeight="1" x14ac:dyDescent="0.25">
      <c r="B160" s="44" t="s">
        <v>294</v>
      </c>
      <c r="C160" s="28">
        <v>148</v>
      </c>
      <c r="D160" s="45" t="s">
        <v>2010</v>
      </c>
      <c r="E160" s="45"/>
      <c r="F160" s="28" t="str">
        <f>IF(INDEX(I.Facility.IDNumber,148)="","",INDEX(I.Facility.IDNumber,148))</f>
        <v/>
      </c>
      <c r="G160" s="45"/>
      <c r="H160" s="28" t="str">
        <f>IF(AND(I.Facility.FacilityCount&gt;=148,F160=""),"Incomplete","Complete")</f>
        <v>Complete</v>
      </c>
      <c r="I160" s="46" t="s">
        <v>626</v>
      </c>
      <c r="S160" s="80" t="s">
        <v>1848</v>
      </c>
      <c r="T160" s="81">
        <v>0.98329999999999995</v>
      </c>
    </row>
    <row r="161" spans="2:20" ht="14.45" customHeight="1" x14ac:dyDescent="0.25">
      <c r="B161" s="44" t="s">
        <v>294</v>
      </c>
      <c r="C161" s="28">
        <v>149</v>
      </c>
      <c r="D161" s="45" t="s">
        <v>2010</v>
      </c>
      <c r="E161" s="45"/>
      <c r="F161" s="28" t="str">
        <f>IF(INDEX(I.Facility.IDNumber,149)="","",INDEX(I.Facility.IDNumber,149))</f>
        <v/>
      </c>
      <c r="G161" s="45"/>
      <c r="H161" s="28" t="str">
        <f>IF(AND(I.Facility.FacilityCount&gt;=149,F161=""),"Incomplete","Complete")</f>
        <v>Complete</v>
      </c>
      <c r="I161" s="46" t="s">
        <v>627</v>
      </c>
      <c r="S161" s="80" t="s">
        <v>1849</v>
      </c>
      <c r="T161" s="81">
        <v>0.9667</v>
      </c>
    </row>
    <row r="162" spans="2:20" ht="14.45" customHeight="1" x14ac:dyDescent="0.25">
      <c r="B162" s="44" t="s">
        <v>294</v>
      </c>
      <c r="C162" s="28">
        <v>150</v>
      </c>
      <c r="D162" s="45" t="s">
        <v>2010</v>
      </c>
      <c r="E162" s="45"/>
      <c r="F162" s="28" t="str">
        <f>IF(INDEX(I.Facility.IDNumber,150)="","",INDEX(I.Facility.IDNumber,150))</f>
        <v/>
      </c>
      <c r="G162" s="45"/>
      <c r="H162" s="28" t="str">
        <f>IF(AND(I.Facility.FacilityCount&gt;=150,F162=""),"Incomplete","Complete")</f>
        <v>Complete</v>
      </c>
      <c r="I162" s="46" t="s">
        <v>628</v>
      </c>
      <c r="S162" s="80" t="s">
        <v>1850</v>
      </c>
      <c r="T162" s="81">
        <v>0.95</v>
      </c>
    </row>
    <row r="163" spans="2:20" ht="14.45" customHeight="1" x14ac:dyDescent="0.25">
      <c r="B163" s="44" t="s">
        <v>294</v>
      </c>
      <c r="C163" s="28">
        <v>151</v>
      </c>
      <c r="D163" s="45" t="s">
        <v>2010</v>
      </c>
      <c r="E163" s="45"/>
      <c r="F163" s="28" t="str">
        <f>IF(INDEX(I.Facility.IDNumber,151)="","",INDEX(I.Facility.IDNumber,151))</f>
        <v/>
      </c>
      <c r="G163" s="45"/>
      <c r="H163" s="28" t="str">
        <f>IF(AND(I.Facility.FacilityCount&gt;=151,F163=""),"Incomplete","Complete")</f>
        <v>Complete</v>
      </c>
      <c r="I163" s="46" t="s">
        <v>629</v>
      </c>
      <c r="S163" s="80" t="s">
        <v>1851</v>
      </c>
      <c r="T163" s="81">
        <v>0.93330000000000002</v>
      </c>
    </row>
    <row r="164" spans="2:20" ht="14.45" customHeight="1" x14ac:dyDescent="0.25">
      <c r="B164" s="44" t="s">
        <v>294</v>
      </c>
      <c r="C164" s="28">
        <v>152</v>
      </c>
      <c r="D164" s="45" t="s">
        <v>2010</v>
      </c>
      <c r="E164" s="45"/>
      <c r="F164" s="28" t="str">
        <f>IF(INDEX(I.Facility.IDNumber,152)="","",INDEX(I.Facility.IDNumber,152))</f>
        <v/>
      </c>
      <c r="G164" s="45"/>
      <c r="H164" s="28" t="str">
        <f>IF(AND(I.Facility.FacilityCount&gt;=152,F164=""),"Incomplete","Complete")</f>
        <v>Complete</v>
      </c>
      <c r="I164" s="46" t="s">
        <v>630</v>
      </c>
      <c r="S164" s="80" t="s">
        <v>1852</v>
      </c>
      <c r="T164" s="81">
        <v>0.91669999999999996</v>
      </c>
    </row>
    <row r="165" spans="2:20" ht="14.45" customHeight="1" x14ac:dyDescent="0.25">
      <c r="B165" s="44" t="s">
        <v>294</v>
      </c>
      <c r="C165" s="28">
        <v>153</v>
      </c>
      <c r="D165" s="45" t="s">
        <v>2010</v>
      </c>
      <c r="E165" s="45"/>
      <c r="F165" s="28" t="str">
        <f>IF(INDEX(I.Facility.IDNumber,153)="","",INDEX(I.Facility.IDNumber,153))</f>
        <v/>
      </c>
      <c r="G165" s="45"/>
      <c r="H165" s="28" t="str">
        <f>IF(AND(I.Facility.FacilityCount&gt;=153,F165=""),"Incomplete","Complete")</f>
        <v>Complete</v>
      </c>
      <c r="I165" s="46" t="s">
        <v>631</v>
      </c>
      <c r="S165" s="80" t="s">
        <v>1853</v>
      </c>
      <c r="T165" s="81">
        <v>0.9</v>
      </c>
    </row>
    <row r="166" spans="2:20" ht="14.45" customHeight="1" x14ac:dyDescent="0.25">
      <c r="B166" s="44" t="s">
        <v>294</v>
      </c>
      <c r="C166" s="28">
        <v>154</v>
      </c>
      <c r="D166" s="45" t="s">
        <v>2010</v>
      </c>
      <c r="E166" s="45"/>
      <c r="F166" s="28" t="str">
        <f>IF(INDEX(I.Facility.IDNumber,154)="","",INDEX(I.Facility.IDNumber,154))</f>
        <v/>
      </c>
      <c r="G166" s="45"/>
      <c r="H166" s="28" t="str">
        <f>IF(AND(I.Facility.FacilityCount&gt;=154,F166=""),"Incomplete","Complete")</f>
        <v>Complete</v>
      </c>
      <c r="I166" s="46" t="s">
        <v>632</v>
      </c>
      <c r="S166" s="80" t="s">
        <v>1854</v>
      </c>
      <c r="T166" s="81">
        <v>0.88329999999999997</v>
      </c>
    </row>
    <row r="167" spans="2:20" ht="14.45" customHeight="1" x14ac:dyDescent="0.25">
      <c r="B167" s="44" t="s">
        <v>294</v>
      </c>
      <c r="C167" s="28">
        <v>155</v>
      </c>
      <c r="D167" s="45" t="s">
        <v>2010</v>
      </c>
      <c r="E167" s="45"/>
      <c r="F167" s="28" t="str">
        <f>IF(INDEX(I.Facility.IDNumber,155)="","",INDEX(I.Facility.IDNumber,155))</f>
        <v/>
      </c>
      <c r="G167" s="45"/>
      <c r="H167" s="28" t="str">
        <f>IF(AND(I.Facility.FacilityCount&gt;=155,F167=""),"Incomplete","Complete")</f>
        <v>Complete</v>
      </c>
      <c r="I167" s="46" t="s">
        <v>633</v>
      </c>
      <c r="S167" s="80" t="s">
        <v>1855</v>
      </c>
      <c r="T167" s="81">
        <v>0.86670000000000003</v>
      </c>
    </row>
    <row r="168" spans="2:20" ht="14.45" customHeight="1" x14ac:dyDescent="0.25">
      <c r="B168" s="44" t="s">
        <v>294</v>
      </c>
      <c r="C168" s="28">
        <v>156</v>
      </c>
      <c r="D168" s="45" t="s">
        <v>2010</v>
      </c>
      <c r="E168" s="45"/>
      <c r="F168" s="28" t="str">
        <f>IF(INDEX(I.Facility.IDNumber,156)="","",INDEX(I.Facility.IDNumber,156))</f>
        <v/>
      </c>
      <c r="G168" s="45"/>
      <c r="H168" s="28" t="str">
        <f>IF(AND(I.Facility.FacilityCount&gt;=156,F168=""),"Incomplete","Complete")</f>
        <v>Complete</v>
      </c>
      <c r="I168" s="46" t="s">
        <v>634</v>
      </c>
      <c r="S168" s="80" t="s">
        <v>1856</v>
      </c>
      <c r="T168" s="81">
        <v>0.85</v>
      </c>
    </row>
    <row r="169" spans="2:20" ht="14.45" customHeight="1" x14ac:dyDescent="0.25">
      <c r="B169" s="44" t="s">
        <v>294</v>
      </c>
      <c r="C169" s="28">
        <v>157</v>
      </c>
      <c r="D169" s="45" t="s">
        <v>2010</v>
      </c>
      <c r="E169" s="45"/>
      <c r="F169" s="28" t="str">
        <f>IF(INDEX(I.Facility.IDNumber,157)="","",INDEX(I.Facility.IDNumber,157))</f>
        <v/>
      </c>
      <c r="G169" s="45"/>
      <c r="H169" s="28" t="str">
        <f>IF(AND(I.Facility.FacilityCount&gt;=157,F169=""),"Incomplete","Complete")</f>
        <v>Complete</v>
      </c>
      <c r="I169" s="46" t="s">
        <v>635</v>
      </c>
      <c r="S169" s="80" t="s">
        <v>1857</v>
      </c>
      <c r="T169" s="81">
        <v>0.83330000000000004</v>
      </c>
    </row>
    <row r="170" spans="2:20" ht="14.45" customHeight="1" x14ac:dyDescent="0.25">
      <c r="B170" s="44" t="s">
        <v>294</v>
      </c>
      <c r="C170" s="28">
        <v>158</v>
      </c>
      <c r="D170" s="45" t="s">
        <v>2010</v>
      </c>
      <c r="E170" s="45"/>
      <c r="F170" s="28" t="str">
        <f>IF(INDEX(I.Facility.IDNumber,158)="","",INDEX(I.Facility.IDNumber,158))</f>
        <v/>
      </c>
      <c r="G170" s="45"/>
      <c r="H170" s="28" t="str">
        <f>IF(AND(I.Facility.FacilityCount&gt;=158,F170=""),"Incomplete","Complete")</f>
        <v>Complete</v>
      </c>
      <c r="I170" s="46" t="s">
        <v>636</v>
      </c>
      <c r="S170" s="80" t="s">
        <v>1858</v>
      </c>
      <c r="T170" s="81">
        <v>0.81669999999999998</v>
      </c>
    </row>
    <row r="171" spans="2:20" ht="14.45" customHeight="1" x14ac:dyDescent="0.25">
      <c r="B171" s="44" t="s">
        <v>294</v>
      </c>
      <c r="C171" s="28">
        <v>159</v>
      </c>
      <c r="D171" s="45" t="s">
        <v>2010</v>
      </c>
      <c r="E171" s="45"/>
      <c r="F171" s="28" t="str">
        <f>IF(INDEX(I.Facility.IDNumber,159)="","",INDEX(I.Facility.IDNumber,159))</f>
        <v/>
      </c>
      <c r="G171" s="45"/>
      <c r="H171" s="28" t="str">
        <f>IF(AND(I.Facility.FacilityCount&gt;=159,F171=""),"Incomplete","Complete")</f>
        <v>Complete</v>
      </c>
      <c r="I171" s="46" t="s">
        <v>637</v>
      </c>
      <c r="S171" s="83" t="s">
        <v>1859</v>
      </c>
      <c r="T171" s="84">
        <v>0.8</v>
      </c>
    </row>
    <row r="172" spans="2:20" ht="14.45" customHeight="1" x14ac:dyDescent="0.25">
      <c r="B172" s="44" t="s">
        <v>294</v>
      </c>
      <c r="C172" s="28">
        <v>160</v>
      </c>
      <c r="D172" s="45" t="s">
        <v>2010</v>
      </c>
      <c r="E172" s="45"/>
      <c r="F172" s="28" t="str">
        <f>IF(INDEX(I.Facility.IDNumber,160)="","",INDEX(I.Facility.IDNumber,160))</f>
        <v/>
      </c>
      <c r="G172" s="45"/>
      <c r="H172" s="28" t="str">
        <f>IF(AND(I.Facility.FacilityCount&gt;=160,F172=""),"Incomplete","Complete")</f>
        <v>Complete</v>
      </c>
      <c r="I172" s="46" t="s">
        <v>638</v>
      </c>
      <c r="S172" s="80" t="s">
        <v>1860</v>
      </c>
      <c r="T172" s="81">
        <v>0.98329999999999995</v>
      </c>
    </row>
    <row r="173" spans="2:20" ht="14.45" customHeight="1" x14ac:dyDescent="0.25">
      <c r="B173" s="44" t="s">
        <v>294</v>
      </c>
      <c r="C173" s="28">
        <v>161</v>
      </c>
      <c r="D173" s="45" t="s">
        <v>2010</v>
      </c>
      <c r="E173" s="45"/>
      <c r="F173" s="28" t="str">
        <f>IF(INDEX(I.Facility.IDNumber,161)="","",INDEX(I.Facility.IDNumber,161))</f>
        <v/>
      </c>
      <c r="G173" s="45"/>
      <c r="H173" s="28" t="str">
        <f>IF(AND(I.Facility.FacilityCount&gt;=161,F173=""),"Incomplete","Complete")</f>
        <v>Complete</v>
      </c>
      <c r="I173" s="46" t="s">
        <v>639</v>
      </c>
      <c r="S173" s="80" t="s">
        <v>1861</v>
      </c>
      <c r="T173" s="81">
        <v>0.9667</v>
      </c>
    </row>
    <row r="174" spans="2:20" ht="14.45" customHeight="1" x14ac:dyDescent="0.25">
      <c r="B174" s="44" t="s">
        <v>294</v>
      </c>
      <c r="C174" s="28">
        <v>162</v>
      </c>
      <c r="D174" s="45" t="s">
        <v>2010</v>
      </c>
      <c r="E174" s="45"/>
      <c r="F174" s="28" t="str">
        <f>IF(INDEX(I.Facility.IDNumber,162)="","",INDEX(I.Facility.IDNumber,162))</f>
        <v/>
      </c>
      <c r="G174" s="45"/>
      <c r="H174" s="28" t="str">
        <f>IF(AND(I.Facility.FacilityCount&gt;=162,F174=""),"Incomplete","Complete")</f>
        <v>Complete</v>
      </c>
      <c r="I174" s="46" t="s">
        <v>640</v>
      </c>
      <c r="S174" s="80" t="s">
        <v>1862</v>
      </c>
      <c r="T174" s="81">
        <v>0.95</v>
      </c>
    </row>
    <row r="175" spans="2:20" ht="14.45" customHeight="1" x14ac:dyDescent="0.25">
      <c r="B175" s="44" t="s">
        <v>294</v>
      </c>
      <c r="C175" s="28">
        <v>163</v>
      </c>
      <c r="D175" s="45" t="s">
        <v>2010</v>
      </c>
      <c r="E175" s="45"/>
      <c r="F175" s="28" t="str">
        <f>IF(INDEX(I.Facility.IDNumber,163)="","",INDEX(I.Facility.IDNumber,163))</f>
        <v/>
      </c>
      <c r="G175" s="45"/>
      <c r="H175" s="28" t="str">
        <f>IF(AND(I.Facility.FacilityCount&gt;=163,F175=""),"Incomplete","Complete")</f>
        <v>Complete</v>
      </c>
      <c r="I175" s="46" t="s">
        <v>641</v>
      </c>
      <c r="S175" s="80" t="s">
        <v>1863</v>
      </c>
      <c r="T175" s="81">
        <v>0.93330000000000002</v>
      </c>
    </row>
    <row r="176" spans="2:20" ht="14.45" customHeight="1" x14ac:dyDescent="0.25">
      <c r="B176" s="44" t="s">
        <v>294</v>
      </c>
      <c r="C176" s="28">
        <v>164</v>
      </c>
      <c r="D176" s="45" t="s">
        <v>2010</v>
      </c>
      <c r="E176" s="45"/>
      <c r="F176" s="28" t="str">
        <f>IF(INDEX(I.Facility.IDNumber,164)="","",INDEX(I.Facility.IDNumber,164))</f>
        <v/>
      </c>
      <c r="G176" s="45"/>
      <c r="H176" s="28" t="str">
        <f>IF(AND(I.Facility.FacilityCount&gt;=164,F176=""),"Incomplete","Complete")</f>
        <v>Complete</v>
      </c>
      <c r="I176" s="46" t="s">
        <v>642</v>
      </c>
      <c r="S176" s="80" t="s">
        <v>1864</v>
      </c>
      <c r="T176" s="81">
        <v>0.91669999999999996</v>
      </c>
    </row>
    <row r="177" spans="2:20" ht="14.45" customHeight="1" x14ac:dyDescent="0.25">
      <c r="B177" s="44" t="s">
        <v>294</v>
      </c>
      <c r="C177" s="28">
        <v>165</v>
      </c>
      <c r="D177" s="45" t="s">
        <v>2010</v>
      </c>
      <c r="E177" s="45"/>
      <c r="F177" s="28" t="str">
        <f>IF(INDEX(I.Facility.IDNumber,165)="","",INDEX(I.Facility.IDNumber,165))</f>
        <v/>
      </c>
      <c r="G177" s="45"/>
      <c r="H177" s="28" t="str">
        <f>IF(AND(I.Facility.FacilityCount&gt;=165,F177=""),"Incomplete","Complete")</f>
        <v>Complete</v>
      </c>
      <c r="I177" s="46" t="s">
        <v>643</v>
      </c>
      <c r="S177" s="80" t="s">
        <v>1865</v>
      </c>
      <c r="T177" s="81">
        <v>0.9</v>
      </c>
    </row>
    <row r="178" spans="2:20" ht="14.45" customHeight="1" x14ac:dyDescent="0.25">
      <c r="B178" s="44" t="s">
        <v>294</v>
      </c>
      <c r="C178" s="28">
        <v>166</v>
      </c>
      <c r="D178" s="45" t="s">
        <v>2010</v>
      </c>
      <c r="E178" s="45"/>
      <c r="F178" s="28" t="str">
        <f>IF(INDEX(I.Facility.IDNumber,166)="","",INDEX(I.Facility.IDNumber,166))</f>
        <v/>
      </c>
      <c r="G178" s="45"/>
      <c r="H178" s="28" t="str">
        <f>IF(AND(I.Facility.FacilityCount&gt;=166,F178=""),"Incomplete","Complete")</f>
        <v>Complete</v>
      </c>
      <c r="I178" s="46" t="s">
        <v>644</v>
      </c>
      <c r="S178" s="80" t="s">
        <v>1866</v>
      </c>
      <c r="T178" s="81">
        <v>0.88329999999999997</v>
      </c>
    </row>
    <row r="179" spans="2:20" ht="14.45" customHeight="1" x14ac:dyDescent="0.25">
      <c r="B179" s="44" t="s">
        <v>294</v>
      </c>
      <c r="C179" s="28">
        <v>167</v>
      </c>
      <c r="D179" s="45" t="s">
        <v>2010</v>
      </c>
      <c r="E179" s="45"/>
      <c r="F179" s="28" t="str">
        <f>IF(INDEX(I.Facility.IDNumber,167)="","",INDEX(I.Facility.IDNumber,167))</f>
        <v/>
      </c>
      <c r="G179" s="45"/>
      <c r="H179" s="28" t="str">
        <f>IF(AND(I.Facility.FacilityCount&gt;=167,F179=""),"Incomplete","Complete")</f>
        <v>Complete</v>
      </c>
      <c r="I179" s="46" t="s">
        <v>645</v>
      </c>
      <c r="S179" s="80" t="s">
        <v>1867</v>
      </c>
      <c r="T179" s="81">
        <v>0.86670000000000003</v>
      </c>
    </row>
    <row r="180" spans="2:20" ht="14.45" customHeight="1" x14ac:dyDescent="0.25">
      <c r="B180" s="44" t="s">
        <v>294</v>
      </c>
      <c r="C180" s="28">
        <v>168</v>
      </c>
      <c r="D180" s="45" t="s">
        <v>2010</v>
      </c>
      <c r="E180" s="45"/>
      <c r="F180" s="28" t="str">
        <f>IF(INDEX(I.Facility.IDNumber,168)="","",INDEX(I.Facility.IDNumber,168))</f>
        <v/>
      </c>
      <c r="G180" s="45"/>
      <c r="H180" s="28" t="str">
        <f>IF(AND(I.Facility.FacilityCount&gt;=168,F180=""),"Incomplete","Complete")</f>
        <v>Complete</v>
      </c>
      <c r="I180" s="46" t="s">
        <v>646</v>
      </c>
      <c r="S180" s="80" t="s">
        <v>1868</v>
      </c>
      <c r="T180" s="81">
        <v>0.85</v>
      </c>
    </row>
    <row r="181" spans="2:20" ht="14.45" customHeight="1" x14ac:dyDescent="0.25">
      <c r="B181" s="44" t="s">
        <v>294</v>
      </c>
      <c r="C181" s="28">
        <v>169</v>
      </c>
      <c r="D181" s="45" t="s">
        <v>2010</v>
      </c>
      <c r="E181" s="45"/>
      <c r="F181" s="28" t="str">
        <f>IF(INDEX(I.Facility.IDNumber,169)="","",INDEX(I.Facility.IDNumber,169))</f>
        <v/>
      </c>
      <c r="G181" s="45"/>
      <c r="H181" s="28" t="str">
        <f>IF(AND(I.Facility.FacilityCount&gt;=169,F181=""),"Incomplete","Complete")</f>
        <v>Complete</v>
      </c>
      <c r="I181" s="46" t="s">
        <v>647</v>
      </c>
      <c r="S181" s="80" t="s">
        <v>1869</v>
      </c>
      <c r="T181" s="81">
        <v>0.83330000000000004</v>
      </c>
    </row>
    <row r="182" spans="2:20" ht="14.45" customHeight="1" x14ac:dyDescent="0.25">
      <c r="B182" s="44" t="s">
        <v>294</v>
      </c>
      <c r="C182" s="28">
        <v>170</v>
      </c>
      <c r="D182" s="45" t="s">
        <v>2010</v>
      </c>
      <c r="E182" s="45"/>
      <c r="F182" s="28" t="str">
        <f>IF(INDEX(I.Facility.IDNumber,170)="","",INDEX(I.Facility.IDNumber,170))</f>
        <v/>
      </c>
      <c r="G182" s="45"/>
      <c r="H182" s="28" t="str">
        <f>IF(AND(I.Facility.FacilityCount&gt;=170,F182=""),"Incomplete","Complete")</f>
        <v>Complete</v>
      </c>
      <c r="I182" s="46" t="s">
        <v>648</v>
      </c>
      <c r="S182" s="80" t="s">
        <v>1870</v>
      </c>
      <c r="T182" s="81">
        <v>0.81669999999999998</v>
      </c>
    </row>
    <row r="183" spans="2:20" ht="14.45" customHeight="1" x14ac:dyDescent="0.25">
      <c r="B183" s="44" t="s">
        <v>294</v>
      </c>
      <c r="C183" s="28">
        <v>171</v>
      </c>
      <c r="D183" s="45" t="s">
        <v>2010</v>
      </c>
      <c r="E183" s="45"/>
      <c r="F183" s="28" t="str">
        <f>IF(INDEX(I.Facility.IDNumber,171)="","",INDEX(I.Facility.IDNumber,171))</f>
        <v/>
      </c>
      <c r="G183" s="45"/>
      <c r="H183" s="28" t="str">
        <f>IF(AND(I.Facility.FacilityCount&gt;=171,F183=""),"Incomplete","Complete")</f>
        <v>Complete</v>
      </c>
      <c r="I183" s="46" t="s">
        <v>649</v>
      </c>
      <c r="S183" s="83" t="s">
        <v>1871</v>
      </c>
      <c r="T183" s="84">
        <v>0.8</v>
      </c>
    </row>
    <row r="184" spans="2:20" ht="14.45" customHeight="1" x14ac:dyDescent="0.25">
      <c r="B184" s="44" t="s">
        <v>294</v>
      </c>
      <c r="C184" s="28">
        <v>172</v>
      </c>
      <c r="D184" s="45" t="s">
        <v>2010</v>
      </c>
      <c r="E184" s="45"/>
      <c r="F184" s="28" t="str">
        <f>IF(INDEX(I.Facility.IDNumber,172)="","",INDEX(I.Facility.IDNumber,172))</f>
        <v/>
      </c>
      <c r="G184" s="45"/>
      <c r="H184" s="28" t="str">
        <f>IF(AND(I.Facility.FacilityCount&gt;=172,F184=""),"Incomplete","Complete")</f>
        <v>Complete</v>
      </c>
      <c r="I184" s="46" t="s">
        <v>650</v>
      </c>
      <c r="S184" s="80" t="s">
        <v>1872</v>
      </c>
      <c r="T184" s="81">
        <v>0.98750000000000004</v>
      </c>
    </row>
    <row r="185" spans="2:20" ht="14.45" customHeight="1" x14ac:dyDescent="0.25">
      <c r="B185" s="44" t="s">
        <v>294</v>
      </c>
      <c r="C185" s="28">
        <v>173</v>
      </c>
      <c r="D185" s="45" t="s">
        <v>2010</v>
      </c>
      <c r="E185" s="45"/>
      <c r="F185" s="28" t="str">
        <f>IF(INDEX(I.Facility.IDNumber,173)="","",INDEX(I.Facility.IDNumber,173))</f>
        <v/>
      </c>
      <c r="G185" s="45"/>
      <c r="H185" s="28" t="str">
        <f>IF(AND(I.Facility.FacilityCount&gt;=173,F185=""),"Incomplete","Complete")</f>
        <v>Complete</v>
      </c>
      <c r="I185" s="46" t="s">
        <v>651</v>
      </c>
      <c r="S185" s="80" t="s">
        <v>1873</v>
      </c>
      <c r="T185" s="81">
        <v>0.97499999999999998</v>
      </c>
    </row>
    <row r="186" spans="2:20" ht="14.45" customHeight="1" x14ac:dyDescent="0.25">
      <c r="B186" s="44" t="s">
        <v>294</v>
      </c>
      <c r="C186" s="28">
        <v>174</v>
      </c>
      <c r="D186" s="45" t="s">
        <v>2010</v>
      </c>
      <c r="E186" s="45"/>
      <c r="F186" s="28" t="str">
        <f>IF(INDEX(I.Facility.IDNumber,174)="","",INDEX(I.Facility.IDNumber,174))</f>
        <v/>
      </c>
      <c r="G186" s="45"/>
      <c r="H186" s="28" t="str">
        <f>IF(AND(I.Facility.FacilityCount&gt;=174,F186=""),"Incomplete","Complete")</f>
        <v>Complete</v>
      </c>
      <c r="I186" s="46" t="s">
        <v>652</v>
      </c>
      <c r="S186" s="80" t="s">
        <v>1874</v>
      </c>
      <c r="T186" s="81">
        <v>0.96250000000000002</v>
      </c>
    </row>
    <row r="187" spans="2:20" ht="14.45" customHeight="1" x14ac:dyDescent="0.25">
      <c r="B187" s="44" t="s">
        <v>294</v>
      </c>
      <c r="C187" s="28">
        <v>175</v>
      </c>
      <c r="D187" s="45" t="s">
        <v>2010</v>
      </c>
      <c r="E187" s="45"/>
      <c r="F187" s="28" t="str">
        <f>IF(INDEX(I.Facility.IDNumber,175)="","",INDEX(I.Facility.IDNumber,175))</f>
        <v/>
      </c>
      <c r="G187" s="45"/>
      <c r="H187" s="28" t="str">
        <f>IF(AND(I.Facility.FacilityCount&gt;=175,F187=""),"Incomplete","Complete")</f>
        <v>Complete</v>
      </c>
      <c r="I187" s="46" t="s">
        <v>653</v>
      </c>
      <c r="S187" s="80" t="s">
        <v>1875</v>
      </c>
      <c r="T187" s="81">
        <v>0.95</v>
      </c>
    </row>
    <row r="188" spans="2:20" ht="14.45" customHeight="1" x14ac:dyDescent="0.25">
      <c r="B188" s="44" t="s">
        <v>294</v>
      </c>
      <c r="C188" s="28">
        <v>176</v>
      </c>
      <c r="D188" s="45" t="s">
        <v>2010</v>
      </c>
      <c r="E188" s="45"/>
      <c r="F188" s="28" t="str">
        <f>IF(INDEX(I.Facility.IDNumber,176)="","",INDEX(I.Facility.IDNumber,176))</f>
        <v/>
      </c>
      <c r="G188" s="45"/>
      <c r="H188" s="28" t="str">
        <f>IF(AND(I.Facility.FacilityCount&gt;=176,F188=""),"Incomplete","Complete")</f>
        <v>Complete</v>
      </c>
      <c r="I188" s="46" t="s">
        <v>654</v>
      </c>
      <c r="S188" s="80" t="s">
        <v>1876</v>
      </c>
      <c r="T188" s="81">
        <v>0.9375</v>
      </c>
    </row>
    <row r="189" spans="2:20" ht="14.45" customHeight="1" x14ac:dyDescent="0.25">
      <c r="B189" s="44" t="s">
        <v>294</v>
      </c>
      <c r="C189" s="28">
        <v>177</v>
      </c>
      <c r="D189" s="45" t="s">
        <v>2010</v>
      </c>
      <c r="E189" s="45"/>
      <c r="F189" s="28" t="str">
        <f>IF(INDEX(I.Facility.IDNumber,177)="","",INDEX(I.Facility.IDNumber,177))</f>
        <v/>
      </c>
      <c r="G189" s="45"/>
      <c r="H189" s="28" t="str">
        <f>IF(AND(I.Facility.FacilityCount&gt;=177,F189=""),"Incomplete","Complete")</f>
        <v>Complete</v>
      </c>
      <c r="I189" s="46" t="s">
        <v>655</v>
      </c>
      <c r="S189" s="80" t="s">
        <v>1877</v>
      </c>
      <c r="T189" s="81">
        <v>0.92500000000000004</v>
      </c>
    </row>
    <row r="190" spans="2:20" ht="14.45" customHeight="1" x14ac:dyDescent="0.25">
      <c r="B190" s="44" t="s">
        <v>294</v>
      </c>
      <c r="C190" s="28">
        <v>178</v>
      </c>
      <c r="D190" s="45" t="s">
        <v>2010</v>
      </c>
      <c r="E190" s="45"/>
      <c r="F190" s="28" t="str">
        <f>IF(INDEX(I.Facility.IDNumber,178)="","",INDEX(I.Facility.IDNumber,178))</f>
        <v/>
      </c>
      <c r="G190" s="45"/>
      <c r="H190" s="28" t="str">
        <f>IF(AND(I.Facility.FacilityCount&gt;=178,F190=""),"Incomplete","Complete")</f>
        <v>Complete</v>
      </c>
      <c r="I190" s="46" t="s">
        <v>656</v>
      </c>
      <c r="S190" s="80" t="s">
        <v>1878</v>
      </c>
      <c r="T190" s="81">
        <v>0.91249999999999998</v>
      </c>
    </row>
    <row r="191" spans="2:20" ht="14.45" customHeight="1" x14ac:dyDescent="0.25">
      <c r="B191" s="44" t="s">
        <v>294</v>
      </c>
      <c r="C191" s="28">
        <v>179</v>
      </c>
      <c r="D191" s="45" t="s">
        <v>2010</v>
      </c>
      <c r="E191" s="45"/>
      <c r="F191" s="28" t="str">
        <f>IF(INDEX(I.Facility.IDNumber,179)="","",INDEX(I.Facility.IDNumber,179))</f>
        <v/>
      </c>
      <c r="G191" s="45"/>
      <c r="H191" s="28" t="str">
        <f>IF(AND(I.Facility.FacilityCount&gt;=179,F191=""),"Incomplete","Complete")</f>
        <v>Complete</v>
      </c>
      <c r="I191" s="46" t="s">
        <v>657</v>
      </c>
      <c r="S191" s="80" t="s">
        <v>1879</v>
      </c>
      <c r="T191" s="81">
        <v>0.9</v>
      </c>
    </row>
    <row r="192" spans="2:20" ht="14.45" customHeight="1" x14ac:dyDescent="0.25">
      <c r="B192" s="44" t="s">
        <v>294</v>
      </c>
      <c r="C192" s="28">
        <v>180</v>
      </c>
      <c r="D192" s="45" t="s">
        <v>2010</v>
      </c>
      <c r="E192" s="45"/>
      <c r="F192" s="28" t="str">
        <f>IF(INDEX(I.Facility.IDNumber,180)="","",INDEX(I.Facility.IDNumber,180))</f>
        <v/>
      </c>
      <c r="G192" s="45"/>
      <c r="H192" s="28" t="str">
        <f>IF(AND(I.Facility.FacilityCount&gt;=180,F192=""),"Incomplete","Complete")</f>
        <v>Complete</v>
      </c>
      <c r="I192" s="46" t="s">
        <v>658</v>
      </c>
      <c r="S192" s="80" t="s">
        <v>1880</v>
      </c>
      <c r="T192" s="81">
        <v>0.88749999999999996</v>
      </c>
    </row>
    <row r="193" spans="2:20" ht="14.45" customHeight="1" x14ac:dyDescent="0.25">
      <c r="B193" s="44" t="s">
        <v>294</v>
      </c>
      <c r="C193" s="28">
        <v>181</v>
      </c>
      <c r="D193" s="45" t="s">
        <v>2010</v>
      </c>
      <c r="E193" s="45"/>
      <c r="F193" s="28" t="str">
        <f>IF(INDEX(I.Facility.IDNumber,181)="","",INDEX(I.Facility.IDNumber,181))</f>
        <v/>
      </c>
      <c r="G193" s="45"/>
      <c r="H193" s="28" t="str">
        <f>IF(AND(I.Facility.FacilityCount&gt;=181,F193=""),"Incomplete","Complete")</f>
        <v>Complete</v>
      </c>
      <c r="I193" s="46" t="s">
        <v>659</v>
      </c>
      <c r="S193" s="80" t="s">
        <v>1881</v>
      </c>
      <c r="T193" s="81">
        <v>0.875</v>
      </c>
    </row>
    <row r="194" spans="2:20" ht="14.45" customHeight="1" x14ac:dyDescent="0.25">
      <c r="B194" s="44" t="s">
        <v>294</v>
      </c>
      <c r="C194" s="28">
        <v>182</v>
      </c>
      <c r="D194" s="45" t="s">
        <v>2010</v>
      </c>
      <c r="E194" s="45"/>
      <c r="F194" s="28" t="str">
        <f>IF(INDEX(I.Facility.IDNumber,182)="","",INDEX(I.Facility.IDNumber,182))</f>
        <v/>
      </c>
      <c r="G194" s="45"/>
      <c r="H194" s="28" t="str">
        <f>IF(AND(I.Facility.FacilityCount&gt;=182,F194=""),"Incomplete","Complete")</f>
        <v>Complete</v>
      </c>
      <c r="I194" s="46" t="s">
        <v>660</v>
      </c>
      <c r="S194" s="80" t="s">
        <v>1882</v>
      </c>
      <c r="T194" s="81">
        <v>0.86250000000000004</v>
      </c>
    </row>
    <row r="195" spans="2:20" ht="14.45" customHeight="1" x14ac:dyDescent="0.25">
      <c r="B195" s="44" t="s">
        <v>294</v>
      </c>
      <c r="C195" s="28">
        <v>183</v>
      </c>
      <c r="D195" s="45" t="s">
        <v>2010</v>
      </c>
      <c r="E195" s="45"/>
      <c r="F195" s="28" t="str">
        <f>IF(INDEX(I.Facility.IDNumber,183)="","",INDEX(I.Facility.IDNumber,183))</f>
        <v/>
      </c>
      <c r="G195" s="45"/>
      <c r="H195" s="28" t="str">
        <f>IF(AND(I.Facility.FacilityCount&gt;=183,F195=""),"Incomplete","Complete")</f>
        <v>Complete</v>
      </c>
      <c r="I195" s="46" t="s">
        <v>661</v>
      </c>
      <c r="S195" s="83" t="s">
        <v>1883</v>
      </c>
      <c r="T195" s="84">
        <v>0.85</v>
      </c>
    </row>
    <row r="196" spans="2:20" ht="14.45" customHeight="1" x14ac:dyDescent="0.25">
      <c r="B196" s="44" t="s">
        <v>294</v>
      </c>
      <c r="C196" s="28">
        <v>184</v>
      </c>
      <c r="D196" s="45" t="s">
        <v>2010</v>
      </c>
      <c r="E196" s="45"/>
      <c r="F196" s="28" t="str">
        <f>IF(INDEX(I.Facility.IDNumber,184)="","",INDEX(I.Facility.IDNumber,184))</f>
        <v/>
      </c>
      <c r="G196" s="45"/>
      <c r="H196" s="28" t="str">
        <f>IF(AND(I.Facility.FacilityCount&gt;=184,F196=""),"Incomplete","Complete")</f>
        <v>Complete</v>
      </c>
      <c r="I196" s="46" t="s">
        <v>662</v>
      </c>
      <c r="S196" s="80" t="s">
        <v>1884</v>
      </c>
      <c r="T196" s="81">
        <v>0.98750000000000004</v>
      </c>
    </row>
    <row r="197" spans="2:20" ht="14.45" customHeight="1" x14ac:dyDescent="0.25">
      <c r="B197" s="44" t="s">
        <v>294</v>
      </c>
      <c r="C197" s="28">
        <v>185</v>
      </c>
      <c r="D197" s="45" t="s">
        <v>2010</v>
      </c>
      <c r="E197" s="45"/>
      <c r="F197" s="28" t="str">
        <f>IF(INDEX(I.Facility.IDNumber,185)="","",INDEX(I.Facility.IDNumber,185))</f>
        <v/>
      </c>
      <c r="G197" s="45"/>
      <c r="H197" s="28" t="str">
        <f>IF(AND(I.Facility.FacilityCount&gt;=185,F197=""),"Incomplete","Complete")</f>
        <v>Complete</v>
      </c>
      <c r="I197" s="46" t="s">
        <v>663</v>
      </c>
      <c r="S197" s="80" t="s">
        <v>1885</v>
      </c>
      <c r="T197" s="81">
        <v>0.97499999999999998</v>
      </c>
    </row>
    <row r="198" spans="2:20" ht="14.45" customHeight="1" x14ac:dyDescent="0.25">
      <c r="B198" s="44" t="s">
        <v>294</v>
      </c>
      <c r="C198" s="28">
        <v>186</v>
      </c>
      <c r="D198" s="45" t="s">
        <v>2010</v>
      </c>
      <c r="E198" s="45"/>
      <c r="F198" s="28" t="str">
        <f>IF(INDEX(I.Facility.IDNumber,186)="","",INDEX(I.Facility.IDNumber,186))</f>
        <v/>
      </c>
      <c r="G198" s="45"/>
      <c r="H198" s="28" t="str">
        <f>IF(AND(I.Facility.FacilityCount&gt;=186,F198=""),"Incomplete","Complete")</f>
        <v>Complete</v>
      </c>
      <c r="I198" s="46" t="s">
        <v>664</v>
      </c>
      <c r="S198" s="80" t="s">
        <v>1886</v>
      </c>
      <c r="T198" s="81">
        <v>0.96250000000000002</v>
      </c>
    </row>
    <row r="199" spans="2:20" ht="14.45" customHeight="1" x14ac:dyDescent="0.25">
      <c r="B199" s="44" t="s">
        <v>294</v>
      </c>
      <c r="C199" s="28">
        <v>187</v>
      </c>
      <c r="D199" s="45" t="s">
        <v>2010</v>
      </c>
      <c r="E199" s="45"/>
      <c r="F199" s="28" t="str">
        <f>IF(INDEX(I.Facility.IDNumber,187)="","",INDEX(I.Facility.IDNumber,187))</f>
        <v/>
      </c>
      <c r="G199" s="45"/>
      <c r="H199" s="28" t="str">
        <f>IF(AND(I.Facility.FacilityCount&gt;=187,F199=""),"Incomplete","Complete")</f>
        <v>Complete</v>
      </c>
      <c r="I199" s="46" t="s">
        <v>665</v>
      </c>
      <c r="S199" s="80" t="s">
        <v>1887</v>
      </c>
      <c r="T199" s="81">
        <v>0.95</v>
      </c>
    </row>
    <row r="200" spans="2:20" ht="14.45" customHeight="1" x14ac:dyDescent="0.25">
      <c r="B200" s="44" t="s">
        <v>294</v>
      </c>
      <c r="C200" s="28">
        <v>188</v>
      </c>
      <c r="D200" s="45" t="s">
        <v>2010</v>
      </c>
      <c r="E200" s="45"/>
      <c r="F200" s="28" t="str">
        <f>IF(INDEX(I.Facility.IDNumber,188)="","",INDEX(I.Facility.IDNumber,188))</f>
        <v/>
      </c>
      <c r="G200" s="45"/>
      <c r="H200" s="28" t="str">
        <f>IF(AND(I.Facility.FacilityCount&gt;=188,F200=""),"Incomplete","Complete")</f>
        <v>Complete</v>
      </c>
      <c r="I200" s="46" t="s">
        <v>666</v>
      </c>
      <c r="S200" s="80" t="s">
        <v>1888</v>
      </c>
      <c r="T200" s="81">
        <v>0.9375</v>
      </c>
    </row>
    <row r="201" spans="2:20" ht="14.45" customHeight="1" x14ac:dyDescent="0.25">
      <c r="B201" s="44" t="s">
        <v>294</v>
      </c>
      <c r="C201" s="28">
        <v>189</v>
      </c>
      <c r="D201" s="45" t="s">
        <v>2010</v>
      </c>
      <c r="E201" s="45"/>
      <c r="F201" s="28" t="str">
        <f>IF(INDEX(I.Facility.IDNumber,189)="","",INDEX(I.Facility.IDNumber,189))</f>
        <v/>
      </c>
      <c r="G201" s="45"/>
      <c r="H201" s="28" t="str">
        <f>IF(AND(I.Facility.FacilityCount&gt;=189,F201=""),"Incomplete","Complete")</f>
        <v>Complete</v>
      </c>
      <c r="I201" s="46" t="s">
        <v>667</v>
      </c>
      <c r="S201" s="80" t="s">
        <v>1889</v>
      </c>
      <c r="T201" s="81">
        <v>0.92500000000000004</v>
      </c>
    </row>
    <row r="202" spans="2:20" ht="14.45" customHeight="1" x14ac:dyDescent="0.25">
      <c r="B202" s="44" t="s">
        <v>294</v>
      </c>
      <c r="C202" s="28">
        <v>190</v>
      </c>
      <c r="D202" s="45" t="s">
        <v>2010</v>
      </c>
      <c r="E202" s="45"/>
      <c r="F202" s="28" t="str">
        <f>IF(INDEX(I.Facility.IDNumber,190)="","",INDEX(I.Facility.IDNumber,190))</f>
        <v/>
      </c>
      <c r="G202" s="45"/>
      <c r="H202" s="28" t="str">
        <f>IF(AND(I.Facility.FacilityCount&gt;=190,F202=""),"Incomplete","Complete")</f>
        <v>Complete</v>
      </c>
      <c r="I202" s="46" t="s">
        <v>668</v>
      </c>
      <c r="S202" s="80" t="s">
        <v>1890</v>
      </c>
      <c r="T202" s="81">
        <v>0.91249999999999998</v>
      </c>
    </row>
    <row r="203" spans="2:20" ht="14.45" customHeight="1" x14ac:dyDescent="0.25">
      <c r="B203" s="44" t="s">
        <v>294</v>
      </c>
      <c r="C203" s="28">
        <v>191</v>
      </c>
      <c r="D203" s="45" t="s">
        <v>2010</v>
      </c>
      <c r="E203" s="45"/>
      <c r="F203" s="28" t="str">
        <f>IF(INDEX(I.Facility.IDNumber,191)="","",INDEX(I.Facility.IDNumber,191))</f>
        <v/>
      </c>
      <c r="G203" s="45"/>
      <c r="H203" s="28" t="str">
        <f>IF(AND(I.Facility.FacilityCount&gt;=191,F203=""),"Incomplete","Complete")</f>
        <v>Complete</v>
      </c>
      <c r="I203" s="46" t="s">
        <v>669</v>
      </c>
      <c r="S203" s="80" t="s">
        <v>1891</v>
      </c>
      <c r="T203" s="81">
        <v>0.9</v>
      </c>
    </row>
    <row r="204" spans="2:20" ht="14.45" customHeight="1" x14ac:dyDescent="0.25">
      <c r="B204" s="44" t="s">
        <v>294</v>
      </c>
      <c r="C204" s="28">
        <v>192</v>
      </c>
      <c r="D204" s="45" t="s">
        <v>2010</v>
      </c>
      <c r="E204" s="45"/>
      <c r="F204" s="28" t="str">
        <f>IF(INDEX(I.Facility.IDNumber,192)="","",INDEX(I.Facility.IDNumber,192))</f>
        <v/>
      </c>
      <c r="G204" s="45"/>
      <c r="H204" s="28" t="str">
        <f>IF(AND(I.Facility.FacilityCount&gt;=192,F204=""),"Incomplete","Complete")</f>
        <v>Complete</v>
      </c>
      <c r="I204" s="46" t="s">
        <v>670</v>
      </c>
      <c r="S204" s="80" t="s">
        <v>1892</v>
      </c>
      <c r="T204" s="81">
        <v>0.88749999999999996</v>
      </c>
    </row>
    <row r="205" spans="2:20" ht="14.45" customHeight="1" x14ac:dyDescent="0.25">
      <c r="B205" s="44" t="s">
        <v>294</v>
      </c>
      <c r="C205" s="28">
        <v>193</v>
      </c>
      <c r="D205" s="45" t="s">
        <v>2010</v>
      </c>
      <c r="E205" s="45"/>
      <c r="F205" s="28" t="str">
        <f>IF(INDEX(I.Facility.IDNumber,193)="","",INDEX(I.Facility.IDNumber,193))</f>
        <v/>
      </c>
      <c r="G205" s="45"/>
      <c r="H205" s="28" t="str">
        <f>IF(AND(I.Facility.FacilityCount&gt;=193,F205=""),"Incomplete","Complete")</f>
        <v>Complete</v>
      </c>
      <c r="I205" s="46" t="s">
        <v>671</v>
      </c>
      <c r="S205" s="80" t="s">
        <v>1893</v>
      </c>
      <c r="T205" s="81">
        <v>0.875</v>
      </c>
    </row>
    <row r="206" spans="2:20" ht="14.45" customHeight="1" x14ac:dyDescent="0.25">
      <c r="B206" s="44" t="s">
        <v>294</v>
      </c>
      <c r="C206" s="28">
        <v>194</v>
      </c>
      <c r="D206" s="45" t="s">
        <v>2010</v>
      </c>
      <c r="E206" s="45"/>
      <c r="F206" s="28" t="str">
        <f>IF(INDEX(I.Facility.IDNumber,194)="","",INDEX(I.Facility.IDNumber,194))</f>
        <v/>
      </c>
      <c r="G206" s="45"/>
      <c r="H206" s="28" t="str">
        <f>IF(AND(I.Facility.FacilityCount&gt;=194,F206=""),"Incomplete","Complete")</f>
        <v>Complete</v>
      </c>
      <c r="I206" s="46" t="s">
        <v>672</v>
      </c>
      <c r="S206" s="80" t="s">
        <v>1894</v>
      </c>
      <c r="T206" s="81">
        <v>0.86250000000000004</v>
      </c>
    </row>
    <row r="207" spans="2:20" ht="14.45" customHeight="1" x14ac:dyDescent="0.25">
      <c r="B207" s="44" t="s">
        <v>294</v>
      </c>
      <c r="C207" s="28">
        <v>195</v>
      </c>
      <c r="D207" s="45" t="s">
        <v>2010</v>
      </c>
      <c r="E207" s="45"/>
      <c r="F207" s="28" t="str">
        <f>IF(INDEX(I.Facility.IDNumber,195)="","",INDEX(I.Facility.IDNumber,195))</f>
        <v/>
      </c>
      <c r="G207" s="45"/>
      <c r="H207" s="28" t="str">
        <f>IF(AND(I.Facility.FacilityCount&gt;=195,F207=""),"Incomplete","Complete")</f>
        <v>Complete</v>
      </c>
      <c r="I207" s="46" t="s">
        <v>673</v>
      </c>
      <c r="S207" s="83" t="s">
        <v>1895</v>
      </c>
      <c r="T207" s="84">
        <v>0.85</v>
      </c>
    </row>
    <row r="208" spans="2:20" ht="14.45" customHeight="1" x14ac:dyDescent="0.25">
      <c r="B208" s="44" t="s">
        <v>294</v>
      </c>
      <c r="C208" s="28">
        <v>196</v>
      </c>
      <c r="D208" s="45" t="s">
        <v>2010</v>
      </c>
      <c r="E208" s="45"/>
      <c r="F208" s="28" t="str">
        <f>IF(INDEX(I.Facility.IDNumber,196)="","",INDEX(I.Facility.IDNumber,196))</f>
        <v/>
      </c>
      <c r="G208" s="45"/>
      <c r="H208" s="28" t="str">
        <f>IF(AND(I.Facility.FacilityCount&gt;=196,F208=""),"Incomplete","Complete")</f>
        <v>Complete</v>
      </c>
      <c r="I208" s="46" t="s">
        <v>674</v>
      </c>
      <c r="S208" s="50" t="s">
        <v>1896</v>
      </c>
      <c r="T208" s="81">
        <v>0.99380000000000002</v>
      </c>
    </row>
    <row r="209" spans="2:20" ht="14.45" customHeight="1" x14ac:dyDescent="0.25">
      <c r="B209" s="44" t="s">
        <v>294</v>
      </c>
      <c r="C209" s="28">
        <v>197</v>
      </c>
      <c r="D209" s="45" t="s">
        <v>2010</v>
      </c>
      <c r="E209" s="45"/>
      <c r="F209" s="28" t="str">
        <f>IF(INDEX(I.Facility.IDNumber,197)="","",INDEX(I.Facility.IDNumber,197))</f>
        <v/>
      </c>
      <c r="G209" s="45"/>
      <c r="H209" s="28" t="str">
        <f>IF(AND(I.Facility.FacilityCount&gt;=197,F209=""),"Incomplete","Complete")</f>
        <v>Complete</v>
      </c>
      <c r="I209" s="46" t="s">
        <v>675</v>
      </c>
      <c r="S209" s="50" t="s">
        <v>1897</v>
      </c>
      <c r="T209" s="81">
        <v>0.98750000000000004</v>
      </c>
    </row>
    <row r="210" spans="2:20" ht="14.45" customHeight="1" x14ac:dyDescent="0.25">
      <c r="B210" s="44" t="s">
        <v>294</v>
      </c>
      <c r="C210" s="28">
        <v>198</v>
      </c>
      <c r="D210" s="45" t="s">
        <v>2010</v>
      </c>
      <c r="E210" s="45"/>
      <c r="F210" s="28" t="str">
        <f>IF(INDEX(I.Facility.IDNumber,198)="","",INDEX(I.Facility.IDNumber,198))</f>
        <v/>
      </c>
      <c r="G210" s="45"/>
      <c r="H210" s="28" t="str">
        <f>IF(AND(I.Facility.FacilityCount&gt;=198,F210=""),"Incomplete","Complete")</f>
        <v>Complete</v>
      </c>
      <c r="I210" s="46" t="s">
        <v>676</v>
      </c>
      <c r="S210" s="50" t="s">
        <v>1898</v>
      </c>
      <c r="T210" s="81">
        <v>0.98129999999999995</v>
      </c>
    </row>
    <row r="211" spans="2:20" ht="14.45" customHeight="1" x14ac:dyDescent="0.25">
      <c r="B211" s="44" t="s">
        <v>294</v>
      </c>
      <c r="C211" s="28">
        <v>199</v>
      </c>
      <c r="D211" s="45" t="s">
        <v>2010</v>
      </c>
      <c r="E211" s="45"/>
      <c r="F211" s="28" t="str">
        <f>IF(INDEX(I.Facility.IDNumber,199)="","",INDEX(I.Facility.IDNumber,199))</f>
        <v/>
      </c>
      <c r="G211" s="45"/>
      <c r="H211" s="28" t="str">
        <f>IF(AND(I.Facility.FacilityCount&gt;=199,F211=""),"Incomplete","Complete")</f>
        <v>Complete</v>
      </c>
      <c r="I211" s="46" t="s">
        <v>677</v>
      </c>
      <c r="S211" s="50" t="s">
        <v>1899</v>
      </c>
      <c r="T211" s="81">
        <v>0.97499999999999998</v>
      </c>
    </row>
    <row r="212" spans="2:20" ht="14.45" customHeight="1" x14ac:dyDescent="0.25">
      <c r="B212" s="44" t="s">
        <v>294</v>
      </c>
      <c r="C212" s="28">
        <v>200</v>
      </c>
      <c r="D212" s="45" t="s">
        <v>2010</v>
      </c>
      <c r="E212" s="45"/>
      <c r="F212" s="28" t="str">
        <f>IF(INDEX(I.Facility.IDNumber,200)="","",INDEX(I.Facility.IDNumber,200))</f>
        <v/>
      </c>
      <c r="G212" s="45"/>
      <c r="H212" s="28" t="str">
        <f>IF(AND(I.Facility.FacilityCount&gt;=200,F212=""),"Incomplete","Complete")</f>
        <v>Complete</v>
      </c>
      <c r="I212" s="46" t="s">
        <v>678</v>
      </c>
      <c r="S212" s="50" t="s">
        <v>1900</v>
      </c>
      <c r="T212" s="81">
        <v>0.96879999999999999</v>
      </c>
    </row>
    <row r="213" spans="2:20" ht="14.45" customHeight="1" x14ac:dyDescent="0.25">
      <c r="B213" s="44" t="s">
        <v>294</v>
      </c>
      <c r="C213" s="28">
        <v>201</v>
      </c>
      <c r="D213" s="45" t="s">
        <v>2010</v>
      </c>
      <c r="E213" s="45"/>
      <c r="F213" s="28" t="str">
        <f>IF(INDEX(I.Facility.IDNumber,201)="","",INDEX(I.Facility.IDNumber,201))</f>
        <v/>
      </c>
      <c r="G213" s="45"/>
      <c r="H213" s="28" t="str">
        <f>IF(AND(I.Facility.FacilityCount&gt;=201,F213=""),"Incomplete","Complete")</f>
        <v>Complete</v>
      </c>
      <c r="I213" s="46" t="s">
        <v>679</v>
      </c>
      <c r="S213" s="50" t="s">
        <v>1901</v>
      </c>
      <c r="T213" s="81">
        <v>0.96250000000000002</v>
      </c>
    </row>
    <row r="214" spans="2:20" ht="14.45" customHeight="1" x14ac:dyDescent="0.25">
      <c r="B214" s="44" t="s">
        <v>294</v>
      </c>
      <c r="C214" s="28">
        <v>202</v>
      </c>
      <c r="D214" s="45" t="s">
        <v>2010</v>
      </c>
      <c r="E214" s="45"/>
      <c r="F214" s="28" t="str">
        <f>IF(INDEX(I.Facility.IDNumber,202)="","",INDEX(I.Facility.IDNumber,202))</f>
        <v/>
      </c>
      <c r="G214" s="45"/>
      <c r="H214" s="28" t="str">
        <f>IF(AND(I.Facility.FacilityCount&gt;=202,F214=""),"Incomplete","Complete")</f>
        <v>Complete</v>
      </c>
      <c r="I214" s="46" t="s">
        <v>680</v>
      </c>
      <c r="S214" s="50" t="s">
        <v>1902</v>
      </c>
      <c r="T214" s="81">
        <v>0.95630000000000004</v>
      </c>
    </row>
    <row r="215" spans="2:20" ht="14.45" customHeight="1" x14ac:dyDescent="0.25">
      <c r="B215" s="44" t="s">
        <v>294</v>
      </c>
      <c r="C215" s="28">
        <v>203</v>
      </c>
      <c r="D215" s="45" t="s">
        <v>2010</v>
      </c>
      <c r="E215" s="45"/>
      <c r="F215" s="28" t="str">
        <f>IF(INDEX(I.Facility.IDNumber,203)="","",INDEX(I.Facility.IDNumber,203))</f>
        <v/>
      </c>
      <c r="G215" s="45"/>
      <c r="H215" s="28" t="str">
        <f>IF(AND(I.Facility.FacilityCount&gt;=203,F215=""),"Incomplete","Complete")</f>
        <v>Complete</v>
      </c>
      <c r="I215" s="46" t="s">
        <v>681</v>
      </c>
      <c r="S215" s="75" t="s">
        <v>1903</v>
      </c>
      <c r="T215" s="84">
        <v>0.95</v>
      </c>
    </row>
    <row r="216" spans="2:20" ht="14.45" customHeight="1" x14ac:dyDescent="0.25">
      <c r="B216" s="44" t="s">
        <v>294</v>
      </c>
      <c r="C216" s="28">
        <v>204</v>
      </c>
      <c r="D216" s="45" t="s">
        <v>2010</v>
      </c>
      <c r="E216" s="45"/>
      <c r="F216" s="28" t="str">
        <f>IF(INDEX(I.Facility.IDNumber,204)="","",INDEX(I.Facility.IDNumber,204))</f>
        <v/>
      </c>
      <c r="G216" s="45"/>
      <c r="H216" s="28" t="str">
        <f>IF(AND(I.Facility.FacilityCount&gt;=204,F216=""),"Incomplete","Complete")</f>
        <v>Complete</v>
      </c>
      <c r="I216" s="46" t="s">
        <v>682</v>
      </c>
    </row>
    <row r="217" spans="2:20" ht="14.45" customHeight="1" x14ac:dyDescent="0.25">
      <c r="B217" s="44" t="s">
        <v>294</v>
      </c>
      <c r="C217" s="28">
        <v>205</v>
      </c>
      <c r="D217" s="45" t="s">
        <v>2010</v>
      </c>
      <c r="E217" s="45"/>
      <c r="F217" s="28" t="str">
        <f>IF(INDEX(I.Facility.IDNumber,205)="","",INDEX(I.Facility.IDNumber,205))</f>
        <v/>
      </c>
      <c r="G217" s="45"/>
      <c r="H217" s="28" t="str">
        <f>IF(AND(I.Facility.FacilityCount&gt;=205,F217=""),"Incomplete","Complete")</f>
        <v>Complete</v>
      </c>
      <c r="I217" s="46" t="s">
        <v>683</v>
      </c>
    </row>
    <row r="218" spans="2:20" ht="14.45" customHeight="1" x14ac:dyDescent="0.25">
      <c r="B218" s="44" t="s">
        <v>294</v>
      </c>
      <c r="C218" s="28">
        <v>206</v>
      </c>
      <c r="D218" s="45" t="s">
        <v>2010</v>
      </c>
      <c r="E218" s="45"/>
      <c r="F218" s="28" t="str">
        <f>IF(INDEX(I.Facility.IDNumber,206)="","",INDEX(I.Facility.IDNumber,206))</f>
        <v/>
      </c>
      <c r="G218" s="45"/>
      <c r="H218" s="28" t="str">
        <f>IF(AND(I.Facility.FacilityCount&gt;=206,F218=""),"Incomplete","Complete")</f>
        <v>Complete</v>
      </c>
      <c r="I218" s="46" t="s">
        <v>684</v>
      </c>
    </row>
    <row r="219" spans="2:20" ht="14.45" customHeight="1" x14ac:dyDescent="0.25">
      <c r="B219" s="44" t="s">
        <v>294</v>
      </c>
      <c r="C219" s="28">
        <v>207</v>
      </c>
      <c r="D219" s="45" t="s">
        <v>2010</v>
      </c>
      <c r="E219" s="45"/>
      <c r="F219" s="28" t="str">
        <f>IF(INDEX(I.Facility.IDNumber,207)="","",INDEX(I.Facility.IDNumber,207))</f>
        <v/>
      </c>
      <c r="G219" s="45"/>
      <c r="H219" s="28" t="str">
        <f>IF(AND(I.Facility.FacilityCount&gt;=207,F219=""),"Incomplete","Complete")</f>
        <v>Complete</v>
      </c>
      <c r="I219" s="46" t="s">
        <v>685</v>
      </c>
    </row>
    <row r="220" spans="2:20" ht="14.45" customHeight="1" x14ac:dyDescent="0.25">
      <c r="B220" s="44" t="s">
        <v>294</v>
      </c>
      <c r="C220" s="28">
        <v>208</v>
      </c>
      <c r="D220" s="45" t="s">
        <v>2010</v>
      </c>
      <c r="E220" s="45"/>
      <c r="F220" s="28" t="str">
        <f>IF(INDEX(I.Facility.IDNumber,208)="","",INDEX(I.Facility.IDNumber,208))</f>
        <v/>
      </c>
      <c r="G220" s="45"/>
      <c r="H220" s="28" t="str">
        <f>IF(AND(I.Facility.FacilityCount&gt;=208,F220=""),"Incomplete","Complete")</f>
        <v>Complete</v>
      </c>
      <c r="I220" s="46" t="s">
        <v>686</v>
      </c>
    </row>
    <row r="221" spans="2:20" ht="14.45" customHeight="1" x14ac:dyDescent="0.25">
      <c r="B221" s="44" t="s">
        <v>294</v>
      </c>
      <c r="C221" s="28">
        <v>209</v>
      </c>
      <c r="D221" s="45" t="s">
        <v>2010</v>
      </c>
      <c r="E221" s="45"/>
      <c r="F221" s="28" t="str">
        <f>IF(INDEX(I.Facility.IDNumber,209)="","",INDEX(I.Facility.IDNumber,209))</f>
        <v/>
      </c>
      <c r="G221" s="45"/>
      <c r="H221" s="28" t="str">
        <f>IF(AND(I.Facility.FacilityCount&gt;=209,F221=""),"Incomplete","Complete")</f>
        <v>Complete</v>
      </c>
      <c r="I221" s="46" t="s">
        <v>687</v>
      </c>
    </row>
    <row r="222" spans="2:20" ht="14.45" customHeight="1" x14ac:dyDescent="0.25">
      <c r="B222" s="44" t="s">
        <v>294</v>
      </c>
      <c r="C222" s="28">
        <v>210</v>
      </c>
      <c r="D222" s="45" t="s">
        <v>2010</v>
      </c>
      <c r="E222" s="45"/>
      <c r="F222" s="28" t="str">
        <f>IF(INDEX(I.Facility.IDNumber,210)="","",INDEX(I.Facility.IDNumber,210))</f>
        <v/>
      </c>
      <c r="G222" s="45"/>
      <c r="H222" s="28" t="str">
        <f>IF(AND(I.Facility.FacilityCount&gt;=210,F222=""),"Incomplete","Complete")</f>
        <v>Complete</v>
      </c>
      <c r="I222" s="46" t="s">
        <v>688</v>
      </c>
    </row>
    <row r="223" spans="2:20" ht="14.45" customHeight="1" x14ac:dyDescent="0.25">
      <c r="B223" s="44" t="s">
        <v>294</v>
      </c>
      <c r="C223" s="28">
        <v>211</v>
      </c>
      <c r="D223" s="45" t="s">
        <v>2010</v>
      </c>
      <c r="E223" s="45"/>
      <c r="F223" s="28" t="str">
        <f>IF(INDEX(I.Facility.IDNumber,211)="","",INDEX(I.Facility.IDNumber,211))</f>
        <v/>
      </c>
      <c r="G223" s="45"/>
      <c r="H223" s="28" t="str">
        <f>IF(AND(I.Facility.FacilityCount&gt;=211,F223=""),"Incomplete","Complete")</f>
        <v>Complete</v>
      </c>
      <c r="I223" s="46" t="s">
        <v>689</v>
      </c>
    </row>
    <row r="224" spans="2:20" ht="14.45" customHeight="1" x14ac:dyDescent="0.25">
      <c r="B224" s="44" t="s">
        <v>294</v>
      </c>
      <c r="C224" s="28">
        <v>212</v>
      </c>
      <c r="D224" s="45" t="s">
        <v>2010</v>
      </c>
      <c r="E224" s="45"/>
      <c r="F224" s="28" t="str">
        <f>IF(INDEX(I.Facility.IDNumber,212)="","",INDEX(I.Facility.IDNumber,212))</f>
        <v/>
      </c>
      <c r="G224" s="45"/>
      <c r="H224" s="28" t="str">
        <f>IF(AND(I.Facility.FacilityCount&gt;=212,F224=""),"Incomplete","Complete")</f>
        <v>Complete</v>
      </c>
      <c r="I224" s="46" t="s">
        <v>690</v>
      </c>
    </row>
    <row r="225" spans="2:9" ht="14.45" customHeight="1" x14ac:dyDescent="0.25">
      <c r="B225" s="44" t="s">
        <v>294</v>
      </c>
      <c r="C225" s="28">
        <v>213</v>
      </c>
      <c r="D225" s="45" t="s">
        <v>2010</v>
      </c>
      <c r="E225" s="45"/>
      <c r="F225" s="28" t="str">
        <f>IF(INDEX(I.Facility.IDNumber,213)="","",INDEX(I.Facility.IDNumber,213))</f>
        <v/>
      </c>
      <c r="G225" s="45"/>
      <c r="H225" s="28" t="str">
        <f>IF(AND(I.Facility.FacilityCount&gt;=213,F225=""),"Incomplete","Complete")</f>
        <v>Complete</v>
      </c>
      <c r="I225" s="46" t="s">
        <v>691</v>
      </c>
    </row>
    <row r="226" spans="2:9" ht="14.45" customHeight="1" x14ac:dyDescent="0.25">
      <c r="B226" s="44" t="s">
        <v>294</v>
      </c>
      <c r="C226" s="28">
        <v>214</v>
      </c>
      <c r="D226" s="45" t="s">
        <v>2010</v>
      </c>
      <c r="E226" s="45"/>
      <c r="F226" s="28" t="str">
        <f>IF(INDEX(I.Facility.IDNumber,214)="","",INDEX(I.Facility.IDNumber,214))</f>
        <v/>
      </c>
      <c r="G226" s="45"/>
      <c r="H226" s="28" t="str">
        <f>IF(AND(I.Facility.FacilityCount&gt;=214,F226=""),"Incomplete","Complete")</f>
        <v>Complete</v>
      </c>
      <c r="I226" s="46" t="s">
        <v>692</v>
      </c>
    </row>
    <row r="227" spans="2:9" ht="14.45" customHeight="1" x14ac:dyDescent="0.25">
      <c r="B227" s="44" t="s">
        <v>294</v>
      </c>
      <c r="C227" s="28">
        <v>215</v>
      </c>
      <c r="D227" s="45" t="s">
        <v>2010</v>
      </c>
      <c r="E227" s="45"/>
      <c r="F227" s="28" t="str">
        <f>IF(INDEX(I.Facility.IDNumber,215)="","",INDEX(I.Facility.IDNumber,215))</f>
        <v/>
      </c>
      <c r="G227" s="45"/>
      <c r="H227" s="28" t="str">
        <f>IF(AND(I.Facility.FacilityCount&gt;=215,F227=""),"Incomplete","Complete")</f>
        <v>Complete</v>
      </c>
      <c r="I227" s="46" t="s">
        <v>693</v>
      </c>
    </row>
    <row r="228" spans="2:9" ht="14.45" customHeight="1" x14ac:dyDescent="0.25">
      <c r="B228" s="44" t="s">
        <v>294</v>
      </c>
      <c r="C228" s="28">
        <v>216</v>
      </c>
      <c r="D228" s="45" t="s">
        <v>2010</v>
      </c>
      <c r="E228" s="45"/>
      <c r="F228" s="28" t="str">
        <f>IF(INDEX(I.Facility.IDNumber,216)="","",INDEX(I.Facility.IDNumber,216))</f>
        <v/>
      </c>
      <c r="G228" s="45"/>
      <c r="H228" s="28" t="str">
        <f>IF(AND(I.Facility.FacilityCount&gt;=216,F228=""),"Incomplete","Complete")</f>
        <v>Complete</v>
      </c>
      <c r="I228" s="46" t="s">
        <v>694</v>
      </c>
    </row>
    <row r="229" spans="2:9" ht="14.45" customHeight="1" x14ac:dyDescent="0.25">
      <c r="B229" s="44" t="s">
        <v>294</v>
      </c>
      <c r="C229" s="28">
        <v>217</v>
      </c>
      <c r="D229" s="45" t="s">
        <v>2010</v>
      </c>
      <c r="E229" s="45"/>
      <c r="F229" s="28" t="str">
        <f>IF(INDEX(I.Facility.IDNumber,217)="","",INDEX(I.Facility.IDNumber,217))</f>
        <v/>
      </c>
      <c r="G229" s="45"/>
      <c r="H229" s="28" t="str">
        <f>IF(AND(I.Facility.FacilityCount&gt;=217,F229=""),"Incomplete","Complete")</f>
        <v>Complete</v>
      </c>
      <c r="I229" s="46" t="s">
        <v>695</v>
      </c>
    </row>
    <row r="230" spans="2:9" ht="14.45" customHeight="1" x14ac:dyDescent="0.25">
      <c r="B230" s="44" t="s">
        <v>294</v>
      </c>
      <c r="C230" s="28">
        <v>218</v>
      </c>
      <c r="D230" s="45" t="s">
        <v>2010</v>
      </c>
      <c r="E230" s="45"/>
      <c r="F230" s="28" t="str">
        <f>IF(INDEX(I.Facility.IDNumber,218)="","",INDEX(I.Facility.IDNumber,218))</f>
        <v/>
      </c>
      <c r="G230" s="45"/>
      <c r="H230" s="28" t="str">
        <f>IF(AND(I.Facility.FacilityCount&gt;=218,F230=""),"Incomplete","Complete")</f>
        <v>Complete</v>
      </c>
      <c r="I230" s="46" t="s">
        <v>696</v>
      </c>
    </row>
    <row r="231" spans="2:9" ht="14.45" customHeight="1" x14ac:dyDescent="0.25">
      <c r="B231" s="44" t="s">
        <v>294</v>
      </c>
      <c r="C231" s="28">
        <v>219</v>
      </c>
      <c r="D231" s="45" t="s">
        <v>2010</v>
      </c>
      <c r="E231" s="45"/>
      <c r="F231" s="28" t="str">
        <f>IF(INDEX(I.Facility.IDNumber,219)="","",INDEX(I.Facility.IDNumber,219))</f>
        <v/>
      </c>
      <c r="G231" s="45"/>
      <c r="H231" s="28" t="str">
        <f>IF(AND(I.Facility.FacilityCount&gt;=219,F231=""),"Incomplete","Complete")</f>
        <v>Complete</v>
      </c>
      <c r="I231" s="46" t="s">
        <v>697</v>
      </c>
    </row>
    <row r="232" spans="2:9" ht="14.45" customHeight="1" x14ac:dyDescent="0.25">
      <c r="B232" s="44" t="s">
        <v>294</v>
      </c>
      <c r="C232" s="28">
        <v>220</v>
      </c>
      <c r="D232" s="45" t="s">
        <v>2010</v>
      </c>
      <c r="E232" s="45"/>
      <c r="F232" s="28" t="str">
        <f>IF(INDEX(I.Facility.IDNumber,220)="","",INDEX(I.Facility.IDNumber,220))</f>
        <v/>
      </c>
      <c r="G232" s="45"/>
      <c r="H232" s="28" t="str">
        <f>IF(AND(I.Facility.FacilityCount&gt;=220,F232=""),"Incomplete","Complete")</f>
        <v>Complete</v>
      </c>
      <c r="I232" s="46" t="s">
        <v>698</v>
      </c>
    </row>
    <row r="233" spans="2:9" ht="14.45" customHeight="1" x14ac:dyDescent="0.25">
      <c r="B233" s="44" t="s">
        <v>294</v>
      </c>
      <c r="C233" s="28">
        <v>221</v>
      </c>
      <c r="D233" s="45" t="s">
        <v>2010</v>
      </c>
      <c r="E233" s="45"/>
      <c r="F233" s="28" t="str">
        <f>IF(INDEX(I.Facility.IDNumber,221)="","",INDEX(I.Facility.IDNumber,221))</f>
        <v/>
      </c>
      <c r="G233" s="45"/>
      <c r="H233" s="28" t="str">
        <f>IF(AND(I.Facility.FacilityCount&gt;=221,F233=""),"Incomplete","Complete")</f>
        <v>Complete</v>
      </c>
      <c r="I233" s="46" t="s">
        <v>699</v>
      </c>
    </row>
    <row r="234" spans="2:9" ht="14.45" customHeight="1" x14ac:dyDescent="0.25">
      <c r="B234" s="44" t="s">
        <v>294</v>
      </c>
      <c r="C234" s="28">
        <v>222</v>
      </c>
      <c r="D234" s="45" t="s">
        <v>2010</v>
      </c>
      <c r="E234" s="45"/>
      <c r="F234" s="28" t="str">
        <f>IF(INDEX(I.Facility.IDNumber,222)="","",INDEX(I.Facility.IDNumber,222))</f>
        <v/>
      </c>
      <c r="G234" s="45"/>
      <c r="H234" s="28" t="str">
        <f>IF(AND(I.Facility.FacilityCount&gt;=222,F234=""),"Incomplete","Complete")</f>
        <v>Complete</v>
      </c>
      <c r="I234" s="46" t="s">
        <v>700</v>
      </c>
    </row>
    <row r="235" spans="2:9" ht="14.45" customHeight="1" x14ac:dyDescent="0.25">
      <c r="B235" s="44" t="s">
        <v>294</v>
      </c>
      <c r="C235" s="28">
        <v>223</v>
      </c>
      <c r="D235" s="45" t="s">
        <v>2010</v>
      </c>
      <c r="E235" s="45"/>
      <c r="F235" s="28" t="str">
        <f>IF(INDEX(I.Facility.IDNumber,223)="","",INDEX(I.Facility.IDNumber,223))</f>
        <v/>
      </c>
      <c r="G235" s="45"/>
      <c r="H235" s="28" t="str">
        <f>IF(AND(I.Facility.FacilityCount&gt;=223,F235=""),"Incomplete","Complete")</f>
        <v>Complete</v>
      </c>
      <c r="I235" s="46" t="s">
        <v>701</v>
      </c>
    </row>
    <row r="236" spans="2:9" ht="14.45" customHeight="1" x14ac:dyDescent="0.25">
      <c r="B236" s="44" t="s">
        <v>294</v>
      </c>
      <c r="C236" s="28">
        <v>224</v>
      </c>
      <c r="D236" s="45" t="s">
        <v>2010</v>
      </c>
      <c r="E236" s="45"/>
      <c r="F236" s="28" t="str">
        <f>IF(INDEX(I.Facility.IDNumber,224)="","",INDEX(I.Facility.IDNumber,224))</f>
        <v/>
      </c>
      <c r="G236" s="45"/>
      <c r="H236" s="28" t="str">
        <f>IF(AND(I.Facility.FacilityCount&gt;=224,F236=""),"Incomplete","Complete")</f>
        <v>Complete</v>
      </c>
      <c r="I236" s="46" t="s">
        <v>702</v>
      </c>
    </row>
    <row r="237" spans="2:9" ht="14.45" customHeight="1" x14ac:dyDescent="0.25">
      <c r="B237" s="44" t="s">
        <v>294</v>
      </c>
      <c r="C237" s="28">
        <v>225</v>
      </c>
      <c r="D237" s="45" t="s">
        <v>2010</v>
      </c>
      <c r="E237" s="45"/>
      <c r="F237" s="28" t="str">
        <f>IF(INDEX(I.Facility.IDNumber,225)="","",INDEX(I.Facility.IDNumber,225))</f>
        <v/>
      </c>
      <c r="G237" s="45"/>
      <c r="H237" s="28" t="str">
        <f>IF(AND(I.Facility.FacilityCount&gt;=225,F237=""),"Incomplete","Complete")</f>
        <v>Complete</v>
      </c>
      <c r="I237" s="46" t="s">
        <v>703</v>
      </c>
    </row>
    <row r="238" spans="2:9" ht="14.45" customHeight="1" x14ac:dyDescent="0.25">
      <c r="B238" s="44" t="s">
        <v>294</v>
      </c>
      <c r="C238" s="28">
        <v>226</v>
      </c>
      <c r="D238" s="45" t="s">
        <v>2010</v>
      </c>
      <c r="E238" s="45"/>
      <c r="F238" s="28" t="str">
        <f>IF(INDEX(I.Facility.IDNumber,226)="","",INDEX(I.Facility.IDNumber,226))</f>
        <v/>
      </c>
      <c r="G238" s="45"/>
      <c r="H238" s="28" t="str">
        <f>IF(AND(I.Facility.FacilityCount&gt;=226,F238=""),"Incomplete","Complete")</f>
        <v>Complete</v>
      </c>
      <c r="I238" s="46" t="s">
        <v>704</v>
      </c>
    </row>
    <row r="239" spans="2:9" ht="14.45" customHeight="1" x14ac:dyDescent="0.25">
      <c r="B239" s="44" t="s">
        <v>294</v>
      </c>
      <c r="C239" s="28">
        <v>227</v>
      </c>
      <c r="D239" s="45" t="s">
        <v>2010</v>
      </c>
      <c r="E239" s="45"/>
      <c r="F239" s="28" t="str">
        <f>IF(INDEX(I.Facility.IDNumber,227)="","",INDEX(I.Facility.IDNumber,227))</f>
        <v/>
      </c>
      <c r="G239" s="45"/>
      <c r="H239" s="28" t="str">
        <f>IF(AND(I.Facility.FacilityCount&gt;=227,F239=""),"Incomplete","Complete")</f>
        <v>Complete</v>
      </c>
      <c r="I239" s="46" t="s">
        <v>705</v>
      </c>
    </row>
    <row r="240" spans="2:9" ht="14.45" customHeight="1" x14ac:dyDescent="0.25">
      <c r="B240" s="44" t="s">
        <v>294</v>
      </c>
      <c r="C240" s="28">
        <v>228</v>
      </c>
      <c r="D240" s="45" t="s">
        <v>2010</v>
      </c>
      <c r="E240" s="45"/>
      <c r="F240" s="28" t="str">
        <f>IF(INDEX(I.Facility.IDNumber,228)="","",INDEX(I.Facility.IDNumber,228))</f>
        <v/>
      </c>
      <c r="G240" s="45"/>
      <c r="H240" s="28" t="str">
        <f>IF(AND(I.Facility.FacilityCount&gt;=228,F240=""),"Incomplete","Complete")</f>
        <v>Complete</v>
      </c>
      <c r="I240" s="46" t="s">
        <v>706</v>
      </c>
    </row>
    <row r="241" spans="2:9" ht="14.45" customHeight="1" x14ac:dyDescent="0.25">
      <c r="B241" s="44" t="s">
        <v>294</v>
      </c>
      <c r="C241" s="28">
        <v>229</v>
      </c>
      <c r="D241" s="45" t="s">
        <v>2010</v>
      </c>
      <c r="E241" s="45"/>
      <c r="F241" s="28" t="str">
        <f>IF(INDEX(I.Facility.IDNumber,229)="","",INDEX(I.Facility.IDNumber,229))</f>
        <v/>
      </c>
      <c r="G241" s="45"/>
      <c r="H241" s="28" t="str">
        <f>IF(AND(I.Facility.FacilityCount&gt;=229,F241=""),"Incomplete","Complete")</f>
        <v>Complete</v>
      </c>
      <c r="I241" s="46" t="s">
        <v>707</v>
      </c>
    </row>
    <row r="242" spans="2:9" ht="14.45" customHeight="1" x14ac:dyDescent="0.25">
      <c r="B242" s="44" t="s">
        <v>294</v>
      </c>
      <c r="C242" s="28">
        <v>230</v>
      </c>
      <c r="D242" s="45" t="s">
        <v>2010</v>
      </c>
      <c r="E242" s="45"/>
      <c r="F242" s="28" t="str">
        <f>IF(INDEX(I.Facility.IDNumber,230)="","",INDEX(I.Facility.IDNumber,230))</f>
        <v/>
      </c>
      <c r="G242" s="45"/>
      <c r="H242" s="28" t="str">
        <f>IF(AND(I.Facility.FacilityCount&gt;=230,F242=""),"Incomplete","Complete")</f>
        <v>Complete</v>
      </c>
      <c r="I242" s="46" t="s">
        <v>708</v>
      </c>
    </row>
    <row r="243" spans="2:9" ht="14.45" customHeight="1" x14ac:dyDescent="0.25">
      <c r="B243" s="44" t="s">
        <v>294</v>
      </c>
      <c r="C243" s="28">
        <v>231</v>
      </c>
      <c r="D243" s="45" t="s">
        <v>2010</v>
      </c>
      <c r="E243" s="45"/>
      <c r="F243" s="28" t="str">
        <f>IF(INDEX(I.Facility.IDNumber,231)="","",INDEX(I.Facility.IDNumber,231))</f>
        <v/>
      </c>
      <c r="G243" s="45"/>
      <c r="H243" s="28" t="str">
        <f>IF(AND(I.Facility.FacilityCount&gt;=231,F243=""),"Incomplete","Complete")</f>
        <v>Complete</v>
      </c>
      <c r="I243" s="46" t="s">
        <v>709</v>
      </c>
    </row>
    <row r="244" spans="2:9" ht="14.45" customHeight="1" x14ac:dyDescent="0.25">
      <c r="B244" s="44" t="s">
        <v>294</v>
      </c>
      <c r="C244" s="28">
        <v>232</v>
      </c>
      <c r="D244" s="45" t="s">
        <v>2010</v>
      </c>
      <c r="E244" s="45"/>
      <c r="F244" s="28" t="str">
        <f>IF(INDEX(I.Facility.IDNumber,232)="","",INDEX(I.Facility.IDNumber,232))</f>
        <v/>
      </c>
      <c r="G244" s="45"/>
      <c r="H244" s="28" t="str">
        <f>IF(AND(I.Facility.FacilityCount&gt;=232,F244=""),"Incomplete","Complete")</f>
        <v>Complete</v>
      </c>
      <c r="I244" s="46" t="s">
        <v>710</v>
      </c>
    </row>
    <row r="245" spans="2:9" ht="14.45" customHeight="1" x14ac:dyDescent="0.25">
      <c r="B245" s="44" t="s">
        <v>294</v>
      </c>
      <c r="C245" s="28">
        <v>233</v>
      </c>
      <c r="D245" s="45" t="s">
        <v>2010</v>
      </c>
      <c r="E245" s="45"/>
      <c r="F245" s="28" t="str">
        <f>IF(INDEX(I.Facility.IDNumber,233)="","",INDEX(I.Facility.IDNumber,233))</f>
        <v/>
      </c>
      <c r="G245" s="45"/>
      <c r="H245" s="28" t="str">
        <f>IF(AND(I.Facility.FacilityCount&gt;=233,F245=""),"Incomplete","Complete")</f>
        <v>Complete</v>
      </c>
      <c r="I245" s="46" t="s">
        <v>711</v>
      </c>
    </row>
    <row r="246" spans="2:9" ht="14.45" customHeight="1" x14ac:dyDescent="0.25">
      <c r="B246" s="44" t="s">
        <v>294</v>
      </c>
      <c r="C246" s="28">
        <v>234</v>
      </c>
      <c r="D246" s="45" t="s">
        <v>2010</v>
      </c>
      <c r="E246" s="45"/>
      <c r="F246" s="28" t="str">
        <f>IF(INDEX(I.Facility.IDNumber,234)="","",INDEX(I.Facility.IDNumber,234))</f>
        <v/>
      </c>
      <c r="G246" s="45"/>
      <c r="H246" s="28" t="str">
        <f>IF(AND(I.Facility.FacilityCount&gt;=234,F246=""),"Incomplete","Complete")</f>
        <v>Complete</v>
      </c>
      <c r="I246" s="46" t="s">
        <v>712</v>
      </c>
    </row>
    <row r="247" spans="2:9" ht="14.45" customHeight="1" x14ac:dyDescent="0.25">
      <c r="B247" s="44" t="s">
        <v>294</v>
      </c>
      <c r="C247" s="28">
        <v>235</v>
      </c>
      <c r="D247" s="45" t="s">
        <v>2010</v>
      </c>
      <c r="E247" s="45"/>
      <c r="F247" s="28" t="str">
        <f>IF(INDEX(I.Facility.IDNumber,235)="","",INDEX(I.Facility.IDNumber,235))</f>
        <v/>
      </c>
      <c r="G247" s="45"/>
      <c r="H247" s="28" t="str">
        <f>IF(AND(I.Facility.FacilityCount&gt;=235,F247=""),"Incomplete","Complete")</f>
        <v>Complete</v>
      </c>
      <c r="I247" s="46" t="s">
        <v>713</v>
      </c>
    </row>
    <row r="248" spans="2:9" ht="14.45" customHeight="1" x14ac:dyDescent="0.25">
      <c r="B248" s="44" t="s">
        <v>294</v>
      </c>
      <c r="C248" s="28">
        <v>236</v>
      </c>
      <c r="D248" s="45" t="s">
        <v>2010</v>
      </c>
      <c r="E248" s="45"/>
      <c r="F248" s="28" t="str">
        <f>IF(INDEX(I.Facility.IDNumber,236)="","",INDEX(I.Facility.IDNumber,236))</f>
        <v/>
      </c>
      <c r="G248" s="45"/>
      <c r="H248" s="28" t="str">
        <f>IF(AND(I.Facility.FacilityCount&gt;=236,F248=""),"Incomplete","Complete")</f>
        <v>Complete</v>
      </c>
      <c r="I248" s="46" t="s">
        <v>714</v>
      </c>
    </row>
    <row r="249" spans="2:9" ht="14.45" customHeight="1" x14ac:dyDescent="0.25">
      <c r="B249" s="44" t="s">
        <v>294</v>
      </c>
      <c r="C249" s="28">
        <v>237</v>
      </c>
      <c r="D249" s="45" t="s">
        <v>2010</v>
      </c>
      <c r="E249" s="45"/>
      <c r="F249" s="28" t="str">
        <f>IF(INDEX(I.Facility.IDNumber,237)="","",INDEX(I.Facility.IDNumber,237))</f>
        <v/>
      </c>
      <c r="G249" s="45"/>
      <c r="H249" s="28" t="str">
        <f>IF(AND(I.Facility.FacilityCount&gt;=237,F249=""),"Incomplete","Complete")</f>
        <v>Complete</v>
      </c>
      <c r="I249" s="46" t="s">
        <v>715</v>
      </c>
    </row>
    <row r="250" spans="2:9" ht="14.45" customHeight="1" x14ac:dyDescent="0.25">
      <c r="B250" s="44" t="s">
        <v>294</v>
      </c>
      <c r="C250" s="28">
        <v>238</v>
      </c>
      <c r="D250" s="45" t="s">
        <v>2010</v>
      </c>
      <c r="E250" s="45"/>
      <c r="F250" s="28" t="str">
        <f>IF(INDEX(I.Facility.IDNumber,238)="","",INDEX(I.Facility.IDNumber,238))</f>
        <v/>
      </c>
      <c r="G250" s="45"/>
      <c r="H250" s="28" t="str">
        <f>IF(AND(I.Facility.FacilityCount&gt;=238,F250=""),"Incomplete","Complete")</f>
        <v>Complete</v>
      </c>
      <c r="I250" s="46" t="s">
        <v>716</v>
      </c>
    </row>
    <row r="251" spans="2:9" ht="14.45" customHeight="1" x14ac:dyDescent="0.25">
      <c r="B251" s="44" t="s">
        <v>294</v>
      </c>
      <c r="C251" s="28">
        <v>239</v>
      </c>
      <c r="D251" s="45" t="s">
        <v>2010</v>
      </c>
      <c r="E251" s="45"/>
      <c r="F251" s="28" t="str">
        <f>IF(INDEX(I.Facility.IDNumber,239)="","",INDEX(I.Facility.IDNumber,239))</f>
        <v/>
      </c>
      <c r="G251" s="45"/>
      <c r="H251" s="28" t="str">
        <f>IF(AND(I.Facility.FacilityCount&gt;=239,F251=""),"Incomplete","Complete")</f>
        <v>Complete</v>
      </c>
      <c r="I251" s="46" t="s">
        <v>717</v>
      </c>
    </row>
    <row r="252" spans="2:9" ht="14.45" customHeight="1" x14ac:dyDescent="0.25">
      <c r="B252" s="44" t="s">
        <v>294</v>
      </c>
      <c r="C252" s="28">
        <v>240</v>
      </c>
      <c r="D252" s="45" t="s">
        <v>2010</v>
      </c>
      <c r="E252" s="45"/>
      <c r="F252" s="28" t="str">
        <f>IF(INDEX(I.Facility.IDNumber,240)="","",INDEX(I.Facility.IDNumber,240))</f>
        <v/>
      </c>
      <c r="G252" s="45"/>
      <c r="H252" s="28" t="str">
        <f>IF(AND(I.Facility.FacilityCount&gt;=240,F252=""),"Incomplete","Complete")</f>
        <v>Complete</v>
      </c>
      <c r="I252" s="46" t="s">
        <v>718</v>
      </c>
    </row>
    <row r="253" spans="2:9" ht="14.45" customHeight="1" x14ac:dyDescent="0.25">
      <c r="B253" s="44" t="s">
        <v>294</v>
      </c>
      <c r="C253" s="28">
        <v>241</v>
      </c>
      <c r="D253" s="45" t="s">
        <v>2010</v>
      </c>
      <c r="E253" s="45"/>
      <c r="F253" s="28" t="str">
        <f>IF(INDEX(I.Facility.IDNumber,241)="","",INDEX(I.Facility.IDNumber,241))</f>
        <v/>
      </c>
      <c r="G253" s="45"/>
      <c r="H253" s="28" t="str">
        <f>IF(AND(I.Facility.FacilityCount&gt;=241,F253=""),"Incomplete","Complete")</f>
        <v>Complete</v>
      </c>
      <c r="I253" s="46" t="s">
        <v>719</v>
      </c>
    </row>
    <row r="254" spans="2:9" ht="14.45" customHeight="1" x14ac:dyDescent="0.25">
      <c r="B254" s="44" t="s">
        <v>294</v>
      </c>
      <c r="C254" s="28">
        <v>242</v>
      </c>
      <c r="D254" s="45" t="s">
        <v>2010</v>
      </c>
      <c r="E254" s="45"/>
      <c r="F254" s="28" t="str">
        <f>IF(INDEX(I.Facility.IDNumber,242)="","",INDEX(I.Facility.IDNumber,242))</f>
        <v/>
      </c>
      <c r="G254" s="45"/>
      <c r="H254" s="28" t="str">
        <f>IF(AND(I.Facility.FacilityCount&gt;=242,F254=""),"Incomplete","Complete")</f>
        <v>Complete</v>
      </c>
      <c r="I254" s="46" t="s">
        <v>720</v>
      </c>
    </row>
    <row r="255" spans="2:9" ht="14.45" customHeight="1" x14ac:dyDescent="0.25">
      <c r="B255" s="44" t="s">
        <v>294</v>
      </c>
      <c r="C255" s="28">
        <v>243</v>
      </c>
      <c r="D255" s="45" t="s">
        <v>2010</v>
      </c>
      <c r="E255" s="45"/>
      <c r="F255" s="28" t="str">
        <f>IF(INDEX(I.Facility.IDNumber,243)="","",INDEX(I.Facility.IDNumber,243))</f>
        <v/>
      </c>
      <c r="G255" s="45"/>
      <c r="H255" s="28" t="str">
        <f>IF(AND(I.Facility.FacilityCount&gt;=243,F255=""),"Incomplete","Complete")</f>
        <v>Complete</v>
      </c>
      <c r="I255" s="46" t="s">
        <v>721</v>
      </c>
    </row>
    <row r="256" spans="2:9" ht="14.45" customHeight="1" x14ac:dyDescent="0.25">
      <c r="B256" s="44" t="s">
        <v>294</v>
      </c>
      <c r="C256" s="28">
        <v>244</v>
      </c>
      <c r="D256" s="45" t="s">
        <v>2010</v>
      </c>
      <c r="E256" s="45"/>
      <c r="F256" s="28" t="str">
        <f>IF(INDEX(I.Facility.IDNumber,244)="","",INDEX(I.Facility.IDNumber,244))</f>
        <v/>
      </c>
      <c r="G256" s="45"/>
      <c r="H256" s="28" t="str">
        <f>IF(AND(I.Facility.FacilityCount&gt;=244,F256=""),"Incomplete","Complete")</f>
        <v>Complete</v>
      </c>
      <c r="I256" s="46" t="s">
        <v>722</v>
      </c>
    </row>
    <row r="257" spans="2:9" ht="14.45" customHeight="1" x14ac:dyDescent="0.25">
      <c r="B257" s="44" t="s">
        <v>294</v>
      </c>
      <c r="C257" s="28">
        <v>245</v>
      </c>
      <c r="D257" s="45" t="s">
        <v>2010</v>
      </c>
      <c r="E257" s="45"/>
      <c r="F257" s="28" t="str">
        <f>IF(INDEX(I.Facility.IDNumber,245)="","",INDEX(I.Facility.IDNumber,245))</f>
        <v/>
      </c>
      <c r="G257" s="45"/>
      <c r="H257" s="28" t="str">
        <f>IF(AND(I.Facility.FacilityCount&gt;=245,F257=""),"Incomplete","Complete")</f>
        <v>Complete</v>
      </c>
      <c r="I257" s="46" t="s">
        <v>723</v>
      </c>
    </row>
    <row r="258" spans="2:9" ht="14.45" customHeight="1" x14ac:dyDescent="0.25">
      <c r="B258" s="44" t="s">
        <v>294</v>
      </c>
      <c r="C258" s="28">
        <v>246</v>
      </c>
      <c r="D258" s="45" t="s">
        <v>2010</v>
      </c>
      <c r="E258" s="45"/>
      <c r="F258" s="28" t="str">
        <f>IF(INDEX(I.Facility.IDNumber,246)="","",INDEX(I.Facility.IDNumber,246))</f>
        <v/>
      </c>
      <c r="G258" s="45"/>
      <c r="H258" s="28" t="str">
        <f>IF(AND(I.Facility.FacilityCount&gt;=246,F258=""),"Incomplete","Complete")</f>
        <v>Complete</v>
      </c>
      <c r="I258" s="46" t="s">
        <v>724</v>
      </c>
    </row>
    <row r="259" spans="2:9" ht="14.45" customHeight="1" x14ac:dyDescent="0.25">
      <c r="B259" s="44" t="s">
        <v>294</v>
      </c>
      <c r="C259" s="28">
        <v>247</v>
      </c>
      <c r="D259" s="45" t="s">
        <v>2010</v>
      </c>
      <c r="E259" s="45"/>
      <c r="F259" s="28" t="str">
        <f>IF(INDEX(I.Facility.IDNumber,247)="","",INDEX(I.Facility.IDNumber,247))</f>
        <v/>
      </c>
      <c r="G259" s="45"/>
      <c r="H259" s="28" t="str">
        <f>IF(AND(I.Facility.FacilityCount&gt;=247,F259=""),"Incomplete","Complete")</f>
        <v>Complete</v>
      </c>
      <c r="I259" s="46" t="s">
        <v>725</v>
      </c>
    </row>
    <row r="260" spans="2:9" ht="14.45" customHeight="1" x14ac:dyDescent="0.25">
      <c r="B260" s="44" t="s">
        <v>294</v>
      </c>
      <c r="C260" s="28">
        <v>248</v>
      </c>
      <c r="D260" s="45" t="s">
        <v>2010</v>
      </c>
      <c r="E260" s="45"/>
      <c r="F260" s="28" t="str">
        <f>IF(INDEX(I.Facility.IDNumber,248)="","",INDEX(I.Facility.IDNumber,248))</f>
        <v/>
      </c>
      <c r="G260" s="45"/>
      <c r="H260" s="28" t="str">
        <f>IF(AND(I.Facility.FacilityCount&gt;=248,F260=""),"Incomplete","Complete")</f>
        <v>Complete</v>
      </c>
      <c r="I260" s="46" t="s">
        <v>726</v>
      </c>
    </row>
    <row r="261" spans="2:9" ht="14.45" customHeight="1" x14ac:dyDescent="0.25">
      <c r="B261" s="44" t="s">
        <v>294</v>
      </c>
      <c r="C261" s="28">
        <v>249</v>
      </c>
      <c r="D261" s="45" t="s">
        <v>2010</v>
      </c>
      <c r="E261" s="45"/>
      <c r="F261" s="28" t="str">
        <f>IF(INDEX(I.Facility.IDNumber,249)="","",INDEX(I.Facility.IDNumber,249))</f>
        <v/>
      </c>
      <c r="G261" s="45"/>
      <c r="H261" s="28" t="str">
        <f>IF(AND(I.Facility.FacilityCount&gt;=249,F261=""),"Incomplete","Complete")</f>
        <v>Complete</v>
      </c>
      <c r="I261" s="46" t="s">
        <v>727</v>
      </c>
    </row>
    <row r="262" spans="2:9" ht="14.45" customHeight="1" x14ac:dyDescent="0.25">
      <c r="B262" s="44" t="s">
        <v>294</v>
      </c>
      <c r="C262" s="28">
        <v>250</v>
      </c>
      <c r="D262" s="45" t="s">
        <v>2010</v>
      </c>
      <c r="E262" s="45"/>
      <c r="F262" s="28" t="str">
        <f>IF(INDEX(I.Facility.IDNumber,250)="","",INDEX(I.Facility.IDNumber,250))</f>
        <v/>
      </c>
      <c r="G262" s="45"/>
      <c r="H262" s="28" t="str">
        <f>IF(AND(I.Facility.FacilityCount&gt;=250,F262=""),"Incomplete","Complete")</f>
        <v>Complete</v>
      </c>
      <c r="I262" s="46" t="s">
        <v>728</v>
      </c>
    </row>
    <row r="263" spans="2:9" ht="14.45" customHeight="1" x14ac:dyDescent="0.25">
      <c r="B263" s="44" t="s">
        <v>294</v>
      </c>
      <c r="C263" s="28">
        <v>251</v>
      </c>
      <c r="D263" s="45" t="s">
        <v>2010</v>
      </c>
      <c r="E263" s="45"/>
      <c r="F263" s="28" t="str">
        <f>IF(INDEX(I.Facility.IDNumber,251)="","",INDEX(I.Facility.IDNumber,251))</f>
        <v/>
      </c>
      <c r="G263" s="45"/>
      <c r="H263" s="28" t="str">
        <f>IF(AND(I.Facility.FacilityCount&gt;=251,F263=""),"Incomplete","Complete")</f>
        <v>Complete</v>
      </c>
      <c r="I263" s="46" t="s">
        <v>729</v>
      </c>
    </row>
    <row r="264" spans="2:9" ht="14.45" customHeight="1" x14ac:dyDescent="0.25">
      <c r="B264" s="44" t="s">
        <v>294</v>
      </c>
      <c r="C264" s="28">
        <v>252</v>
      </c>
      <c r="D264" s="45" t="s">
        <v>2010</v>
      </c>
      <c r="E264" s="45"/>
      <c r="F264" s="28" t="str">
        <f>IF(INDEX(I.Facility.IDNumber,252)="","",INDEX(I.Facility.IDNumber,252))</f>
        <v/>
      </c>
      <c r="G264" s="45"/>
      <c r="H264" s="28" t="str">
        <f>IF(AND(I.Facility.FacilityCount&gt;=252,F264=""),"Incomplete","Complete")</f>
        <v>Complete</v>
      </c>
      <c r="I264" s="46" t="s">
        <v>730</v>
      </c>
    </row>
    <row r="265" spans="2:9" ht="14.45" customHeight="1" x14ac:dyDescent="0.25">
      <c r="B265" s="44" t="s">
        <v>294</v>
      </c>
      <c r="C265" s="28">
        <v>253</v>
      </c>
      <c r="D265" s="45" t="s">
        <v>2010</v>
      </c>
      <c r="E265" s="45"/>
      <c r="F265" s="28" t="str">
        <f>IF(INDEX(I.Facility.IDNumber,253)="","",INDEX(I.Facility.IDNumber,253))</f>
        <v/>
      </c>
      <c r="G265" s="45"/>
      <c r="H265" s="28" t="str">
        <f>IF(AND(I.Facility.FacilityCount&gt;=253,F265=""),"Incomplete","Complete")</f>
        <v>Complete</v>
      </c>
      <c r="I265" s="46" t="s">
        <v>731</v>
      </c>
    </row>
    <row r="266" spans="2:9" ht="14.45" customHeight="1" x14ac:dyDescent="0.25">
      <c r="B266" s="44" t="s">
        <v>294</v>
      </c>
      <c r="C266" s="28">
        <v>254</v>
      </c>
      <c r="D266" s="45" t="s">
        <v>2010</v>
      </c>
      <c r="E266" s="45"/>
      <c r="F266" s="28" t="str">
        <f>IF(INDEX(I.Facility.IDNumber,254)="","",INDEX(I.Facility.IDNumber,254))</f>
        <v/>
      </c>
      <c r="G266" s="45"/>
      <c r="H266" s="28" t="str">
        <f>IF(AND(I.Facility.FacilityCount&gt;=254,F266=""),"Incomplete","Complete")</f>
        <v>Complete</v>
      </c>
      <c r="I266" s="46" t="s">
        <v>732</v>
      </c>
    </row>
    <row r="267" spans="2:9" ht="14.45" customHeight="1" x14ac:dyDescent="0.25">
      <c r="B267" s="44" t="s">
        <v>294</v>
      </c>
      <c r="C267" s="28">
        <v>255</v>
      </c>
      <c r="D267" s="45" t="s">
        <v>2010</v>
      </c>
      <c r="E267" s="45"/>
      <c r="F267" s="28" t="str">
        <f>IF(INDEX(I.Facility.IDNumber,255)="","",INDEX(I.Facility.IDNumber,255))</f>
        <v/>
      </c>
      <c r="G267" s="45"/>
      <c r="H267" s="28" t="str">
        <f>IF(AND(I.Facility.FacilityCount&gt;=255,F267=""),"Incomplete","Complete")</f>
        <v>Complete</v>
      </c>
      <c r="I267" s="46" t="s">
        <v>733</v>
      </c>
    </row>
    <row r="268" spans="2:9" ht="14.45" customHeight="1" x14ac:dyDescent="0.25">
      <c r="B268" s="44" t="s">
        <v>294</v>
      </c>
      <c r="C268" s="28">
        <v>256</v>
      </c>
      <c r="D268" s="45" t="s">
        <v>2010</v>
      </c>
      <c r="E268" s="45"/>
      <c r="F268" s="28" t="str">
        <f>IF(INDEX(I.Facility.IDNumber,256)="","",INDEX(I.Facility.IDNumber,256))</f>
        <v/>
      </c>
      <c r="G268" s="45"/>
      <c r="H268" s="28" t="str">
        <f>IF(AND(I.Facility.FacilityCount&gt;=256,F268=""),"Incomplete","Complete")</f>
        <v>Complete</v>
      </c>
      <c r="I268" s="46" t="s">
        <v>734</v>
      </c>
    </row>
    <row r="269" spans="2:9" ht="14.45" customHeight="1" x14ac:dyDescent="0.25">
      <c r="B269" s="44" t="s">
        <v>294</v>
      </c>
      <c r="C269" s="28">
        <v>257</v>
      </c>
      <c r="D269" s="45" t="s">
        <v>2010</v>
      </c>
      <c r="E269" s="45"/>
      <c r="F269" s="28" t="str">
        <f>IF(INDEX(I.Facility.IDNumber,257)="","",INDEX(I.Facility.IDNumber,257))</f>
        <v/>
      </c>
      <c r="G269" s="45"/>
      <c r="H269" s="28" t="str">
        <f>IF(AND(I.Facility.FacilityCount&gt;=257,F269=""),"Incomplete","Complete")</f>
        <v>Complete</v>
      </c>
      <c r="I269" s="46" t="s">
        <v>735</v>
      </c>
    </row>
    <row r="270" spans="2:9" ht="14.45" customHeight="1" x14ac:dyDescent="0.25">
      <c r="B270" s="44" t="s">
        <v>294</v>
      </c>
      <c r="C270" s="28">
        <v>258</v>
      </c>
      <c r="D270" s="45" t="s">
        <v>2010</v>
      </c>
      <c r="E270" s="45"/>
      <c r="F270" s="28" t="str">
        <f>IF(INDEX(I.Facility.IDNumber,258)="","",INDEX(I.Facility.IDNumber,258))</f>
        <v/>
      </c>
      <c r="G270" s="45"/>
      <c r="H270" s="28" t="str">
        <f>IF(AND(I.Facility.FacilityCount&gt;=258,F270=""),"Incomplete","Complete")</f>
        <v>Complete</v>
      </c>
      <c r="I270" s="46" t="s">
        <v>736</v>
      </c>
    </row>
    <row r="271" spans="2:9" ht="14.45" customHeight="1" x14ac:dyDescent="0.25">
      <c r="B271" s="44" t="s">
        <v>294</v>
      </c>
      <c r="C271" s="28">
        <v>259</v>
      </c>
      <c r="D271" s="45" t="s">
        <v>2010</v>
      </c>
      <c r="E271" s="45"/>
      <c r="F271" s="28" t="str">
        <f>IF(INDEX(I.Facility.IDNumber,259)="","",INDEX(I.Facility.IDNumber,259))</f>
        <v/>
      </c>
      <c r="G271" s="45"/>
      <c r="H271" s="28" t="str">
        <f>IF(AND(I.Facility.FacilityCount&gt;=259,F271=""),"Incomplete","Complete")</f>
        <v>Complete</v>
      </c>
      <c r="I271" s="46" t="s">
        <v>737</v>
      </c>
    </row>
    <row r="272" spans="2:9" ht="14.45" customHeight="1" x14ac:dyDescent="0.25">
      <c r="B272" s="44" t="s">
        <v>294</v>
      </c>
      <c r="C272" s="28">
        <v>260</v>
      </c>
      <c r="D272" s="45" t="s">
        <v>2010</v>
      </c>
      <c r="E272" s="45"/>
      <c r="F272" s="28" t="str">
        <f>IF(INDEX(I.Facility.IDNumber,260)="","",INDEX(I.Facility.IDNumber,260))</f>
        <v/>
      </c>
      <c r="G272" s="45"/>
      <c r="H272" s="28" t="str">
        <f>IF(AND(I.Facility.FacilityCount&gt;=260,F272=""),"Incomplete","Complete")</f>
        <v>Complete</v>
      </c>
      <c r="I272" s="46" t="s">
        <v>738</v>
      </c>
    </row>
    <row r="273" spans="2:9" ht="14.45" customHeight="1" x14ac:dyDescent="0.25">
      <c r="B273" s="44" t="s">
        <v>294</v>
      </c>
      <c r="C273" s="28">
        <v>261</v>
      </c>
      <c r="D273" s="45" t="s">
        <v>2010</v>
      </c>
      <c r="E273" s="45"/>
      <c r="F273" s="28" t="str">
        <f>IF(INDEX(I.Facility.IDNumber,261)="","",INDEX(I.Facility.IDNumber,261))</f>
        <v/>
      </c>
      <c r="G273" s="45"/>
      <c r="H273" s="28" t="str">
        <f>IF(AND(I.Facility.FacilityCount&gt;=261,F273=""),"Incomplete","Complete")</f>
        <v>Complete</v>
      </c>
      <c r="I273" s="46" t="s">
        <v>739</v>
      </c>
    </row>
    <row r="274" spans="2:9" ht="14.45" customHeight="1" x14ac:dyDescent="0.25">
      <c r="B274" s="44" t="s">
        <v>294</v>
      </c>
      <c r="C274" s="28">
        <v>262</v>
      </c>
      <c r="D274" s="45" t="s">
        <v>2010</v>
      </c>
      <c r="E274" s="45"/>
      <c r="F274" s="28" t="str">
        <f>IF(INDEX(I.Facility.IDNumber,262)="","",INDEX(I.Facility.IDNumber,262))</f>
        <v/>
      </c>
      <c r="G274" s="45"/>
      <c r="H274" s="28" t="str">
        <f>IF(AND(I.Facility.FacilityCount&gt;=262,F274=""),"Incomplete","Complete")</f>
        <v>Complete</v>
      </c>
      <c r="I274" s="46" t="s">
        <v>740</v>
      </c>
    </row>
    <row r="275" spans="2:9" ht="14.45" customHeight="1" x14ac:dyDescent="0.25">
      <c r="B275" s="44" t="s">
        <v>294</v>
      </c>
      <c r="C275" s="28">
        <v>263</v>
      </c>
      <c r="D275" s="45" t="s">
        <v>2010</v>
      </c>
      <c r="E275" s="45"/>
      <c r="F275" s="28" t="str">
        <f>IF(INDEX(I.Facility.IDNumber,263)="","",INDEX(I.Facility.IDNumber,263))</f>
        <v/>
      </c>
      <c r="G275" s="45"/>
      <c r="H275" s="28" t="str">
        <f>IF(AND(I.Facility.FacilityCount&gt;=263,F275=""),"Incomplete","Complete")</f>
        <v>Complete</v>
      </c>
      <c r="I275" s="46" t="s">
        <v>741</v>
      </c>
    </row>
    <row r="276" spans="2:9" ht="14.45" customHeight="1" x14ac:dyDescent="0.25">
      <c r="B276" s="44" t="s">
        <v>294</v>
      </c>
      <c r="C276" s="28">
        <v>264</v>
      </c>
      <c r="D276" s="45" t="s">
        <v>2010</v>
      </c>
      <c r="E276" s="45"/>
      <c r="F276" s="28" t="str">
        <f>IF(INDEX(I.Facility.IDNumber,264)="","",INDEX(I.Facility.IDNumber,264))</f>
        <v/>
      </c>
      <c r="G276" s="45"/>
      <c r="H276" s="28" t="str">
        <f>IF(AND(I.Facility.FacilityCount&gt;=264,F276=""),"Incomplete","Complete")</f>
        <v>Complete</v>
      </c>
      <c r="I276" s="46" t="s">
        <v>742</v>
      </c>
    </row>
    <row r="277" spans="2:9" ht="14.45" customHeight="1" x14ac:dyDescent="0.25">
      <c r="B277" s="44" t="s">
        <v>294</v>
      </c>
      <c r="C277" s="28">
        <v>265</v>
      </c>
      <c r="D277" s="45" t="s">
        <v>2010</v>
      </c>
      <c r="E277" s="45"/>
      <c r="F277" s="28" t="str">
        <f>IF(INDEX(I.Facility.IDNumber,265)="","",INDEX(I.Facility.IDNumber,265))</f>
        <v/>
      </c>
      <c r="G277" s="45"/>
      <c r="H277" s="28" t="str">
        <f>IF(AND(I.Facility.FacilityCount&gt;=265,F277=""),"Incomplete","Complete")</f>
        <v>Complete</v>
      </c>
      <c r="I277" s="46" t="s">
        <v>743</v>
      </c>
    </row>
    <row r="278" spans="2:9" ht="14.45" customHeight="1" x14ac:dyDescent="0.25">
      <c r="B278" s="44" t="s">
        <v>294</v>
      </c>
      <c r="C278" s="28">
        <v>266</v>
      </c>
      <c r="D278" s="45" t="s">
        <v>2010</v>
      </c>
      <c r="E278" s="45"/>
      <c r="F278" s="28" t="str">
        <f>IF(INDEX(I.Facility.IDNumber,266)="","",INDEX(I.Facility.IDNumber,266))</f>
        <v/>
      </c>
      <c r="G278" s="45"/>
      <c r="H278" s="28" t="str">
        <f>IF(AND(I.Facility.FacilityCount&gt;=266,F278=""),"Incomplete","Complete")</f>
        <v>Complete</v>
      </c>
      <c r="I278" s="46" t="s">
        <v>744</v>
      </c>
    </row>
    <row r="279" spans="2:9" ht="14.45" customHeight="1" x14ac:dyDescent="0.25">
      <c r="B279" s="44" t="s">
        <v>294</v>
      </c>
      <c r="C279" s="28">
        <v>267</v>
      </c>
      <c r="D279" s="45" t="s">
        <v>2010</v>
      </c>
      <c r="E279" s="45"/>
      <c r="F279" s="28" t="str">
        <f>IF(INDEX(I.Facility.IDNumber,267)="","",INDEX(I.Facility.IDNumber,267))</f>
        <v/>
      </c>
      <c r="G279" s="45"/>
      <c r="H279" s="28" t="str">
        <f>IF(AND(I.Facility.FacilityCount&gt;=267,F279=""),"Incomplete","Complete")</f>
        <v>Complete</v>
      </c>
      <c r="I279" s="46" t="s">
        <v>745</v>
      </c>
    </row>
    <row r="280" spans="2:9" ht="14.45" customHeight="1" x14ac:dyDescent="0.25">
      <c r="B280" s="44" t="s">
        <v>294</v>
      </c>
      <c r="C280" s="28">
        <v>268</v>
      </c>
      <c r="D280" s="45" t="s">
        <v>2010</v>
      </c>
      <c r="E280" s="45"/>
      <c r="F280" s="28" t="str">
        <f>IF(INDEX(I.Facility.IDNumber,268)="","",INDEX(I.Facility.IDNumber,268))</f>
        <v/>
      </c>
      <c r="G280" s="45"/>
      <c r="H280" s="28" t="str">
        <f>IF(AND(I.Facility.FacilityCount&gt;=268,F280=""),"Incomplete","Complete")</f>
        <v>Complete</v>
      </c>
      <c r="I280" s="46" t="s">
        <v>746</v>
      </c>
    </row>
    <row r="281" spans="2:9" ht="14.45" customHeight="1" x14ac:dyDescent="0.25">
      <c r="B281" s="44" t="s">
        <v>294</v>
      </c>
      <c r="C281" s="28">
        <v>269</v>
      </c>
      <c r="D281" s="45" t="s">
        <v>2010</v>
      </c>
      <c r="E281" s="45"/>
      <c r="F281" s="28" t="str">
        <f>IF(INDEX(I.Facility.IDNumber,269)="","",INDEX(I.Facility.IDNumber,269))</f>
        <v/>
      </c>
      <c r="G281" s="45"/>
      <c r="H281" s="28" t="str">
        <f>IF(AND(I.Facility.FacilityCount&gt;=269,F281=""),"Incomplete","Complete")</f>
        <v>Complete</v>
      </c>
      <c r="I281" s="46" t="s">
        <v>747</v>
      </c>
    </row>
    <row r="282" spans="2:9" ht="14.45" customHeight="1" x14ac:dyDescent="0.25">
      <c r="B282" s="44" t="s">
        <v>294</v>
      </c>
      <c r="C282" s="28">
        <v>270</v>
      </c>
      <c r="D282" s="45" t="s">
        <v>2010</v>
      </c>
      <c r="E282" s="45"/>
      <c r="F282" s="28" t="str">
        <f>IF(INDEX(I.Facility.IDNumber,270)="","",INDEX(I.Facility.IDNumber,270))</f>
        <v/>
      </c>
      <c r="G282" s="45"/>
      <c r="H282" s="28" t="str">
        <f>IF(AND(I.Facility.FacilityCount&gt;=270,F282=""),"Incomplete","Complete")</f>
        <v>Complete</v>
      </c>
      <c r="I282" s="46" t="s">
        <v>748</v>
      </c>
    </row>
    <row r="283" spans="2:9" ht="14.45" customHeight="1" x14ac:dyDescent="0.25">
      <c r="B283" s="44" t="s">
        <v>294</v>
      </c>
      <c r="C283" s="28">
        <v>271</v>
      </c>
      <c r="D283" s="45" t="s">
        <v>2010</v>
      </c>
      <c r="E283" s="45"/>
      <c r="F283" s="28" t="str">
        <f>IF(INDEX(I.Facility.IDNumber,271)="","",INDEX(I.Facility.IDNumber,271))</f>
        <v/>
      </c>
      <c r="G283" s="45"/>
      <c r="H283" s="28" t="str">
        <f>IF(AND(I.Facility.FacilityCount&gt;=271,F283=""),"Incomplete","Complete")</f>
        <v>Complete</v>
      </c>
      <c r="I283" s="46" t="s">
        <v>749</v>
      </c>
    </row>
    <row r="284" spans="2:9" ht="14.45" customHeight="1" x14ac:dyDescent="0.25">
      <c r="B284" s="44" t="s">
        <v>294</v>
      </c>
      <c r="C284" s="28">
        <v>272</v>
      </c>
      <c r="D284" s="45" t="s">
        <v>2010</v>
      </c>
      <c r="E284" s="45"/>
      <c r="F284" s="28" t="str">
        <f>IF(INDEX(I.Facility.IDNumber,272)="","",INDEX(I.Facility.IDNumber,272))</f>
        <v/>
      </c>
      <c r="G284" s="45"/>
      <c r="H284" s="28" t="str">
        <f>IF(AND(I.Facility.FacilityCount&gt;=272,F284=""),"Incomplete","Complete")</f>
        <v>Complete</v>
      </c>
      <c r="I284" s="46" t="s">
        <v>750</v>
      </c>
    </row>
    <row r="285" spans="2:9" ht="14.45" customHeight="1" x14ac:dyDescent="0.25">
      <c r="B285" s="44" t="s">
        <v>294</v>
      </c>
      <c r="C285" s="28">
        <v>273</v>
      </c>
      <c r="D285" s="45" t="s">
        <v>2010</v>
      </c>
      <c r="E285" s="45"/>
      <c r="F285" s="28" t="str">
        <f>IF(INDEX(I.Facility.IDNumber,273)="","",INDEX(I.Facility.IDNumber,273))</f>
        <v/>
      </c>
      <c r="G285" s="45"/>
      <c r="H285" s="28" t="str">
        <f>IF(AND(I.Facility.FacilityCount&gt;=273,F285=""),"Incomplete","Complete")</f>
        <v>Complete</v>
      </c>
      <c r="I285" s="46" t="s">
        <v>751</v>
      </c>
    </row>
    <row r="286" spans="2:9" ht="14.45" customHeight="1" x14ac:dyDescent="0.25">
      <c r="B286" s="44" t="s">
        <v>294</v>
      </c>
      <c r="C286" s="28">
        <v>274</v>
      </c>
      <c r="D286" s="45" t="s">
        <v>2010</v>
      </c>
      <c r="E286" s="45"/>
      <c r="F286" s="28" t="str">
        <f>IF(INDEX(I.Facility.IDNumber,274)="","",INDEX(I.Facility.IDNumber,274))</f>
        <v/>
      </c>
      <c r="G286" s="45"/>
      <c r="H286" s="28" t="str">
        <f>IF(AND(I.Facility.FacilityCount&gt;=274,F286=""),"Incomplete","Complete")</f>
        <v>Complete</v>
      </c>
      <c r="I286" s="46" t="s">
        <v>752</v>
      </c>
    </row>
    <row r="287" spans="2:9" ht="14.45" customHeight="1" x14ac:dyDescent="0.25">
      <c r="B287" s="44" t="s">
        <v>294</v>
      </c>
      <c r="C287" s="28">
        <v>275</v>
      </c>
      <c r="D287" s="45" t="s">
        <v>2010</v>
      </c>
      <c r="E287" s="45"/>
      <c r="F287" s="28" t="str">
        <f>IF(INDEX(I.Facility.IDNumber,275)="","",INDEX(I.Facility.IDNumber,275))</f>
        <v/>
      </c>
      <c r="G287" s="45"/>
      <c r="H287" s="28" t="str">
        <f>IF(AND(I.Facility.FacilityCount&gt;=275,F287=""),"Incomplete","Complete")</f>
        <v>Complete</v>
      </c>
      <c r="I287" s="46" t="s">
        <v>753</v>
      </c>
    </row>
    <row r="288" spans="2:9" ht="14.45" customHeight="1" x14ac:dyDescent="0.25">
      <c r="B288" s="44" t="s">
        <v>294</v>
      </c>
      <c r="C288" s="28">
        <v>276</v>
      </c>
      <c r="D288" s="45" t="s">
        <v>2010</v>
      </c>
      <c r="E288" s="45"/>
      <c r="F288" s="28" t="str">
        <f>IF(INDEX(I.Facility.IDNumber,276)="","",INDEX(I.Facility.IDNumber,276))</f>
        <v/>
      </c>
      <c r="G288" s="45"/>
      <c r="H288" s="28" t="str">
        <f>IF(AND(I.Facility.FacilityCount&gt;=276,F288=""),"Incomplete","Complete")</f>
        <v>Complete</v>
      </c>
      <c r="I288" s="46" t="s">
        <v>754</v>
      </c>
    </row>
    <row r="289" spans="2:9" ht="14.45" customHeight="1" x14ac:dyDescent="0.25">
      <c r="B289" s="44" t="s">
        <v>294</v>
      </c>
      <c r="C289" s="28">
        <v>277</v>
      </c>
      <c r="D289" s="45" t="s">
        <v>2010</v>
      </c>
      <c r="E289" s="45"/>
      <c r="F289" s="28" t="str">
        <f>IF(INDEX(I.Facility.IDNumber,277)="","",INDEX(I.Facility.IDNumber,277))</f>
        <v/>
      </c>
      <c r="G289" s="45"/>
      <c r="H289" s="28" t="str">
        <f>IF(AND(I.Facility.FacilityCount&gt;=277,F289=""),"Incomplete","Complete")</f>
        <v>Complete</v>
      </c>
      <c r="I289" s="46" t="s">
        <v>755</v>
      </c>
    </row>
    <row r="290" spans="2:9" ht="14.45" customHeight="1" x14ac:dyDescent="0.25">
      <c r="B290" s="44" t="s">
        <v>294</v>
      </c>
      <c r="C290" s="28">
        <v>278</v>
      </c>
      <c r="D290" s="45" t="s">
        <v>2010</v>
      </c>
      <c r="E290" s="45"/>
      <c r="F290" s="28" t="str">
        <f>IF(INDEX(I.Facility.IDNumber,278)="","",INDEX(I.Facility.IDNumber,278))</f>
        <v/>
      </c>
      <c r="G290" s="45"/>
      <c r="H290" s="28" t="str">
        <f>IF(AND(I.Facility.FacilityCount&gt;=278,F290=""),"Incomplete","Complete")</f>
        <v>Complete</v>
      </c>
      <c r="I290" s="46" t="s">
        <v>756</v>
      </c>
    </row>
    <row r="291" spans="2:9" ht="14.45" customHeight="1" x14ac:dyDescent="0.25">
      <c r="B291" s="44" t="s">
        <v>294</v>
      </c>
      <c r="C291" s="28">
        <v>279</v>
      </c>
      <c r="D291" s="45" t="s">
        <v>2010</v>
      </c>
      <c r="E291" s="45"/>
      <c r="F291" s="28" t="str">
        <f>IF(INDEX(I.Facility.IDNumber,279)="","",INDEX(I.Facility.IDNumber,279))</f>
        <v/>
      </c>
      <c r="G291" s="45"/>
      <c r="H291" s="28" t="str">
        <f>IF(AND(I.Facility.FacilityCount&gt;=279,F291=""),"Incomplete","Complete")</f>
        <v>Complete</v>
      </c>
      <c r="I291" s="46" t="s">
        <v>757</v>
      </c>
    </row>
    <row r="292" spans="2:9" ht="14.45" customHeight="1" x14ac:dyDescent="0.25">
      <c r="B292" s="44" t="s">
        <v>294</v>
      </c>
      <c r="C292" s="28">
        <v>280</v>
      </c>
      <c r="D292" s="45" t="s">
        <v>2010</v>
      </c>
      <c r="E292" s="45"/>
      <c r="F292" s="28" t="str">
        <f>IF(INDEX(I.Facility.IDNumber,280)="","",INDEX(I.Facility.IDNumber,280))</f>
        <v/>
      </c>
      <c r="G292" s="45"/>
      <c r="H292" s="28" t="str">
        <f>IF(AND(I.Facility.FacilityCount&gt;=280,F292=""),"Incomplete","Complete")</f>
        <v>Complete</v>
      </c>
      <c r="I292" s="46" t="s">
        <v>758</v>
      </c>
    </row>
    <row r="293" spans="2:9" ht="14.45" customHeight="1" x14ac:dyDescent="0.25">
      <c r="B293" s="44" t="s">
        <v>294</v>
      </c>
      <c r="C293" s="28">
        <v>281</v>
      </c>
      <c r="D293" s="45" t="s">
        <v>2010</v>
      </c>
      <c r="E293" s="45"/>
      <c r="F293" s="28" t="str">
        <f>IF(INDEX(I.Facility.IDNumber,281)="","",INDEX(I.Facility.IDNumber,281))</f>
        <v/>
      </c>
      <c r="G293" s="45"/>
      <c r="H293" s="28" t="str">
        <f>IF(AND(I.Facility.FacilityCount&gt;=281,F293=""),"Incomplete","Complete")</f>
        <v>Complete</v>
      </c>
      <c r="I293" s="46" t="s">
        <v>759</v>
      </c>
    </row>
    <row r="294" spans="2:9" ht="14.45" customHeight="1" x14ac:dyDescent="0.25">
      <c r="B294" s="44" t="s">
        <v>294</v>
      </c>
      <c r="C294" s="28">
        <v>282</v>
      </c>
      <c r="D294" s="45" t="s">
        <v>2010</v>
      </c>
      <c r="E294" s="45"/>
      <c r="F294" s="28" t="str">
        <f>IF(INDEX(I.Facility.IDNumber,282)="","",INDEX(I.Facility.IDNumber,282))</f>
        <v/>
      </c>
      <c r="G294" s="45"/>
      <c r="H294" s="28" t="str">
        <f>IF(AND(I.Facility.FacilityCount&gt;=282,F294=""),"Incomplete","Complete")</f>
        <v>Complete</v>
      </c>
      <c r="I294" s="46" t="s">
        <v>760</v>
      </c>
    </row>
    <row r="295" spans="2:9" ht="14.45" customHeight="1" x14ac:dyDescent="0.25">
      <c r="B295" s="44" t="s">
        <v>294</v>
      </c>
      <c r="C295" s="28">
        <v>283</v>
      </c>
      <c r="D295" s="45" t="s">
        <v>2010</v>
      </c>
      <c r="E295" s="45"/>
      <c r="F295" s="28" t="str">
        <f>IF(INDEX(I.Facility.IDNumber,283)="","",INDEX(I.Facility.IDNumber,283))</f>
        <v/>
      </c>
      <c r="G295" s="45"/>
      <c r="H295" s="28" t="str">
        <f>IF(AND(I.Facility.FacilityCount&gt;=283,F295=""),"Incomplete","Complete")</f>
        <v>Complete</v>
      </c>
      <c r="I295" s="46" t="s">
        <v>761</v>
      </c>
    </row>
    <row r="296" spans="2:9" ht="14.45" customHeight="1" x14ac:dyDescent="0.25">
      <c r="B296" s="44" t="s">
        <v>294</v>
      </c>
      <c r="C296" s="28">
        <v>284</v>
      </c>
      <c r="D296" s="45" t="s">
        <v>2010</v>
      </c>
      <c r="E296" s="45"/>
      <c r="F296" s="28" t="str">
        <f>IF(INDEX(I.Facility.IDNumber,284)="","",INDEX(I.Facility.IDNumber,284))</f>
        <v/>
      </c>
      <c r="G296" s="45"/>
      <c r="H296" s="28" t="str">
        <f>IF(AND(I.Facility.FacilityCount&gt;=284,F296=""),"Incomplete","Complete")</f>
        <v>Complete</v>
      </c>
      <c r="I296" s="46" t="s">
        <v>762</v>
      </c>
    </row>
    <row r="297" spans="2:9" ht="14.45" customHeight="1" x14ac:dyDescent="0.25">
      <c r="B297" s="44" t="s">
        <v>294</v>
      </c>
      <c r="C297" s="28">
        <v>285</v>
      </c>
      <c r="D297" s="45" t="s">
        <v>2010</v>
      </c>
      <c r="E297" s="45"/>
      <c r="F297" s="28" t="str">
        <f>IF(INDEX(I.Facility.IDNumber,285)="","",INDEX(I.Facility.IDNumber,285))</f>
        <v/>
      </c>
      <c r="G297" s="45"/>
      <c r="H297" s="28" t="str">
        <f>IF(AND(I.Facility.FacilityCount&gt;=285,F297=""),"Incomplete","Complete")</f>
        <v>Complete</v>
      </c>
      <c r="I297" s="46" t="s">
        <v>763</v>
      </c>
    </row>
    <row r="298" spans="2:9" ht="14.45" customHeight="1" x14ac:dyDescent="0.25">
      <c r="B298" s="44" t="s">
        <v>294</v>
      </c>
      <c r="C298" s="28">
        <v>286</v>
      </c>
      <c r="D298" s="45" t="s">
        <v>2010</v>
      </c>
      <c r="E298" s="45"/>
      <c r="F298" s="28" t="str">
        <f>IF(INDEX(I.Facility.IDNumber,286)="","",INDEX(I.Facility.IDNumber,286))</f>
        <v/>
      </c>
      <c r="G298" s="45"/>
      <c r="H298" s="28" t="str">
        <f>IF(AND(I.Facility.FacilityCount&gt;=286,F298=""),"Incomplete","Complete")</f>
        <v>Complete</v>
      </c>
      <c r="I298" s="46" t="s">
        <v>764</v>
      </c>
    </row>
    <row r="299" spans="2:9" ht="14.45" customHeight="1" x14ac:dyDescent="0.25">
      <c r="B299" s="44" t="s">
        <v>294</v>
      </c>
      <c r="C299" s="28">
        <v>287</v>
      </c>
      <c r="D299" s="45" t="s">
        <v>2010</v>
      </c>
      <c r="E299" s="45"/>
      <c r="F299" s="28" t="str">
        <f>IF(INDEX(I.Facility.IDNumber,287)="","",INDEX(I.Facility.IDNumber,287))</f>
        <v/>
      </c>
      <c r="G299" s="45"/>
      <c r="H299" s="28" t="str">
        <f>IF(AND(I.Facility.FacilityCount&gt;=287,F299=""),"Incomplete","Complete")</f>
        <v>Complete</v>
      </c>
      <c r="I299" s="46" t="s">
        <v>765</v>
      </c>
    </row>
    <row r="300" spans="2:9" ht="14.45" customHeight="1" x14ac:dyDescent="0.25">
      <c r="B300" s="44" t="s">
        <v>294</v>
      </c>
      <c r="C300" s="28">
        <v>288</v>
      </c>
      <c r="D300" s="45" t="s">
        <v>2010</v>
      </c>
      <c r="E300" s="45"/>
      <c r="F300" s="28" t="str">
        <f>IF(INDEX(I.Facility.IDNumber,288)="","",INDEX(I.Facility.IDNumber,288))</f>
        <v/>
      </c>
      <c r="G300" s="45"/>
      <c r="H300" s="28" t="str">
        <f>IF(AND(I.Facility.FacilityCount&gt;=288,F300=""),"Incomplete","Complete")</f>
        <v>Complete</v>
      </c>
      <c r="I300" s="46" t="s">
        <v>766</v>
      </c>
    </row>
    <row r="301" spans="2:9" ht="14.45" customHeight="1" x14ac:dyDescent="0.25">
      <c r="B301" s="44" t="s">
        <v>294</v>
      </c>
      <c r="C301" s="28">
        <v>289</v>
      </c>
      <c r="D301" s="45" t="s">
        <v>2010</v>
      </c>
      <c r="E301" s="45"/>
      <c r="F301" s="28" t="str">
        <f>IF(INDEX(I.Facility.IDNumber,289)="","",INDEX(I.Facility.IDNumber,289))</f>
        <v/>
      </c>
      <c r="G301" s="45"/>
      <c r="H301" s="28" t="str">
        <f>IF(AND(I.Facility.FacilityCount&gt;=289,F301=""),"Incomplete","Complete")</f>
        <v>Complete</v>
      </c>
      <c r="I301" s="46" t="s">
        <v>767</v>
      </c>
    </row>
    <row r="302" spans="2:9" ht="14.45" customHeight="1" x14ac:dyDescent="0.25">
      <c r="B302" s="44" t="s">
        <v>294</v>
      </c>
      <c r="C302" s="28">
        <v>290</v>
      </c>
      <c r="D302" s="45" t="s">
        <v>2010</v>
      </c>
      <c r="E302" s="45"/>
      <c r="F302" s="28" t="str">
        <f>IF(INDEX(I.Facility.IDNumber,290)="","",INDEX(I.Facility.IDNumber,290))</f>
        <v/>
      </c>
      <c r="G302" s="45"/>
      <c r="H302" s="28" t="str">
        <f>IF(AND(I.Facility.FacilityCount&gt;=290,F302=""),"Incomplete","Complete")</f>
        <v>Complete</v>
      </c>
      <c r="I302" s="46" t="s">
        <v>768</v>
      </c>
    </row>
    <row r="303" spans="2:9" ht="14.45" customHeight="1" x14ac:dyDescent="0.25">
      <c r="B303" s="44" t="s">
        <v>294</v>
      </c>
      <c r="C303" s="28">
        <v>291</v>
      </c>
      <c r="D303" s="45" t="s">
        <v>2010</v>
      </c>
      <c r="E303" s="45"/>
      <c r="F303" s="28" t="str">
        <f>IF(INDEX(I.Facility.IDNumber,291)="","",INDEX(I.Facility.IDNumber,291))</f>
        <v/>
      </c>
      <c r="G303" s="45"/>
      <c r="H303" s="28" t="str">
        <f>IF(AND(I.Facility.FacilityCount&gt;=291,F303=""),"Incomplete","Complete")</f>
        <v>Complete</v>
      </c>
      <c r="I303" s="46" t="s">
        <v>769</v>
      </c>
    </row>
    <row r="304" spans="2:9" ht="14.45" customHeight="1" x14ac:dyDescent="0.25">
      <c r="B304" s="44" t="s">
        <v>294</v>
      </c>
      <c r="C304" s="28">
        <v>292</v>
      </c>
      <c r="D304" s="45" t="s">
        <v>2010</v>
      </c>
      <c r="E304" s="45"/>
      <c r="F304" s="28" t="str">
        <f>IF(INDEX(I.Facility.IDNumber,292)="","",INDEX(I.Facility.IDNumber,292))</f>
        <v/>
      </c>
      <c r="G304" s="45"/>
      <c r="H304" s="28" t="str">
        <f>IF(AND(I.Facility.FacilityCount&gt;=292,F304=""),"Incomplete","Complete")</f>
        <v>Complete</v>
      </c>
      <c r="I304" s="46" t="s">
        <v>770</v>
      </c>
    </row>
    <row r="305" spans="2:9" ht="14.45" customHeight="1" x14ac:dyDescent="0.25">
      <c r="B305" s="44" t="s">
        <v>294</v>
      </c>
      <c r="C305" s="28">
        <v>293</v>
      </c>
      <c r="D305" s="45" t="s">
        <v>2010</v>
      </c>
      <c r="E305" s="45"/>
      <c r="F305" s="28" t="str">
        <f>IF(INDEX(I.Facility.IDNumber,293)="","",INDEX(I.Facility.IDNumber,293))</f>
        <v/>
      </c>
      <c r="G305" s="45"/>
      <c r="H305" s="28" t="str">
        <f>IF(AND(I.Facility.FacilityCount&gt;=293,F305=""),"Incomplete","Complete")</f>
        <v>Complete</v>
      </c>
      <c r="I305" s="46" t="s">
        <v>771</v>
      </c>
    </row>
    <row r="306" spans="2:9" ht="14.45" customHeight="1" x14ac:dyDescent="0.25">
      <c r="B306" s="44" t="s">
        <v>294</v>
      </c>
      <c r="C306" s="28">
        <v>294</v>
      </c>
      <c r="D306" s="45" t="s">
        <v>2010</v>
      </c>
      <c r="E306" s="45"/>
      <c r="F306" s="28" t="str">
        <f>IF(INDEX(I.Facility.IDNumber,294)="","",INDEX(I.Facility.IDNumber,294))</f>
        <v/>
      </c>
      <c r="G306" s="45"/>
      <c r="H306" s="28" t="str">
        <f>IF(AND(I.Facility.FacilityCount&gt;=294,F306=""),"Incomplete","Complete")</f>
        <v>Complete</v>
      </c>
      <c r="I306" s="46" t="s">
        <v>772</v>
      </c>
    </row>
    <row r="307" spans="2:9" ht="14.45" customHeight="1" x14ac:dyDescent="0.25">
      <c r="B307" s="44" t="s">
        <v>294</v>
      </c>
      <c r="C307" s="28">
        <v>295</v>
      </c>
      <c r="D307" s="45" t="s">
        <v>2010</v>
      </c>
      <c r="E307" s="45"/>
      <c r="F307" s="28" t="str">
        <f>IF(INDEX(I.Facility.IDNumber,295)="","",INDEX(I.Facility.IDNumber,295))</f>
        <v/>
      </c>
      <c r="G307" s="45"/>
      <c r="H307" s="28" t="str">
        <f>IF(AND(I.Facility.FacilityCount&gt;=295,F307=""),"Incomplete","Complete")</f>
        <v>Complete</v>
      </c>
      <c r="I307" s="46" t="s">
        <v>773</v>
      </c>
    </row>
    <row r="308" spans="2:9" ht="14.45" customHeight="1" x14ac:dyDescent="0.25">
      <c r="B308" s="44" t="s">
        <v>294</v>
      </c>
      <c r="C308" s="28">
        <v>296</v>
      </c>
      <c r="D308" s="45" t="s">
        <v>2010</v>
      </c>
      <c r="E308" s="45"/>
      <c r="F308" s="28" t="str">
        <f>IF(INDEX(I.Facility.IDNumber,296)="","",INDEX(I.Facility.IDNumber,296))</f>
        <v/>
      </c>
      <c r="G308" s="45"/>
      <c r="H308" s="28" t="str">
        <f>IF(AND(I.Facility.FacilityCount&gt;=296,F308=""),"Incomplete","Complete")</f>
        <v>Complete</v>
      </c>
      <c r="I308" s="46" t="s">
        <v>774</v>
      </c>
    </row>
    <row r="309" spans="2:9" ht="14.45" customHeight="1" x14ac:dyDescent="0.25">
      <c r="B309" s="44" t="s">
        <v>294</v>
      </c>
      <c r="C309" s="28">
        <v>297</v>
      </c>
      <c r="D309" s="45" t="s">
        <v>2010</v>
      </c>
      <c r="E309" s="45"/>
      <c r="F309" s="28" t="str">
        <f>IF(INDEX(I.Facility.IDNumber,297)="","",INDEX(I.Facility.IDNumber,297))</f>
        <v/>
      </c>
      <c r="G309" s="45"/>
      <c r="H309" s="28" t="str">
        <f>IF(AND(I.Facility.FacilityCount&gt;=297,F309=""),"Incomplete","Complete")</f>
        <v>Complete</v>
      </c>
      <c r="I309" s="46" t="s">
        <v>775</v>
      </c>
    </row>
    <row r="310" spans="2:9" ht="14.45" customHeight="1" x14ac:dyDescent="0.25">
      <c r="B310" s="44" t="s">
        <v>294</v>
      </c>
      <c r="C310" s="28">
        <v>298</v>
      </c>
      <c r="D310" s="45" t="s">
        <v>2010</v>
      </c>
      <c r="E310" s="45"/>
      <c r="F310" s="28" t="str">
        <f>IF(INDEX(I.Facility.IDNumber,298)="","",INDEX(I.Facility.IDNumber,298))</f>
        <v/>
      </c>
      <c r="G310" s="45"/>
      <c r="H310" s="28" t="str">
        <f>IF(AND(I.Facility.FacilityCount&gt;=298,F310=""),"Incomplete","Complete")</f>
        <v>Complete</v>
      </c>
      <c r="I310" s="46" t="s">
        <v>776</v>
      </c>
    </row>
    <row r="311" spans="2:9" ht="14.45" customHeight="1" x14ac:dyDescent="0.25">
      <c r="B311" s="44" t="s">
        <v>294</v>
      </c>
      <c r="C311" s="28">
        <v>299</v>
      </c>
      <c r="D311" s="45" t="s">
        <v>2010</v>
      </c>
      <c r="E311" s="45"/>
      <c r="F311" s="28" t="str">
        <f>IF(INDEX(I.Facility.IDNumber,299)="","",INDEX(I.Facility.IDNumber,299))</f>
        <v/>
      </c>
      <c r="G311" s="45"/>
      <c r="H311" s="28" t="str">
        <f>IF(AND(I.Facility.FacilityCount&gt;=299,F311=""),"Incomplete","Complete")</f>
        <v>Complete</v>
      </c>
      <c r="I311" s="46" t="s">
        <v>777</v>
      </c>
    </row>
    <row r="312" spans="2:9" ht="14.45" customHeight="1" x14ac:dyDescent="0.25">
      <c r="B312" s="44" t="s">
        <v>294</v>
      </c>
      <c r="C312" s="28">
        <v>300</v>
      </c>
      <c r="D312" s="45" t="s">
        <v>2010</v>
      </c>
      <c r="E312" s="45"/>
      <c r="F312" s="28" t="str">
        <f>IF(INDEX(I.Facility.IDNumber,300)="","",INDEX(I.Facility.IDNumber,300))</f>
        <v/>
      </c>
      <c r="G312" s="45"/>
      <c r="H312" s="28" t="str">
        <f>IF(AND(I.Facility.FacilityCount&gt;=300,F312=""),"Incomplete","Complete")</f>
        <v>Complete</v>
      </c>
      <c r="I312" s="46" t="s">
        <v>778</v>
      </c>
    </row>
    <row r="313" spans="2:9" ht="14.45" customHeight="1" x14ac:dyDescent="0.25">
      <c r="B313" s="44" t="s">
        <v>294</v>
      </c>
      <c r="C313" s="28">
        <v>301</v>
      </c>
      <c r="D313" s="45" t="s">
        <v>2010</v>
      </c>
      <c r="E313" s="45"/>
      <c r="F313" s="28" t="str">
        <f>IF(INDEX(I.Facility.IDNumber,301)="","",INDEX(I.Facility.IDNumber,301))</f>
        <v/>
      </c>
      <c r="G313" s="45"/>
      <c r="H313" s="28" t="str">
        <f>IF(AND(I.Facility.FacilityCount&gt;=301,F313=""),"Incomplete","Complete")</f>
        <v>Complete</v>
      </c>
      <c r="I313" s="46" t="s">
        <v>779</v>
      </c>
    </row>
    <row r="314" spans="2:9" ht="14.45" customHeight="1" x14ac:dyDescent="0.25">
      <c r="B314" s="44" t="s">
        <v>294</v>
      </c>
      <c r="C314" s="28">
        <v>302</v>
      </c>
      <c r="D314" s="45" t="s">
        <v>2010</v>
      </c>
      <c r="E314" s="45"/>
      <c r="F314" s="28" t="str">
        <f>IF(INDEX(I.Facility.IDNumber,302)="","",INDEX(I.Facility.IDNumber,302))</f>
        <v/>
      </c>
      <c r="G314" s="45"/>
      <c r="H314" s="28" t="str">
        <f>IF(AND(I.Facility.FacilityCount&gt;=302,F314=""),"Incomplete","Complete")</f>
        <v>Complete</v>
      </c>
      <c r="I314" s="46" t="s">
        <v>780</v>
      </c>
    </row>
    <row r="315" spans="2:9" ht="14.45" customHeight="1" x14ac:dyDescent="0.25">
      <c r="B315" s="44" t="s">
        <v>294</v>
      </c>
      <c r="C315" s="28">
        <v>303</v>
      </c>
      <c r="D315" s="45" t="s">
        <v>2010</v>
      </c>
      <c r="E315" s="45"/>
      <c r="F315" s="28" t="str">
        <f>IF(INDEX(I.Facility.IDNumber,303)="","",INDEX(I.Facility.IDNumber,303))</f>
        <v/>
      </c>
      <c r="G315" s="45"/>
      <c r="H315" s="28" t="str">
        <f>IF(AND(I.Facility.FacilityCount&gt;=303,F315=""),"Incomplete","Complete")</f>
        <v>Complete</v>
      </c>
      <c r="I315" s="46" t="s">
        <v>781</v>
      </c>
    </row>
    <row r="316" spans="2:9" ht="14.45" customHeight="1" x14ac:dyDescent="0.25">
      <c r="B316" s="44" t="s">
        <v>294</v>
      </c>
      <c r="C316" s="28">
        <v>304</v>
      </c>
      <c r="D316" s="45" t="s">
        <v>2010</v>
      </c>
      <c r="E316" s="45"/>
      <c r="F316" s="28" t="str">
        <f>IF(INDEX(I.Facility.IDNumber,304)="","",INDEX(I.Facility.IDNumber,304))</f>
        <v/>
      </c>
      <c r="G316" s="45"/>
      <c r="H316" s="28" t="str">
        <f>IF(AND(I.Facility.FacilityCount&gt;=304,F316=""),"Incomplete","Complete")</f>
        <v>Complete</v>
      </c>
      <c r="I316" s="46" t="s">
        <v>782</v>
      </c>
    </row>
    <row r="317" spans="2:9" ht="14.45" customHeight="1" x14ac:dyDescent="0.25">
      <c r="B317" s="44" t="s">
        <v>294</v>
      </c>
      <c r="C317" s="28">
        <v>305</v>
      </c>
      <c r="D317" s="45" t="s">
        <v>2010</v>
      </c>
      <c r="E317" s="45"/>
      <c r="F317" s="28" t="str">
        <f>IF(INDEX(I.Facility.IDNumber,305)="","",INDEX(I.Facility.IDNumber,305))</f>
        <v/>
      </c>
      <c r="G317" s="45"/>
      <c r="H317" s="28" t="str">
        <f>IF(AND(I.Facility.FacilityCount&gt;=305,F317=""),"Incomplete","Complete")</f>
        <v>Complete</v>
      </c>
      <c r="I317" s="46" t="s">
        <v>783</v>
      </c>
    </row>
    <row r="318" spans="2:9" ht="14.45" customHeight="1" x14ac:dyDescent="0.25">
      <c r="B318" s="44" t="s">
        <v>294</v>
      </c>
      <c r="C318" s="28">
        <v>306</v>
      </c>
      <c r="D318" s="45" t="s">
        <v>2010</v>
      </c>
      <c r="E318" s="45"/>
      <c r="F318" s="28" t="str">
        <f>IF(INDEX(I.Facility.IDNumber,306)="","",INDEX(I.Facility.IDNumber,306))</f>
        <v/>
      </c>
      <c r="G318" s="45"/>
      <c r="H318" s="28" t="str">
        <f>IF(AND(I.Facility.FacilityCount&gt;=306,F318=""),"Incomplete","Complete")</f>
        <v>Complete</v>
      </c>
      <c r="I318" s="46" t="s">
        <v>784</v>
      </c>
    </row>
    <row r="319" spans="2:9" ht="14.45" customHeight="1" x14ac:dyDescent="0.25">
      <c r="B319" s="44" t="s">
        <v>294</v>
      </c>
      <c r="C319" s="28">
        <v>307</v>
      </c>
      <c r="D319" s="45" t="s">
        <v>2010</v>
      </c>
      <c r="E319" s="45"/>
      <c r="F319" s="28" t="str">
        <f>IF(INDEX(I.Facility.IDNumber,307)="","",INDEX(I.Facility.IDNumber,307))</f>
        <v/>
      </c>
      <c r="G319" s="45"/>
      <c r="H319" s="28" t="str">
        <f>IF(AND(I.Facility.FacilityCount&gt;=307,F319=""),"Incomplete","Complete")</f>
        <v>Complete</v>
      </c>
      <c r="I319" s="46" t="s">
        <v>785</v>
      </c>
    </row>
    <row r="320" spans="2:9" ht="14.45" customHeight="1" x14ac:dyDescent="0.25">
      <c r="B320" s="44" t="s">
        <v>294</v>
      </c>
      <c r="C320" s="28">
        <v>308</v>
      </c>
      <c r="D320" s="45" t="s">
        <v>2010</v>
      </c>
      <c r="E320" s="45"/>
      <c r="F320" s="28" t="str">
        <f>IF(INDEX(I.Facility.IDNumber,308)="","",INDEX(I.Facility.IDNumber,308))</f>
        <v/>
      </c>
      <c r="G320" s="45"/>
      <c r="H320" s="28" t="str">
        <f>IF(AND(I.Facility.FacilityCount&gt;=308,F320=""),"Incomplete","Complete")</f>
        <v>Complete</v>
      </c>
      <c r="I320" s="46" t="s">
        <v>786</v>
      </c>
    </row>
    <row r="321" spans="2:9" ht="14.45" customHeight="1" x14ac:dyDescent="0.25">
      <c r="B321" s="44" t="s">
        <v>294</v>
      </c>
      <c r="C321" s="28">
        <v>309</v>
      </c>
      <c r="D321" s="45" t="s">
        <v>2010</v>
      </c>
      <c r="E321" s="45"/>
      <c r="F321" s="28" t="str">
        <f>IF(INDEX(I.Facility.IDNumber,309)="","",INDEX(I.Facility.IDNumber,309))</f>
        <v/>
      </c>
      <c r="G321" s="45"/>
      <c r="H321" s="28" t="str">
        <f>IF(AND(I.Facility.FacilityCount&gt;=309,F321=""),"Incomplete","Complete")</f>
        <v>Complete</v>
      </c>
      <c r="I321" s="46" t="s">
        <v>787</v>
      </c>
    </row>
    <row r="322" spans="2:9" ht="14.45" customHeight="1" x14ac:dyDescent="0.25">
      <c r="B322" s="44" t="s">
        <v>294</v>
      </c>
      <c r="C322" s="28">
        <v>310</v>
      </c>
      <c r="D322" s="45" t="s">
        <v>2010</v>
      </c>
      <c r="E322" s="45"/>
      <c r="F322" s="28" t="str">
        <f>IF(INDEX(I.Facility.IDNumber,310)="","",INDEX(I.Facility.IDNumber,310))</f>
        <v/>
      </c>
      <c r="G322" s="45"/>
      <c r="H322" s="28" t="str">
        <f>IF(AND(I.Facility.FacilityCount&gt;=310,F322=""),"Incomplete","Complete")</f>
        <v>Complete</v>
      </c>
      <c r="I322" s="46" t="s">
        <v>788</v>
      </c>
    </row>
    <row r="323" spans="2:9" ht="14.45" customHeight="1" x14ac:dyDescent="0.25">
      <c r="B323" s="44" t="s">
        <v>294</v>
      </c>
      <c r="C323" s="28">
        <v>311</v>
      </c>
      <c r="D323" s="45" t="s">
        <v>2010</v>
      </c>
      <c r="E323" s="45"/>
      <c r="F323" s="28" t="str">
        <f>IF(INDEX(I.Facility.IDNumber,311)="","",INDEX(I.Facility.IDNumber,311))</f>
        <v/>
      </c>
      <c r="G323" s="45"/>
      <c r="H323" s="28" t="str">
        <f>IF(AND(I.Facility.FacilityCount&gt;=311,F323=""),"Incomplete","Complete")</f>
        <v>Complete</v>
      </c>
      <c r="I323" s="46" t="s">
        <v>789</v>
      </c>
    </row>
    <row r="324" spans="2:9" ht="14.45" customHeight="1" x14ac:dyDescent="0.25">
      <c r="B324" s="44" t="s">
        <v>294</v>
      </c>
      <c r="C324" s="28">
        <v>312</v>
      </c>
      <c r="D324" s="45" t="s">
        <v>2010</v>
      </c>
      <c r="E324" s="45"/>
      <c r="F324" s="28" t="str">
        <f>IF(INDEX(I.Facility.IDNumber,312)="","",INDEX(I.Facility.IDNumber,312))</f>
        <v/>
      </c>
      <c r="G324" s="45"/>
      <c r="H324" s="28" t="str">
        <f>IF(AND(I.Facility.FacilityCount&gt;=312,F324=""),"Incomplete","Complete")</f>
        <v>Complete</v>
      </c>
      <c r="I324" s="46" t="s">
        <v>790</v>
      </c>
    </row>
    <row r="325" spans="2:9" ht="14.45" customHeight="1" x14ac:dyDescent="0.25">
      <c r="B325" s="44" t="s">
        <v>294</v>
      </c>
      <c r="C325" s="28">
        <v>313</v>
      </c>
      <c r="D325" s="45" t="s">
        <v>2010</v>
      </c>
      <c r="E325" s="45"/>
      <c r="F325" s="28" t="str">
        <f>IF(INDEX(I.Facility.IDNumber,313)="","",INDEX(I.Facility.IDNumber,313))</f>
        <v/>
      </c>
      <c r="G325" s="45"/>
      <c r="H325" s="28" t="str">
        <f>IF(AND(I.Facility.FacilityCount&gt;=313,F325=""),"Incomplete","Complete")</f>
        <v>Complete</v>
      </c>
      <c r="I325" s="46" t="s">
        <v>791</v>
      </c>
    </row>
    <row r="326" spans="2:9" ht="14.45" customHeight="1" x14ac:dyDescent="0.25">
      <c r="B326" s="44" t="s">
        <v>294</v>
      </c>
      <c r="C326" s="28">
        <v>314</v>
      </c>
      <c r="D326" s="45" t="s">
        <v>2010</v>
      </c>
      <c r="E326" s="45"/>
      <c r="F326" s="28" t="str">
        <f>IF(INDEX(I.Facility.IDNumber,314)="","",INDEX(I.Facility.IDNumber,314))</f>
        <v/>
      </c>
      <c r="G326" s="45"/>
      <c r="H326" s="28" t="str">
        <f>IF(AND(I.Facility.FacilityCount&gt;=314,F326=""),"Incomplete","Complete")</f>
        <v>Complete</v>
      </c>
      <c r="I326" s="46" t="s">
        <v>792</v>
      </c>
    </row>
    <row r="327" spans="2:9" ht="14.45" customHeight="1" x14ac:dyDescent="0.25">
      <c r="B327" s="44" t="s">
        <v>294</v>
      </c>
      <c r="C327" s="28">
        <v>315</v>
      </c>
      <c r="D327" s="45" t="s">
        <v>2010</v>
      </c>
      <c r="E327" s="45"/>
      <c r="F327" s="28" t="str">
        <f>IF(INDEX(I.Facility.IDNumber,315)="","",INDEX(I.Facility.IDNumber,315))</f>
        <v/>
      </c>
      <c r="G327" s="45"/>
      <c r="H327" s="28" t="str">
        <f>IF(AND(I.Facility.FacilityCount&gt;=315,F327=""),"Incomplete","Complete")</f>
        <v>Complete</v>
      </c>
      <c r="I327" s="46" t="s">
        <v>793</v>
      </c>
    </row>
    <row r="328" spans="2:9" ht="14.45" customHeight="1" x14ac:dyDescent="0.25">
      <c r="B328" s="44" t="s">
        <v>294</v>
      </c>
      <c r="C328" s="28">
        <v>316</v>
      </c>
      <c r="D328" s="45" t="s">
        <v>2010</v>
      </c>
      <c r="E328" s="45"/>
      <c r="F328" s="28" t="str">
        <f>IF(INDEX(I.Facility.IDNumber,316)="","",INDEX(I.Facility.IDNumber,316))</f>
        <v/>
      </c>
      <c r="G328" s="45"/>
      <c r="H328" s="28" t="str">
        <f>IF(AND(I.Facility.FacilityCount&gt;=316,F328=""),"Incomplete","Complete")</f>
        <v>Complete</v>
      </c>
      <c r="I328" s="46" t="s">
        <v>794</v>
      </c>
    </row>
    <row r="329" spans="2:9" ht="14.45" customHeight="1" x14ac:dyDescent="0.25">
      <c r="B329" s="44" t="s">
        <v>294</v>
      </c>
      <c r="C329" s="28">
        <v>317</v>
      </c>
      <c r="D329" s="45" t="s">
        <v>2010</v>
      </c>
      <c r="E329" s="45"/>
      <c r="F329" s="28" t="str">
        <f>IF(INDEX(I.Facility.IDNumber,317)="","",INDEX(I.Facility.IDNumber,317))</f>
        <v/>
      </c>
      <c r="G329" s="45"/>
      <c r="H329" s="28" t="str">
        <f>IF(AND(I.Facility.FacilityCount&gt;=317,F329=""),"Incomplete","Complete")</f>
        <v>Complete</v>
      </c>
      <c r="I329" s="46" t="s">
        <v>795</v>
      </c>
    </row>
    <row r="330" spans="2:9" ht="14.45" customHeight="1" x14ac:dyDescent="0.25">
      <c r="B330" s="44" t="s">
        <v>294</v>
      </c>
      <c r="C330" s="28">
        <v>318</v>
      </c>
      <c r="D330" s="45" t="s">
        <v>2010</v>
      </c>
      <c r="E330" s="45"/>
      <c r="F330" s="28" t="str">
        <f>IF(INDEX(I.Facility.IDNumber,318)="","",INDEX(I.Facility.IDNumber,318))</f>
        <v/>
      </c>
      <c r="G330" s="45"/>
      <c r="H330" s="28" t="str">
        <f>IF(AND(I.Facility.FacilityCount&gt;=318,F330=""),"Incomplete","Complete")</f>
        <v>Complete</v>
      </c>
      <c r="I330" s="46" t="s">
        <v>796</v>
      </c>
    </row>
    <row r="331" spans="2:9" ht="14.45" customHeight="1" x14ac:dyDescent="0.25">
      <c r="B331" s="44" t="s">
        <v>294</v>
      </c>
      <c r="C331" s="28">
        <v>319</v>
      </c>
      <c r="D331" s="45" t="s">
        <v>2010</v>
      </c>
      <c r="E331" s="45"/>
      <c r="F331" s="28" t="str">
        <f>IF(INDEX(I.Facility.IDNumber,319)="","",INDEX(I.Facility.IDNumber,319))</f>
        <v/>
      </c>
      <c r="G331" s="45"/>
      <c r="H331" s="28" t="str">
        <f>IF(AND(I.Facility.FacilityCount&gt;=319,F331=""),"Incomplete","Complete")</f>
        <v>Complete</v>
      </c>
      <c r="I331" s="46" t="s">
        <v>797</v>
      </c>
    </row>
    <row r="332" spans="2:9" ht="14.45" customHeight="1" x14ac:dyDescent="0.25">
      <c r="B332" s="44" t="s">
        <v>294</v>
      </c>
      <c r="C332" s="28">
        <v>320</v>
      </c>
      <c r="D332" s="45" t="s">
        <v>2010</v>
      </c>
      <c r="E332" s="45"/>
      <c r="F332" s="28" t="str">
        <f>IF(INDEX(I.Facility.IDNumber,320)="","",INDEX(I.Facility.IDNumber,320))</f>
        <v/>
      </c>
      <c r="G332" s="45"/>
      <c r="H332" s="28" t="str">
        <f>IF(AND(I.Facility.FacilityCount&gt;=320,F332=""),"Incomplete","Complete")</f>
        <v>Complete</v>
      </c>
      <c r="I332" s="46" t="s">
        <v>798</v>
      </c>
    </row>
    <row r="333" spans="2:9" ht="14.45" customHeight="1" x14ac:dyDescent="0.25">
      <c r="B333" s="44" t="s">
        <v>294</v>
      </c>
      <c r="C333" s="28">
        <v>321</v>
      </c>
      <c r="D333" s="45" t="s">
        <v>2010</v>
      </c>
      <c r="E333" s="45"/>
      <c r="F333" s="28" t="str">
        <f>IF(INDEX(I.Facility.IDNumber,321)="","",INDEX(I.Facility.IDNumber,321))</f>
        <v/>
      </c>
      <c r="G333" s="45"/>
      <c r="H333" s="28" t="str">
        <f>IF(AND(I.Facility.FacilityCount&gt;=321,F333=""),"Incomplete","Complete")</f>
        <v>Complete</v>
      </c>
      <c r="I333" s="46" t="s">
        <v>799</v>
      </c>
    </row>
    <row r="334" spans="2:9" ht="14.45" customHeight="1" x14ac:dyDescent="0.25">
      <c r="B334" s="44" t="s">
        <v>294</v>
      </c>
      <c r="C334" s="28">
        <v>322</v>
      </c>
      <c r="D334" s="45" t="s">
        <v>2010</v>
      </c>
      <c r="E334" s="45"/>
      <c r="F334" s="28" t="str">
        <f>IF(INDEX(I.Facility.IDNumber,322)="","",INDEX(I.Facility.IDNumber,322))</f>
        <v/>
      </c>
      <c r="G334" s="45"/>
      <c r="H334" s="28" t="str">
        <f>IF(AND(I.Facility.FacilityCount&gt;=322,F334=""),"Incomplete","Complete")</f>
        <v>Complete</v>
      </c>
      <c r="I334" s="46" t="s">
        <v>800</v>
      </c>
    </row>
    <row r="335" spans="2:9" ht="14.45" customHeight="1" x14ac:dyDescent="0.25">
      <c r="B335" s="44" t="s">
        <v>294</v>
      </c>
      <c r="C335" s="28">
        <v>323</v>
      </c>
      <c r="D335" s="45" t="s">
        <v>2010</v>
      </c>
      <c r="E335" s="45"/>
      <c r="F335" s="28" t="str">
        <f>IF(INDEX(I.Facility.IDNumber,323)="","",INDEX(I.Facility.IDNumber,323))</f>
        <v/>
      </c>
      <c r="G335" s="45"/>
      <c r="H335" s="28" t="str">
        <f>IF(AND(I.Facility.FacilityCount&gt;=323,F335=""),"Incomplete","Complete")</f>
        <v>Complete</v>
      </c>
      <c r="I335" s="46" t="s">
        <v>801</v>
      </c>
    </row>
    <row r="336" spans="2:9" ht="14.45" customHeight="1" x14ac:dyDescent="0.25">
      <c r="B336" s="44" t="s">
        <v>294</v>
      </c>
      <c r="C336" s="28">
        <v>324</v>
      </c>
      <c r="D336" s="45" t="s">
        <v>2010</v>
      </c>
      <c r="E336" s="45"/>
      <c r="F336" s="28" t="str">
        <f>IF(INDEX(I.Facility.IDNumber,324)="","",INDEX(I.Facility.IDNumber,324))</f>
        <v/>
      </c>
      <c r="G336" s="45"/>
      <c r="H336" s="28" t="str">
        <f>IF(AND(I.Facility.FacilityCount&gt;=324,F336=""),"Incomplete","Complete")</f>
        <v>Complete</v>
      </c>
      <c r="I336" s="46" t="s">
        <v>802</v>
      </c>
    </row>
    <row r="337" spans="2:9" ht="14.45" customHeight="1" x14ac:dyDescent="0.25">
      <c r="B337" s="44" t="s">
        <v>294</v>
      </c>
      <c r="C337" s="28">
        <v>325</v>
      </c>
      <c r="D337" s="45" t="s">
        <v>2010</v>
      </c>
      <c r="E337" s="45"/>
      <c r="F337" s="28" t="str">
        <f>IF(INDEX(I.Facility.IDNumber,325)="","",INDEX(I.Facility.IDNumber,325))</f>
        <v/>
      </c>
      <c r="G337" s="45"/>
      <c r="H337" s="28" t="str">
        <f>IF(AND(I.Facility.FacilityCount&gt;=325,F337=""),"Incomplete","Complete")</f>
        <v>Complete</v>
      </c>
      <c r="I337" s="46" t="s">
        <v>803</v>
      </c>
    </row>
    <row r="338" spans="2:9" ht="14.45" customHeight="1" x14ac:dyDescent="0.25">
      <c r="B338" s="44" t="s">
        <v>294</v>
      </c>
      <c r="C338" s="28">
        <v>326</v>
      </c>
      <c r="D338" s="45" t="s">
        <v>2010</v>
      </c>
      <c r="E338" s="45"/>
      <c r="F338" s="28" t="str">
        <f>IF(INDEX(I.Facility.IDNumber,326)="","",INDEX(I.Facility.IDNumber,326))</f>
        <v/>
      </c>
      <c r="G338" s="45"/>
      <c r="H338" s="28" t="str">
        <f>IF(AND(I.Facility.FacilityCount&gt;=326,F338=""),"Incomplete","Complete")</f>
        <v>Complete</v>
      </c>
      <c r="I338" s="46" t="s">
        <v>804</v>
      </c>
    </row>
    <row r="339" spans="2:9" ht="14.45" customHeight="1" x14ac:dyDescent="0.25">
      <c r="B339" s="44" t="s">
        <v>294</v>
      </c>
      <c r="C339" s="28">
        <v>327</v>
      </c>
      <c r="D339" s="45" t="s">
        <v>2010</v>
      </c>
      <c r="E339" s="45"/>
      <c r="F339" s="28" t="str">
        <f>IF(INDEX(I.Facility.IDNumber,327)="","",INDEX(I.Facility.IDNumber,327))</f>
        <v/>
      </c>
      <c r="G339" s="45"/>
      <c r="H339" s="28" t="str">
        <f>IF(AND(I.Facility.FacilityCount&gt;=327,F339=""),"Incomplete","Complete")</f>
        <v>Complete</v>
      </c>
      <c r="I339" s="46" t="s">
        <v>805</v>
      </c>
    </row>
    <row r="340" spans="2:9" ht="14.45" customHeight="1" x14ac:dyDescent="0.25">
      <c r="B340" s="44" t="s">
        <v>294</v>
      </c>
      <c r="C340" s="28">
        <v>328</v>
      </c>
      <c r="D340" s="45" t="s">
        <v>2010</v>
      </c>
      <c r="E340" s="45"/>
      <c r="F340" s="28" t="str">
        <f>IF(INDEX(I.Facility.IDNumber,328)="","",INDEX(I.Facility.IDNumber,328))</f>
        <v/>
      </c>
      <c r="G340" s="45"/>
      <c r="H340" s="28" t="str">
        <f>IF(AND(I.Facility.FacilityCount&gt;=328,F340=""),"Incomplete","Complete")</f>
        <v>Complete</v>
      </c>
      <c r="I340" s="46" t="s">
        <v>806</v>
      </c>
    </row>
    <row r="341" spans="2:9" ht="14.45" customHeight="1" x14ac:dyDescent="0.25">
      <c r="B341" s="44" t="s">
        <v>294</v>
      </c>
      <c r="C341" s="28">
        <v>329</v>
      </c>
      <c r="D341" s="45" t="s">
        <v>2010</v>
      </c>
      <c r="E341" s="45"/>
      <c r="F341" s="28" t="str">
        <f>IF(INDEX(I.Facility.IDNumber,329)="","",INDEX(I.Facility.IDNumber,329))</f>
        <v/>
      </c>
      <c r="G341" s="45"/>
      <c r="H341" s="28" t="str">
        <f>IF(AND(I.Facility.FacilityCount&gt;=329,F341=""),"Incomplete","Complete")</f>
        <v>Complete</v>
      </c>
      <c r="I341" s="46" t="s">
        <v>807</v>
      </c>
    </row>
    <row r="342" spans="2:9" ht="14.45" customHeight="1" x14ac:dyDescent="0.25">
      <c r="B342" s="44" t="s">
        <v>294</v>
      </c>
      <c r="C342" s="28">
        <v>330</v>
      </c>
      <c r="D342" s="45" t="s">
        <v>2010</v>
      </c>
      <c r="E342" s="45"/>
      <c r="F342" s="28" t="str">
        <f>IF(INDEX(I.Facility.IDNumber,330)="","",INDEX(I.Facility.IDNumber,330))</f>
        <v/>
      </c>
      <c r="G342" s="45"/>
      <c r="H342" s="28" t="str">
        <f>IF(AND(I.Facility.FacilityCount&gt;=330,F342=""),"Incomplete","Complete")</f>
        <v>Complete</v>
      </c>
      <c r="I342" s="46" t="s">
        <v>808</v>
      </c>
    </row>
    <row r="343" spans="2:9" ht="14.45" customHeight="1" x14ac:dyDescent="0.25">
      <c r="B343" s="44" t="s">
        <v>294</v>
      </c>
      <c r="C343" s="28">
        <v>331</v>
      </c>
      <c r="D343" s="45" t="s">
        <v>2010</v>
      </c>
      <c r="E343" s="45"/>
      <c r="F343" s="28" t="str">
        <f>IF(INDEX(I.Facility.IDNumber,331)="","",INDEX(I.Facility.IDNumber,331))</f>
        <v/>
      </c>
      <c r="G343" s="45"/>
      <c r="H343" s="28" t="str">
        <f>IF(AND(I.Facility.FacilityCount&gt;=331,F343=""),"Incomplete","Complete")</f>
        <v>Complete</v>
      </c>
      <c r="I343" s="46" t="s">
        <v>809</v>
      </c>
    </row>
    <row r="344" spans="2:9" ht="14.45" customHeight="1" x14ac:dyDescent="0.25">
      <c r="B344" s="44" t="s">
        <v>294</v>
      </c>
      <c r="C344" s="28">
        <v>332</v>
      </c>
      <c r="D344" s="45" t="s">
        <v>2010</v>
      </c>
      <c r="E344" s="45"/>
      <c r="F344" s="28" t="str">
        <f>IF(INDEX(I.Facility.IDNumber,332)="","",INDEX(I.Facility.IDNumber,332))</f>
        <v/>
      </c>
      <c r="G344" s="45"/>
      <c r="H344" s="28" t="str">
        <f>IF(AND(I.Facility.FacilityCount&gt;=332,F344=""),"Incomplete","Complete")</f>
        <v>Complete</v>
      </c>
      <c r="I344" s="46" t="s">
        <v>810</v>
      </c>
    </row>
    <row r="345" spans="2:9" ht="14.45" customHeight="1" x14ac:dyDescent="0.25">
      <c r="B345" s="44" t="s">
        <v>294</v>
      </c>
      <c r="C345" s="28">
        <v>333</v>
      </c>
      <c r="D345" s="45" t="s">
        <v>2010</v>
      </c>
      <c r="E345" s="45"/>
      <c r="F345" s="28" t="str">
        <f>IF(INDEX(I.Facility.IDNumber,333)="","",INDEX(I.Facility.IDNumber,333))</f>
        <v/>
      </c>
      <c r="G345" s="45"/>
      <c r="H345" s="28" t="str">
        <f>IF(AND(I.Facility.FacilityCount&gt;=333,F345=""),"Incomplete","Complete")</f>
        <v>Complete</v>
      </c>
      <c r="I345" s="46" t="s">
        <v>811</v>
      </c>
    </row>
    <row r="346" spans="2:9" ht="14.45" customHeight="1" x14ac:dyDescent="0.25">
      <c r="B346" s="44" t="s">
        <v>294</v>
      </c>
      <c r="C346" s="28">
        <v>334</v>
      </c>
      <c r="D346" s="45" t="s">
        <v>2010</v>
      </c>
      <c r="E346" s="45"/>
      <c r="F346" s="28" t="str">
        <f>IF(INDEX(I.Facility.IDNumber,334)="","",INDEX(I.Facility.IDNumber,334))</f>
        <v/>
      </c>
      <c r="G346" s="45"/>
      <c r="H346" s="28" t="str">
        <f>IF(AND(I.Facility.FacilityCount&gt;=334,F346=""),"Incomplete","Complete")</f>
        <v>Complete</v>
      </c>
      <c r="I346" s="46" t="s">
        <v>812</v>
      </c>
    </row>
    <row r="347" spans="2:9" ht="14.45" customHeight="1" x14ac:dyDescent="0.25">
      <c r="B347" s="44" t="s">
        <v>294</v>
      </c>
      <c r="C347" s="28">
        <v>335</v>
      </c>
      <c r="D347" s="45" t="s">
        <v>2010</v>
      </c>
      <c r="E347" s="45"/>
      <c r="F347" s="28" t="str">
        <f>IF(INDEX(I.Facility.IDNumber,335)="","",INDEX(I.Facility.IDNumber,335))</f>
        <v/>
      </c>
      <c r="G347" s="45"/>
      <c r="H347" s="28" t="str">
        <f>IF(AND(I.Facility.FacilityCount&gt;=335,F347=""),"Incomplete","Complete")</f>
        <v>Complete</v>
      </c>
      <c r="I347" s="46" t="s">
        <v>813</v>
      </c>
    </row>
    <row r="348" spans="2:9" ht="14.45" customHeight="1" x14ac:dyDescent="0.25">
      <c r="B348" s="44" t="s">
        <v>294</v>
      </c>
      <c r="C348" s="28">
        <v>336</v>
      </c>
      <c r="D348" s="45" t="s">
        <v>2010</v>
      </c>
      <c r="E348" s="45"/>
      <c r="F348" s="28" t="str">
        <f>IF(INDEX(I.Facility.IDNumber,336)="","",INDEX(I.Facility.IDNumber,336))</f>
        <v/>
      </c>
      <c r="G348" s="45"/>
      <c r="H348" s="28" t="str">
        <f>IF(AND(I.Facility.FacilityCount&gt;=336,F348=""),"Incomplete","Complete")</f>
        <v>Complete</v>
      </c>
      <c r="I348" s="46" t="s">
        <v>814</v>
      </c>
    </row>
    <row r="349" spans="2:9" ht="14.45" customHeight="1" x14ac:dyDescent="0.25">
      <c r="B349" s="44" t="s">
        <v>294</v>
      </c>
      <c r="C349" s="28">
        <v>337</v>
      </c>
      <c r="D349" s="45" t="s">
        <v>2010</v>
      </c>
      <c r="E349" s="45"/>
      <c r="F349" s="28" t="str">
        <f>IF(INDEX(I.Facility.IDNumber,337)="","",INDEX(I.Facility.IDNumber,337))</f>
        <v/>
      </c>
      <c r="G349" s="45"/>
      <c r="H349" s="28" t="str">
        <f>IF(AND(I.Facility.FacilityCount&gt;=337,F349=""),"Incomplete","Complete")</f>
        <v>Complete</v>
      </c>
      <c r="I349" s="46" t="s">
        <v>815</v>
      </c>
    </row>
    <row r="350" spans="2:9" ht="14.45" customHeight="1" x14ac:dyDescent="0.25">
      <c r="B350" s="44" t="s">
        <v>294</v>
      </c>
      <c r="C350" s="28">
        <v>338</v>
      </c>
      <c r="D350" s="45" t="s">
        <v>2010</v>
      </c>
      <c r="E350" s="45"/>
      <c r="F350" s="28" t="str">
        <f>IF(INDEX(I.Facility.IDNumber,338)="","",INDEX(I.Facility.IDNumber,338))</f>
        <v/>
      </c>
      <c r="G350" s="45"/>
      <c r="H350" s="28" t="str">
        <f>IF(AND(I.Facility.FacilityCount&gt;=338,F350=""),"Incomplete","Complete")</f>
        <v>Complete</v>
      </c>
      <c r="I350" s="46" t="s">
        <v>816</v>
      </c>
    </row>
    <row r="351" spans="2:9" ht="14.45" customHeight="1" x14ac:dyDescent="0.25">
      <c r="B351" s="44" t="s">
        <v>294</v>
      </c>
      <c r="C351" s="28">
        <v>339</v>
      </c>
      <c r="D351" s="45" t="s">
        <v>2010</v>
      </c>
      <c r="E351" s="45"/>
      <c r="F351" s="28" t="str">
        <f>IF(INDEX(I.Facility.IDNumber,339)="","",INDEX(I.Facility.IDNumber,339))</f>
        <v/>
      </c>
      <c r="G351" s="45"/>
      <c r="H351" s="28" t="str">
        <f>IF(AND(I.Facility.FacilityCount&gt;=339,F351=""),"Incomplete","Complete")</f>
        <v>Complete</v>
      </c>
      <c r="I351" s="46" t="s">
        <v>817</v>
      </c>
    </row>
    <row r="352" spans="2:9" ht="14.45" customHeight="1" x14ac:dyDescent="0.25">
      <c r="B352" s="44" t="s">
        <v>294</v>
      </c>
      <c r="C352" s="28">
        <v>340</v>
      </c>
      <c r="D352" s="45" t="s">
        <v>2010</v>
      </c>
      <c r="E352" s="45"/>
      <c r="F352" s="28" t="str">
        <f>IF(INDEX(I.Facility.IDNumber,340)="","",INDEX(I.Facility.IDNumber,340))</f>
        <v/>
      </c>
      <c r="G352" s="45"/>
      <c r="H352" s="28" t="str">
        <f>IF(AND(I.Facility.FacilityCount&gt;=340,F352=""),"Incomplete","Complete")</f>
        <v>Complete</v>
      </c>
      <c r="I352" s="46" t="s">
        <v>818</v>
      </c>
    </row>
    <row r="353" spans="2:9" ht="14.45" customHeight="1" x14ac:dyDescent="0.25">
      <c r="B353" s="44" t="s">
        <v>294</v>
      </c>
      <c r="C353" s="28">
        <v>341</v>
      </c>
      <c r="D353" s="45" t="s">
        <v>2010</v>
      </c>
      <c r="E353" s="45"/>
      <c r="F353" s="28" t="str">
        <f>IF(INDEX(I.Facility.IDNumber,341)="","",INDEX(I.Facility.IDNumber,341))</f>
        <v/>
      </c>
      <c r="G353" s="45"/>
      <c r="H353" s="28" t="str">
        <f>IF(AND(I.Facility.FacilityCount&gt;=341,F353=""),"Incomplete","Complete")</f>
        <v>Complete</v>
      </c>
      <c r="I353" s="46" t="s">
        <v>819</v>
      </c>
    </row>
    <row r="354" spans="2:9" ht="14.45" customHeight="1" x14ac:dyDescent="0.25">
      <c r="B354" s="44" t="s">
        <v>294</v>
      </c>
      <c r="C354" s="28">
        <v>342</v>
      </c>
      <c r="D354" s="45" t="s">
        <v>2010</v>
      </c>
      <c r="E354" s="45"/>
      <c r="F354" s="28" t="str">
        <f>IF(INDEX(I.Facility.IDNumber,342)="","",INDEX(I.Facility.IDNumber,342))</f>
        <v/>
      </c>
      <c r="G354" s="45"/>
      <c r="H354" s="28" t="str">
        <f>IF(AND(I.Facility.FacilityCount&gt;=342,F354=""),"Incomplete","Complete")</f>
        <v>Complete</v>
      </c>
      <c r="I354" s="46" t="s">
        <v>820</v>
      </c>
    </row>
    <row r="355" spans="2:9" ht="14.45" customHeight="1" x14ac:dyDescent="0.25">
      <c r="B355" s="44" t="s">
        <v>294</v>
      </c>
      <c r="C355" s="28">
        <v>343</v>
      </c>
      <c r="D355" s="45" t="s">
        <v>2010</v>
      </c>
      <c r="E355" s="45"/>
      <c r="F355" s="28" t="str">
        <f>IF(INDEX(I.Facility.IDNumber,343)="","",INDEX(I.Facility.IDNumber,343))</f>
        <v/>
      </c>
      <c r="G355" s="45"/>
      <c r="H355" s="28" t="str">
        <f>IF(AND(I.Facility.FacilityCount&gt;=343,F355=""),"Incomplete","Complete")</f>
        <v>Complete</v>
      </c>
      <c r="I355" s="46" t="s">
        <v>821</v>
      </c>
    </row>
    <row r="356" spans="2:9" ht="14.45" customHeight="1" x14ac:dyDescent="0.25">
      <c r="B356" s="44" t="s">
        <v>294</v>
      </c>
      <c r="C356" s="28">
        <v>344</v>
      </c>
      <c r="D356" s="45" t="s">
        <v>2010</v>
      </c>
      <c r="E356" s="45"/>
      <c r="F356" s="28" t="str">
        <f>IF(INDEX(I.Facility.IDNumber,344)="","",INDEX(I.Facility.IDNumber,344))</f>
        <v/>
      </c>
      <c r="G356" s="45"/>
      <c r="H356" s="28" t="str">
        <f>IF(AND(I.Facility.FacilityCount&gt;=344,F356=""),"Incomplete","Complete")</f>
        <v>Complete</v>
      </c>
      <c r="I356" s="46" t="s">
        <v>822</v>
      </c>
    </row>
    <row r="357" spans="2:9" ht="14.45" customHeight="1" x14ac:dyDescent="0.25">
      <c r="B357" s="44" t="s">
        <v>294</v>
      </c>
      <c r="C357" s="28">
        <v>345</v>
      </c>
      <c r="D357" s="45" t="s">
        <v>2010</v>
      </c>
      <c r="E357" s="45"/>
      <c r="F357" s="28" t="str">
        <f>IF(INDEX(I.Facility.IDNumber,345)="","",INDEX(I.Facility.IDNumber,345))</f>
        <v/>
      </c>
      <c r="G357" s="45"/>
      <c r="H357" s="28" t="str">
        <f>IF(AND(I.Facility.FacilityCount&gt;=345,F357=""),"Incomplete","Complete")</f>
        <v>Complete</v>
      </c>
      <c r="I357" s="46" t="s">
        <v>823</v>
      </c>
    </row>
    <row r="358" spans="2:9" ht="14.45" customHeight="1" x14ac:dyDescent="0.25">
      <c r="B358" s="44" t="s">
        <v>294</v>
      </c>
      <c r="C358" s="28">
        <v>346</v>
      </c>
      <c r="D358" s="45" t="s">
        <v>2010</v>
      </c>
      <c r="E358" s="45"/>
      <c r="F358" s="28" t="str">
        <f>IF(INDEX(I.Facility.IDNumber,346)="","",INDEX(I.Facility.IDNumber,346))</f>
        <v/>
      </c>
      <c r="G358" s="45"/>
      <c r="H358" s="28" t="str">
        <f>IF(AND(I.Facility.FacilityCount&gt;=346,F358=""),"Incomplete","Complete")</f>
        <v>Complete</v>
      </c>
      <c r="I358" s="46" t="s">
        <v>824</v>
      </c>
    </row>
    <row r="359" spans="2:9" ht="14.45" customHeight="1" x14ac:dyDescent="0.25">
      <c r="B359" s="44" t="s">
        <v>294</v>
      </c>
      <c r="C359" s="28">
        <v>347</v>
      </c>
      <c r="D359" s="45" t="s">
        <v>2010</v>
      </c>
      <c r="E359" s="45"/>
      <c r="F359" s="28" t="str">
        <f>IF(INDEX(I.Facility.IDNumber,347)="","",INDEX(I.Facility.IDNumber,347))</f>
        <v/>
      </c>
      <c r="G359" s="45"/>
      <c r="H359" s="28" t="str">
        <f>IF(AND(I.Facility.FacilityCount&gt;=347,F359=""),"Incomplete","Complete")</f>
        <v>Complete</v>
      </c>
      <c r="I359" s="46" t="s">
        <v>825</v>
      </c>
    </row>
    <row r="360" spans="2:9" ht="14.45" customHeight="1" x14ac:dyDescent="0.25">
      <c r="B360" s="44" t="s">
        <v>294</v>
      </c>
      <c r="C360" s="28">
        <v>348</v>
      </c>
      <c r="D360" s="45" t="s">
        <v>2010</v>
      </c>
      <c r="E360" s="45"/>
      <c r="F360" s="28" t="str">
        <f>IF(INDEX(I.Facility.IDNumber,348)="","",INDEX(I.Facility.IDNumber,348))</f>
        <v/>
      </c>
      <c r="G360" s="45"/>
      <c r="H360" s="28" t="str">
        <f>IF(AND(I.Facility.FacilityCount&gt;=348,F360=""),"Incomplete","Complete")</f>
        <v>Complete</v>
      </c>
      <c r="I360" s="46" t="s">
        <v>826</v>
      </c>
    </row>
    <row r="361" spans="2:9" ht="14.45" customHeight="1" x14ac:dyDescent="0.25">
      <c r="B361" s="44" t="s">
        <v>294</v>
      </c>
      <c r="C361" s="28">
        <v>349</v>
      </c>
      <c r="D361" s="45" t="s">
        <v>2010</v>
      </c>
      <c r="E361" s="45"/>
      <c r="F361" s="28" t="str">
        <f>IF(INDEX(I.Facility.IDNumber,349)="","",INDEX(I.Facility.IDNumber,349))</f>
        <v/>
      </c>
      <c r="G361" s="45"/>
      <c r="H361" s="28" t="str">
        <f>IF(AND(I.Facility.FacilityCount&gt;=349,F361=""),"Incomplete","Complete")</f>
        <v>Complete</v>
      </c>
      <c r="I361" s="46" t="s">
        <v>827</v>
      </c>
    </row>
    <row r="362" spans="2:9" ht="14.45" customHeight="1" x14ac:dyDescent="0.25">
      <c r="B362" s="44" t="s">
        <v>294</v>
      </c>
      <c r="C362" s="28">
        <v>350</v>
      </c>
      <c r="D362" s="45" t="s">
        <v>2010</v>
      </c>
      <c r="E362" s="45"/>
      <c r="F362" s="28" t="str">
        <f>IF(INDEX(I.Facility.IDNumber,350)="","",INDEX(I.Facility.IDNumber,350))</f>
        <v/>
      </c>
      <c r="G362" s="45"/>
      <c r="H362" s="28" t="str">
        <f>IF(AND(I.Facility.FacilityCount&gt;=350,F362=""),"Incomplete","Complete")</f>
        <v>Complete</v>
      </c>
      <c r="I362" s="46" t="s">
        <v>828</v>
      </c>
    </row>
    <row r="363" spans="2:9" ht="14.45" customHeight="1" x14ac:dyDescent="0.25">
      <c r="B363" s="44" t="s">
        <v>294</v>
      </c>
      <c r="C363" s="28">
        <v>351</v>
      </c>
      <c r="D363" s="45" t="s">
        <v>2010</v>
      </c>
      <c r="E363" s="45"/>
      <c r="F363" s="28" t="str">
        <f>IF(INDEX(I.Facility.IDNumber,351)="","",INDEX(I.Facility.IDNumber,351))</f>
        <v/>
      </c>
      <c r="G363" s="45"/>
      <c r="H363" s="28" t="str">
        <f>IF(AND(I.Facility.FacilityCount&gt;=351,F363=""),"Incomplete","Complete")</f>
        <v>Complete</v>
      </c>
      <c r="I363" s="46" t="s">
        <v>829</v>
      </c>
    </row>
    <row r="364" spans="2:9" ht="14.45" customHeight="1" x14ac:dyDescent="0.25">
      <c r="B364" s="44" t="s">
        <v>294</v>
      </c>
      <c r="C364" s="28">
        <v>352</v>
      </c>
      <c r="D364" s="45" t="s">
        <v>2010</v>
      </c>
      <c r="E364" s="45"/>
      <c r="F364" s="28" t="str">
        <f>IF(INDEX(I.Facility.IDNumber,352)="","",INDEX(I.Facility.IDNumber,352))</f>
        <v/>
      </c>
      <c r="G364" s="45"/>
      <c r="H364" s="28" t="str">
        <f>IF(AND(I.Facility.FacilityCount&gt;=352,F364=""),"Incomplete","Complete")</f>
        <v>Complete</v>
      </c>
      <c r="I364" s="46" t="s">
        <v>830</v>
      </c>
    </row>
    <row r="365" spans="2:9" ht="14.45" customHeight="1" x14ac:dyDescent="0.25">
      <c r="B365" s="44" t="s">
        <v>294</v>
      </c>
      <c r="C365" s="28">
        <v>353</v>
      </c>
      <c r="D365" s="45" t="s">
        <v>2010</v>
      </c>
      <c r="E365" s="45"/>
      <c r="F365" s="28" t="str">
        <f>IF(INDEX(I.Facility.IDNumber,353)="","",INDEX(I.Facility.IDNumber,353))</f>
        <v/>
      </c>
      <c r="G365" s="45"/>
      <c r="H365" s="28" t="str">
        <f>IF(AND(I.Facility.FacilityCount&gt;=353,F365=""),"Incomplete","Complete")</f>
        <v>Complete</v>
      </c>
      <c r="I365" s="46" t="s">
        <v>831</v>
      </c>
    </row>
    <row r="366" spans="2:9" ht="14.45" customHeight="1" x14ac:dyDescent="0.25">
      <c r="B366" s="44" t="s">
        <v>294</v>
      </c>
      <c r="C366" s="28">
        <v>354</v>
      </c>
      <c r="D366" s="45" t="s">
        <v>2010</v>
      </c>
      <c r="E366" s="45"/>
      <c r="F366" s="28" t="str">
        <f>IF(INDEX(I.Facility.IDNumber,354)="","",INDEX(I.Facility.IDNumber,354))</f>
        <v/>
      </c>
      <c r="G366" s="45"/>
      <c r="H366" s="28" t="str">
        <f>IF(AND(I.Facility.FacilityCount&gt;=354,F366=""),"Incomplete","Complete")</f>
        <v>Complete</v>
      </c>
      <c r="I366" s="46" t="s">
        <v>832</v>
      </c>
    </row>
    <row r="367" spans="2:9" ht="14.45" customHeight="1" x14ac:dyDescent="0.25">
      <c r="B367" s="44" t="s">
        <v>294</v>
      </c>
      <c r="C367" s="28">
        <v>355</v>
      </c>
      <c r="D367" s="45" t="s">
        <v>2010</v>
      </c>
      <c r="E367" s="45"/>
      <c r="F367" s="28" t="str">
        <f>IF(INDEX(I.Facility.IDNumber,355)="","",INDEX(I.Facility.IDNumber,355))</f>
        <v/>
      </c>
      <c r="G367" s="45"/>
      <c r="H367" s="28" t="str">
        <f>IF(AND(I.Facility.FacilityCount&gt;=355,F367=""),"Incomplete","Complete")</f>
        <v>Complete</v>
      </c>
      <c r="I367" s="46" t="s">
        <v>833</v>
      </c>
    </row>
    <row r="368" spans="2:9" ht="14.45" customHeight="1" x14ac:dyDescent="0.25">
      <c r="B368" s="44" t="s">
        <v>294</v>
      </c>
      <c r="C368" s="28">
        <v>356</v>
      </c>
      <c r="D368" s="45" t="s">
        <v>2010</v>
      </c>
      <c r="E368" s="45"/>
      <c r="F368" s="28" t="str">
        <f>IF(INDEX(I.Facility.IDNumber,356)="","",INDEX(I.Facility.IDNumber,356))</f>
        <v/>
      </c>
      <c r="G368" s="45"/>
      <c r="H368" s="28" t="str">
        <f>IF(AND(I.Facility.FacilityCount&gt;=356,F368=""),"Incomplete","Complete")</f>
        <v>Complete</v>
      </c>
      <c r="I368" s="46" t="s">
        <v>834</v>
      </c>
    </row>
    <row r="369" spans="2:9" ht="14.45" customHeight="1" x14ac:dyDescent="0.25">
      <c r="B369" s="44" t="s">
        <v>294</v>
      </c>
      <c r="C369" s="28">
        <v>357</v>
      </c>
      <c r="D369" s="45" t="s">
        <v>2010</v>
      </c>
      <c r="E369" s="45"/>
      <c r="F369" s="28" t="str">
        <f>IF(INDEX(I.Facility.IDNumber,357)="","",INDEX(I.Facility.IDNumber,357))</f>
        <v/>
      </c>
      <c r="G369" s="45"/>
      <c r="H369" s="28" t="str">
        <f>IF(AND(I.Facility.FacilityCount&gt;=357,F369=""),"Incomplete","Complete")</f>
        <v>Complete</v>
      </c>
      <c r="I369" s="46" t="s">
        <v>835</v>
      </c>
    </row>
    <row r="370" spans="2:9" ht="14.45" customHeight="1" x14ac:dyDescent="0.25">
      <c r="B370" s="44" t="s">
        <v>294</v>
      </c>
      <c r="C370" s="28">
        <v>358</v>
      </c>
      <c r="D370" s="45" t="s">
        <v>2010</v>
      </c>
      <c r="E370" s="45"/>
      <c r="F370" s="28" t="str">
        <f>IF(INDEX(I.Facility.IDNumber,358)="","",INDEX(I.Facility.IDNumber,358))</f>
        <v/>
      </c>
      <c r="G370" s="45"/>
      <c r="H370" s="28" t="str">
        <f>IF(AND(I.Facility.FacilityCount&gt;=358,F370=""),"Incomplete","Complete")</f>
        <v>Complete</v>
      </c>
      <c r="I370" s="46" t="s">
        <v>836</v>
      </c>
    </row>
    <row r="371" spans="2:9" ht="14.45" customHeight="1" x14ac:dyDescent="0.25">
      <c r="B371" s="44" t="s">
        <v>294</v>
      </c>
      <c r="C371" s="28">
        <v>359</v>
      </c>
      <c r="D371" s="45" t="s">
        <v>2010</v>
      </c>
      <c r="E371" s="45"/>
      <c r="F371" s="28" t="str">
        <f>IF(INDEX(I.Facility.IDNumber,359)="","",INDEX(I.Facility.IDNumber,359))</f>
        <v/>
      </c>
      <c r="G371" s="45"/>
      <c r="H371" s="28" t="str">
        <f>IF(AND(I.Facility.FacilityCount&gt;=359,F371=""),"Incomplete","Complete")</f>
        <v>Complete</v>
      </c>
      <c r="I371" s="46" t="s">
        <v>837</v>
      </c>
    </row>
    <row r="372" spans="2:9" ht="14.45" customHeight="1" x14ac:dyDescent="0.25">
      <c r="B372" s="44" t="s">
        <v>294</v>
      </c>
      <c r="C372" s="28">
        <v>360</v>
      </c>
      <c r="D372" s="45" t="s">
        <v>2010</v>
      </c>
      <c r="E372" s="45"/>
      <c r="F372" s="28" t="str">
        <f>IF(INDEX(I.Facility.IDNumber,360)="","",INDEX(I.Facility.IDNumber,360))</f>
        <v/>
      </c>
      <c r="G372" s="45"/>
      <c r="H372" s="28" t="str">
        <f>IF(AND(I.Facility.FacilityCount&gt;=360,F372=""),"Incomplete","Complete")</f>
        <v>Complete</v>
      </c>
      <c r="I372" s="46" t="s">
        <v>838</v>
      </c>
    </row>
    <row r="373" spans="2:9" ht="14.45" customHeight="1" x14ac:dyDescent="0.25">
      <c r="B373" s="44" t="s">
        <v>294</v>
      </c>
      <c r="C373" s="28">
        <v>361</v>
      </c>
      <c r="D373" s="45" t="s">
        <v>2010</v>
      </c>
      <c r="E373" s="45"/>
      <c r="F373" s="28" t="str">
        <f>IF(INDEX(I.Facility.IDNumber,361)="","",INDEX(I.Facility.IDNumber,361))</f>
        <v/>
      </c>
      <c r="G373" s="45"/>
      <c r="H373" s="28" t="str">
        <f>IF(AND(I.Facility.FacilityCount&gt;=361,F373=""),"Incomplete","Complete")</f>
        <v>Complete</v>
      </c>
      <c r="I373" s="46" t="s">
        <v>839</v>
      </c>
    </row>
    <row r="374" spans="2:9" ht="14.45" customHeight="1" x14ac:dyDescent="0.25">
      <c r="B374" s="44" t="s">
        <v>294</v>
      </c>
      <c r="C374" s="28">
        <v>362</v>
      </c>
      <c r="D374" s="45" t="s">
        <v>2010</v>
      </c>
      <c r="E374" s="45"/>
      <c r="F374" s="28" t="str">
        <f>IF(INDEX(I.Facility.IDNumber,362)="","",INDEX(I.Facility.IDNumber,362))</f>
        <v/>
      </c>
      <c r="G374" s="45"/>
      <c r="H374" s="28" t="str">
        <f>IF(AND(I.Facility.FacilityCount&gt;=362,F374=""),"Incomplete","Complete")</f>
        <v>Complete</v>
      </c>
      <c r="I374" s="46" t="s">
        <v>840</v>
      </c>
    </row>
    <row r="375" spans="2:9" ht="14.45" customHeight="1" x14ac:dyDescent="0.25">
      <c r="B375" s="44" t="s">
        <v>294</v>
      </c>
      <c r="C375" s="28">
        <v>363</v>
      </c>
      <c r="D375" s="45" t="s">
        <v>2010</v>
      </c>
      <c r="E375" s="45"/>
      <c r="F375" s="28" t="str">
        <f>IF(INDEX(I.Facility.IDNumber,363)="","",INDEX(I.Facility.IDNumber,363))</f>
        <v/>
      </c>
      <c r="G375" s="45"/>
      <c r="H375" s="28" t="str">
        <f>IF(AND(I.Facility.FacilityCount&gt;=363,F375=""),"Incomplete","Complete")</f>
        <v>Complete</v>
      </c>
      <c r="I375" s="46" t="s">
        <v>841</v>
      </c>
    </row>
    <row r="376" spans="2:9" ht="14.45" customHeight="1" x14ac:dyDescent="0.25">
      <c r="B376" s="44" t="s">
        <v>294</v>
      </c>
      <c r="C376" s="28">
        <v>364</v>
      </c>
      <c r="D376" s="45" t="s">
        <v>2010</v>
      </c>
      <c r="E376" s="45"/>
      <c r="F376" s="28" t="str">
        <f>IF(INDEX(I.Facility.IDNumber,364)="","",INDEX(I.Facility.IDNumber,364))</f>
        <v/>
      </c>
      <c r="G376" s="45"/>
      <c r="H376" s="28" t="str">
        <f>IF(AND(I.Facility.FacilityCount&gt;=364,F376=""),"Incomplete","Complete")</f>
        <v>Complete</v>
      </c>
      <c r="I376" s="46" t="s">
        <v>842</v>
      </c>
    </row>
    <row r="377" spans="2:9" ht="14.45" customHeight="1" x14ac:dyDescent="0.25">
      <c r="B377" s="44" t="s">
        <v>294</v>
      </c>
      <c r="C377" s="28">
        <v>365</v>
      </c>
      <c r="D377" s="45" t="s">
        <v>2010</v>
      </c>
      <c r="E377" s="45"/>
      <c r="F377" s="28" t="str">
        <f>IF(INDEX(I.Facility.IDNumber,365)="","",INDEX(I.Facility.IDNumber,365))</f>
        <v/>
      </c>
      <c r="G377" s="45"/>
      <c r="H377" s="28" t="str">
        <f>IF(AND(I.Facility.FacilityCount&gt;=365,F377=""),"Incomplete","Complete")</f>
        <v>Complete</v>
      </c>
      <c r="I377" s="46" t="s">
        <v>843</v>
      </c>
    </row>
    <row r="378" spans="2:9" ht="14.45" customHeight="1" x14ac:dyDescent="0.25">
      <c r="B378" s="44" t="s">
        <v>294</v>
      </c>
      <c r="C378" s="28">
        <v>366</v>
      </c>
      <c r="D378" s="45" t="s">
        <v>2010</v>
      </c>
      <c r="E378" s="45"/>
      <c r="F378" s="28" t="str">
        <f>IF(INDEX(I.Facility.IDNumber,366)="","",INDEX(I.Facility.IDNumber,366))</f>
        <v/>
      </c>
      <c r="G378" s="45"/>
      <c r="H378" s="28" t="str">
        <f>IF(AND(I.Facility.FacilityCount&gt;=366,F378=""),"Incomplete","Complete")</f>
        <v>Complete</v>
      </c>
      <c r="I378" s="46" t="s">
        <v>844</v>
      </c>
    </row>
    <row r="379" spans="2:9" ht="14.45" customHeight="1" x14ac:dyDescent="0.25">
      <c r="B379" s="44" t="s">
        <v>294</v>
      </c>
      <c r="C379" s="28">
        <v>367</v>
      </c>
      <c r="D379" s="45" t="s">
        <v>2010</v>
      </c>
      <c r="E379" s="45"/>
      <c r="F379" s="28" t="str">
        <f>IF(INDEX(I.Facility.IDNumber,367)="","",INDEX(I.Facility.IDNumber,367))</f>
        <v/>
      </c>
      <c r="G379" s="45"/>
      <c r="H379" s="28" t="str">
        <f>IF(AND(I.Facility.FacilityCount&gt;=367,F379=""),"Incomplete","Complete")</f>
        <v>Complete</v>
      </c>
      <c r="I379" s="46" t="s">
        <v>845</v>
      </c>
    </row>
    <row r="380" spans="2:9" ht="14.45" customHeight="1" x14ac:dyDescent="0.25">
      <c r="B380" s="44" t="s">
        <v>294</v>
      </c>
      <c r="C380" s="28">
        <v>368</v>
      </c>
      <c r="D380" s="45" t="s">
        <v>2010</v>
      </c>
      <c r="E380" s="45"/>
      <c r="F380" s="28" t="str">
        <f>IF(INDEX(I.Facility.IDNumber,368)="","",INDEX(I.Facility.IDNumber,368))</f>
        <v/>
      </c>
      <c r="G380" s="45"/>
      <c r="H380" s="28" t="str">
        <f>IF(AND(I.Facility.FacilityCount&gt;=368,F380=""),"Incomplete","Complete")</f>
        <v>Complete</v>
      </c>
      <c r="I380" s="46" t="s">
        <v>846</v>
      </c>
    </row>
    <row r="381" spans="2:9" ht="14.45" customHeight="1" x14ac:dyDescent="0.25">
      <c r="B381" s="44" t="s">
        <v>294</v>
      </c>
      <c r="C381" s="28">
        <v>369</v>
      </c>
      <c r="D381" s="45" t="s">
        <v>2010</v>
      </c>
      <c r="E381" s="45"/>
      <c r="F381" s="28" t="str">
        <f>IF(INDEX(I.Facility.IDNumber,369)="","",INDEX(I.Facility.IDNumber,369))</f>
        <v/>
      </c>
      <c r="G381" s="45"/>
      <c r="H381" s="28" t="str">
        <f>IF(AND(I.Facility.FacilityCount&gt;=369,F381=""),"Incomplete","Complete")</f>
        <v>Complete</v>
      </c>
      <c r="I381" s="46" t="s">
        <v>847</v>
      </c>
    </row>
    <row r="382" spans="2:9" ht="14.45" customHeight="1" x14ac:dyDescent="0.25">
      <c r="B382" s="44" t="s">
        <v>294</v>
      </c>
      <c r="C382" s="28">
        <v>370</v>
      </c>
      <c r="D382" s="45" t="s">
        <v>2010</v>
      </c>
      <c r="E382" s="45"/>
      <c r="F382" s="28" t="str">
        <f>IF(INDEX(I.Facility.IDNumber,370)="","",INDEX(I.Facility.IDNumber,370))</f>
        <v/>
      </c>
      <c r="G382" s="45"/>
      <c r="H382" s="28" t="str">
        <f>IF(AND(I.Facility.FacilityCount&gt;=370,F382=""),"Incomplete","Complete")</f>
        <v>Complete</v>
      </c>
      <c r="I382" s="46" t="s">
        <v>848</v>
      </c>
    </row>
    <row r="383" spans="2:9" ht="14.45" customHeight="1" x14ac:dyDescent="0.25">
      <c r="B383" s="44" t="s">
        <v>294</v>
      </c>
      <c r="C383" s="28">
        <v>371</v>
      </c>
      <c r="D383" s="45" t="s">
        <v>2010</v>
      </c>
      <c r="E383" s="45"/>
      <c r="F383" s="28" t="str">
        <f>IF(INDEX(I.Facility.IDNumber,371)="","",INDEX(I.Facility.IDNumber,371))</f>
        <v/>
      </c>
      <c r="G383" s="45"/>
      <c r="H383" s="28" t="str">
        <f>IF(AND(I.Facility.FacilityCount&gt;=371,F383=""),"Incomplete","Complete")</f>
        <v>Complete</v>
      </c>
      <c r="I383" s="46" t="s">
        <v>849</v>
      </c>
    </row>
    <row r="384" spans="2:9" ht="14.45" customHeight="1" x14ac:dyDescent="0.25">
      <c r="B384" s="44" t="s">
        <v>294</v>
      </c>
      <c r="C384" s="28">
        <v>372</v>
      </c>
      <c r="D384" s="45" t="s">
        <v>2010</v>
      </c>
      <c r="E384" s="45"/>
      <c r="F384" s="28" t="str">
        <f>IF(INDEX(I.Facility.IDNumber,372)="","",INDEX(I.Facility.IDNumber,372))</f>
        <v/>
      </c>
      <c r="G384" s="45"/>
      <c r="H384" s="28" t="str">
        <f>IF(AND(I.Facility.FacilityCount&gt;=372,F384=""),"Incomplete","Complete")</f>
        <v>Complete</v>
      </c>
      <c r="I384" s="46" t="s">
        <v>850</v>
      </c>
    </row>
    <row r="385" spans="2:9" ht="14.45" customHeight="1" x14ac:dyDescent="0.25">
      <c r="B385" s="44" t="s">
        <v>294</v>
      </c>
      <c r="C385" s="28">
        <v>373</v>
      </c>
      <c r="D385" s="45" t="s">
        <v>2010</v>
      </c>
      <c r="E385" s="45"/>
      <c r="F385" s="28" t="str">
        <f>IF(INDEX(I.Facility.IDNumber,373)="","",INDEX(I.Facility.IDNumber,373))</f>
        <v/>
      </c>
      <c r="G385" s="45"/>
      <c r="H385" s="28" t="str">
        <f>IF(AND(I.Facility.FacilityCount&gt;=373,F385=""),"Incomplete","Complete")</f>
        <v>Complete</v>
      </c>
      <c r="I385" s="46" t="s">
        <v>851</v>
      </c>
    </row>
    <row r="386" spans="2:9" ht="14.45" customHeight="1" x14ac:dyDescent="0.25">
      <c r="B386" s="44" t="s">
        <v>294</v>
      </c>
      <c r="C386" s="28">
        <v>374</v>
      </c>
      <c r="D386" s="45" t="s">
        <v>2010</v>
      </c>
      <c r="E386" s="45"/>
      <c r="F386" s="28" t="str">
        <f>IF(INDEX(I.Facility.IDNumber,374)="","",INDEX(I.Facility.IDNumber,374))</f>
        <v/>
      </c>
      <c r="G386" s="45"/>
      <c r="H386" s="28" t="str">
        <f>IF(AND(I.Facility.FacilityCount&gt;=374,F386=""),"Incomplete","Complete")</f>
        <v>Complete</v>
      </c>
      <c r="I386" s="46" t="s">
        <v>852</v>
      </c>
    </row>
    <row r="387" spans="2:9" ht="14.45" customHeight="1" x14ac:dyDescent="0.25">
      <c r="B387" s="44" t="s">
        <v>294</v>
      </c>
      <c r="C387" s="28">
        <v>375</v>
      </c>
      <c r="D387" s="45" t="s">
        <v>2010</v>
      </c>
      <c r="E387" s="45"/>
      <c r="F387" s="28" t="str">
        <f>IF(INDEX(I.Facility.IDNumber,375)="","",INDEX(I.Facility.IDNumber,375))</f>
        <v/>
      </c>
      <c r="G387" s="45"/>
      <c r="H387" s="28" t="str">
        <f>IF(AND(I.Facility.FacilityCount&gt;=375,F387=""),"Incomplete","Complete")</f>
        <v>Complete</v>
      </c>
      <c r="I387" s="46" t="s">
        <v>853</v>
      </c>
    </row>
    <row r="388" spans="2:9" ht="14.45" customHeight="1" x14ac:dyDescent="0.25">
      <c r="B388" s="44" t="s">
        <v>294</v>
      </c>
      <c r="C388" s="28">
        <v>376</v>
      </c>
      <c r="D388" s="45" t="s">
        <v>2010</v>
      </c>
      <c r="E388" s="45"/>
      <c r="F388" s="28" t="str">
        <f>IF(INDEX(I.Facility.IDNumber,376)="","",INDEX(I.Facility.IDNumber,376))</f>
        <v/>
      </c>
      <c r="G388" s="45"/>
      <c r="H388" s="28" t="str">
        <f>IF(AND(I.Facility.FacilityCount&gt;=376,F388=""),"Incomplete","Complete")</f>
        <v>Complete</v>
      </c>
      <c r="I388" s="46" t="s">
        <v>854</v>
      </c>
    </row>
    <row r="389" spans="2:9" ht="14.45" customHeight="1" x14ac:dyDescent="0.25">
      <c r="B389" s="44" t="s">
        <v>294</v>
      </c>
      <c r="C389" s="28">
        <v>377</v>
      </c>
      <c r="D389" s="45" t="s">
        <v>2010</v>
      </c>
      <c r="E389" s="45"/>
      <c r="F389" s="28" t="str">
        <f>IF(INDEX(I.Facility.IDNumber,377)="","",INDEX(I.Facility.IDNumber,377))</f>
        <v/>
      </c>
      <c r="G389" s="45"/>
      <c r="H389" s="28" t="str">
        <f>IF(AND(I.Facility.FacilityCount&gt;=377,F389=""),"Incomplete","Complete")</f>
        <v>Complete</v>
      </c>
      <c r="I389" s="46" t="s">
        <v>855</v>
      </c>
    </row>
    <row r="390" spans="2:9" ht="14.45" customHeight="1" x14ac:dyDescent="0.25">
      <c r="B390" s="44" t="s">
        <v>294</v>
      </c>
      <c r="C390" s="28">
        <v>378</v>
      </c>
      <c r="D390" s="45" t="s">
        <v>2010</v>
      </c>
      <c r="E390" s="45"/>
      <c r="F390" s="28" t="str">
        <f>IF(INDEX(I.Facility.IDNumber,378)="","",INDEX(I.Facility.IDNumber,378))</f>
        <v/>
      </c>
      <c r="G390" s="45"/>
      <c r="H390" s="28" t="str">
        <f>IF(AND(I.Facility.FacilityCount&gt;=378,F390=""),"Incomplete","Complete")</f>
        <v>Complete</v>
      </c>
      <c r="I390" s="46" t="s">
        <v>856</v>
      </c>
    </row>
    <row r="391" spans="2:9" ht="14.45" customHeight="1" x14ac:dyDescent="0.25">
      <c r="B391" s="44" t="s">
        <v>294</v>
      </c>
      <c r="C391" s="28">
        <v>379</v>
      </c>
      <c r="D391" s="45" t="s">
        <v>2010</v>
      </c>
      <c r="E391" s="45"/>
      <c r="F391" s="28" t="str">
        <f>IF(INDEX(I.Facility.IDNumber,379)="","",INDEX(I.Facility.IDNumber,379))</f>
        <v/>
      </c>
      <c r="G391" s="45"/>
      <c r="H391" s="28" t="str">
        <f>IF(AND(I.Facility.FacilityCount&gt;=379,F391=""),"Incomplete","Complete")</f>
        <v>Complete</v>
      </c>
      <c r="I391" s="46" t="s">
        <v>857</v>
      </c>
    </row>
    <row r="392" spans="2:9" ht="14.45" customHeight="1" x14ac:dyDescent="0.25">
      <c r="B392" s="44" t="s">
        <v>294</v>
      </c>
      <c r="C392" s="28">
        <v>380</v>
      </c>
      <c r="D392" s="45" t="s">
        <v>2010</v>
      </c>
      <c r="E392" s="45"/>
      <c r="F392" s="28" t="str">
        <f>IF(INDEX(I.Facility.IDNumber,380)="","",INDEX(I.Facility.IDNumber,380))</f>
        <v/>
      </c>
      <c r="G392" s="45"/>
      <c r="H392" s="28" t="str">
        <f>IF(AND(I.Facility.FacilityCount&gt;=380,F392=""),"Incomplete","Complete")</f>
        <v>Complete</v>
      </c>
      <c r="I392" s="46" t="s">
        <v>858</v>
      </c>
    </row>
    <row r="393" spans="2:9" ht="14.45" customHeight="1" x14ac:dyDescent="0.25">
      <c r="B393" s="44" t="s">
        <v>294</v>
      </c>
      <c r="C393" s="28">
        <v>381</v>
      </c>
      <c r="D393" s="45" t="s">
        <v>2010</v>
      </c>
      <c r="E393" s="45"/>
      <c r="F393" s="28" t="str">
        <f>IF(INDEX(I.Facility.IDNumber,381)="","",INDEX(I.Facility.IDNumber,381))</f>
        <v/>
      </c>
      <c r="G393" s="45"/>
      <c r="H393" s="28" t="str">
        <f>IF(AND(I.Facility.FacilityCount&gt;=381,F393=""),"Incomplete","Complete")</f>
        <v>Complete</v>
      </c>
      <c r="I393" s="46" t="s">
        <v>859</v>
      </c>
    </row>
    <row r="394" spans="2:9" ht="14.45" customHeight="1" x14ac:dyDescent="0.25">
      <c r="B394" s="44" t="s">
        <v>294</v>
      </c>
      <c r="C394" s="28">
        <v>382</v>
      </c>
      <c r="D394" s="45" t="s">
        <v>2010</v>
      </c>
      <c r="E394" s="45"/>
      <c r="F394" s="28" t="str">
        <f>IF(INDEX(I.Facility.IDNumber,382)="","",INDEX(I.Facility.IDNumber,382))</f>
        <v/>
      </c>
      <c r="G394" s="45"/>
      <c r="H394" s="28" t="str">
        <f>IF(AND(I.Facility.FacilityCount&gt;=382,F394=""),"Incomplete","Complete")</f>
        <v>Complete</v>
      </c>
      <c r="I394" s="46" t="s">
        <v>860</v>
      </c>
    </row>
    <row r="395" spans="2:9" ht="14.45" customHeight="1" x14ac:dyDescent="0.25">
      <c r="B395" s="44" t="s">
        <v>294</v>
      </c>
      <c r="C395" s="28">
        <v>383</v>
      </c>
      <c r="D395" s="45" t="s">
        <v>2010</v>
      </c>
      <c r="E395" s="45"/>
      <c r="F395" s="28" t="str">
        <f>IF(INDEX(I.Facility.IDNumber,383)="","",INDEX(I.Facility.IDNumber,383))</f>
        <v/>
      </c>
      <c r="G395" s="45"/>
      <c r="H395" s="28" t="str">
        <f>IF(AND(I.Facility.FacilityCount&gt;=383,F395=""),"Incomplete","Complete")</f>
        <v>Complete</v>
      </c>
      <c r="I395" s="46" t="s">
        <v>861</v>
      </c>
    </row>
    <row r="396" spans="2:9" ht="14.45" customHeight="1" x14ac:dyDescent="0.25">
      <c r="B396" s="44" t="s">
        <v>294</v>
      </c>
      <c r="C396" s="28">
        <v>384</v>
      </c>
      <c r="D396" s="45" t="s">
        <v>2010</v>
      </c>
      <c r="E396" s="45"/>
      <c r="F396" s="28" t="str">
        <f>IF(INDEX(I.Facility.IDNumber,384)="","",INDEX(I.Facility.IDNumber,384))</f>
        <v/>
      </c>
      <c r="G396" s="45"/>
      <c r="H396" s="28" t="str">
        <f>IF(AND(I.Facility.FacilityCount&gt;=384,F396=""),"Incomplete","Complete")</f>
        <v>Complete</v>
      </c>
      <c r="I396" s="46" t="s">
        <v>862</v>
      </c>
    </row>
    <row r="397" spans="2:9" ht="14.45" customHeight="1" x14ac:dyDescent="0.25">
      <c r="B397" s="44" t="s">
        <v>294</v>
      </c>
      <c r="C397" s="28">
        <v>385</v>
      </c>
      <c r="D397" s="45" t="s">
        <v>2010</v>
      </c>
      <c r="E397" s="45"/>
      <c r="F397" s="28" t="str">
        <f>IF(INDEX(I.Facility.IDNumber,385)="","",INDEX(I.Facility.IDNumber,385))</f>
        <v/>
      </c>
      <c r="G397" s="45"/>
      <c r="H397" s="28" t="str">
        <f>IF(AND(I.Facility.FacilityCount&gt;=385,F397=""),"Incomplete","Complete")</f>
        <v>Complete</v>
      </c>
      <c r="I397" s="46" t="s">
        <v>863</v>
      </c>
    </row>
    <row r="398" spans="2:9" ht="14.45" customHeight="1" x14ac:dyDescent="0.25">
      <c r="B398" s="44" t="s">
        <v>294</v>
      </c>
      <c r="C398" s="28">
        <v>386</v>
      </c>
      <c r="D398" s="45" t="s">
        <v>2010</v>
      </c>
      <c r="E398" s="45"/>
      <c r="F398" s="28" t="str">
        <f>IF(INDEX(I.Facility.IDNumber,386)="","",INDEX(I.Facility.IDNumber,386))</f>
        <v/>
      </c>
      <c r="G398" s="45"/>
      <c r="H398" s="28" t="str">
        <f>IF(AND(I.Facility.FacilityCount&gt;=386,F398=""),"Incomplete","Complete")</f>
        <v>Complete</v>
      </c>
      <c r="I398" s="46" t="s">
        <v>864</v>
      </c>
    </row>
    <row r="399" spans="2:9" ht="14.45" customHeight="1" x14ac:dyDescent="0.25">
      <c r="B399" s="44" t="s">
        <v>294</v>
      </c>
      <c r="C399" s="28">
        <v>387</v>
      </c>
      <c r="D399" s="45" t="s">
        <v>2010</v>
      </c>
      <c r="E399" s="45"/>
      <c r="F399" s="28" t="str">
        <f>IF(INDEX(I.Facility.IDNumber,387)="","",INDEX(I.Facility.IDNumber,387))</f>
        <v/>
      </c>
      <c r="G399" s="45"/>
      <c r="H399" s="28" t="str">
        <f>IF(AND(I.Facility.FacilityCount&gt;=387,F399=""),"Incomplete","Complete")</f>
        <v>Complete</v>
      </c>
      <c r="I399" s="46" t="s">
        <v>865</v>
      </c>
    </row>
    <row r="400" spans="2:9" ht="14.45" customHeight="1" x14ac:dyDescent="0.25">
      <c r="B400" s="44" t="s">
        <v>294</v>
      </c>
      <c r="C400" s="28">
        <v>388</v>
      </c>
      <c r="D400" s="45" t="s">
        <v>2010</v>
      </c>
      <c r="E400" s="45"/>
      <c r="F400" s="28" t="str">
        <f>IF(INDEX(I.Facility.IDNumber,388)="","",INDEX(I.Facility.IDNumber,388))</f>
        <v/>
      </c>
      <c r="G400" s="45"/>
      <c r="H400" s="28" t="str">
        <f>IF(AND(I.Facility.FacilityCount&gt;=388,F400=""),"Incomplete","Complete")</f>
        <v>Complete</v>
      </c>
      <c r="I400" s="46" t="s">
        <v>866</v>
      </c>
    </row>
    <row r="401" spans="2:9" ht="14.45" customHeight="1" x14ac:dyDescent="0.25">
      <c r="B401" s="44" t="s">
        <v>294</v>
      </c>
      <c r="C401" s="28">
        <v>389</v>
      </c>
      <c r="D401" s="45" t="s">
        <v>2010</v>
      </c>
      <c r="E401" s="45"/>
      <c r="F401" s="28" t="str">
        <f>IF(INDEX(I.Facility.IDNumber,389)="","",INDEX(I.Facility.IDNumber,389))</f>
        <v/>
      </c>
      <c r="G401" s="45"/>
      <c r="H401" s="28" t="str">
        <f>IF(AND(I.Facility.FacilityCount&gt;=389,F401=""),"Incomplete","Complete")</f>
        <v>Complete</v>
      </c>
      <c r="I401" s="46" t="s">
        <v>867</v>
      </c>
    </row>
    <row r="402" spans="2:9" ht="14.45" customHeight="1" x14ac:dyDescent="0.25">
      <c r="B402" s="44" t="s">
        <v>294</v>
      </c>
      <c r="C402" s="28">
        <v>390</v>
      </c>
      <c r="D402" s="45" t="s">
        <v>2010</v>
      </c>
      <c r="E402" s="45"/>
      <c r="F402" s="28" t="str">
        <f>IF(INDEX(I.Facility.IDNumber,390)="","",INDEX(I.Facility.IDNumber,390))</f>
        <v/>
      </c>
      <c r="G402" s="45"/>
      <c r="H402" s="28" t="str">
        <f>IF(AND(I.Facility.FacilityCount&gt;=390,F402=""),"Incomplete","Complete")</f>
        <v>Complete</v>
      </c>
      <c r="I402" s="46" t="s">
        <v>868</v>
      </c>
    </row>
    <row r="403" spans="2:9" ht="14.45" customHeight="1" x14ac:dyDescent="0.25">
      <c r="B403" s="44" t="s">
        <v>294</v>
      </c>
      <c r="C403" s="28">
        <v>391</v>
      </c>
      <c r="D403" s="45" t="s">
        <v>2010</v>
      </c>
      <c r="E403" s="45"/>
      <c r="F403" s="28" t="str">
        <f>IF(INDEX(I.Facility.IDNumber,391)="","",INDEX(I.Facility.IDNumber,391))</f>
        <v/>
      </c>
      <c r="G403" s="45"/>
      <c r="H403" s="28" t="str">
        <f>IF(AND(I.Facility.FacilityCount&gt;=391,F403=""),"Incomplete","Complete")</f>
        <v>Complete</v>
      </c>
      <c r="I403" s="46" t="s">
        <v>869</v>
      </c>
    </row>
    <row r="404" spans="2:9" ht="14.45" customHeight="1" x14ac:dyDescent="0.25">
      <c r="B404" s="44" t="s">
        <v>294</v>
      </c>
      <c r="C404" s="28">
        <v>392</v>
      </c>
      <c r="D404" s="45" t="s">
        <v>2010</v>
      </c>
      <c r="E404" s="45"/>
      <c r="F404" s="28" t="str">
        <f>IF(INDEX(I.Facility.IDNumber,392)="","",INDEX(I.Facility.IDNumber,392))</f>
        <v/>
      </c>
      <c r="G404" s="45"/>
      <c r="H404" s="28" t="str">
        <f>IF(AND(I.Facility.FacilityCount&gt;=392,F404=""),"Incomplete","Complete")</f>
        <v>Complete</v>
      </c>
      <c r="I404" s="46" t="s">
        <v>870</v>
      </c>
    </row>
    <row r="405" spans="2:9" ht="14.45" customHeight="1" x14ac:dyDescent="0.25">
      <c r="B405" s="44" t="s">
        <v>294</v>
      </c>
      <c r="C405" s="28">
        <v>393</v>
      </c>
      <c r="D405" s="45" t="s">
        <v>2010</v>
      </c>
      <c r="E405" s="45"/>
      <c r="F405" s="28" t="str">
        <f>IF(INDEX(I.Facility.IDNumber,393)="","",INDEX(I.Facility.IDNumber,393))</f>
        <v/>
      </c>
      <c r="G405" s="45"/>
      <c r="H405" s="28" t="str">
        <f>IF(AND(I.Facility.FacilityCount&gt;=393,F405=""),"Incomplete","Complete")</f>
        <v>Complete</v>
      </c>
      <c r="I405" s="46" t="s">
        <v>871</v>
      </c>
    </row>
    <row r="406" spans="2:9" ht="14.45" customHeight="1" x14ac:dyDescent="0.25">
      <c r="B406" s="44" t="s">
        <v>294</v>
      </c>
      <c r="C406" s="28">
        <v>394</v>
      </c>
      <c r="D406" s="45" t="s">
        <v>2010</v>
      </c>
      <c r="E406" s="45"/>
      <c r="F406" s="28" t="str">
        <f>IF(INDEX(I.Facility.IDNumber,394)="","",INDEX(I.Facility.IDNumber,394))</f>
        <v/>
      </c>
      <c r="G406" s="45"/>
      <c r="H406" s="28" t="str">
        <f>IF(AND(I.Facility.FacilityCount&gt;=394,F406=""),"Incomplete","Complete")</f>
        <v>Complete</v>
      </c>
      <c r="I406" s="46" t="s">
        <v>872</v>
      </c>
    </row>
    <row r="407" spans="2:9" ht="14.45" customHeight="1" x14ac:dyDescent="0.25">
      <c r="B407" s="44" t="s">
        <v>294</v>
      </c>
      <c r="C407" s="28">
        <v>395</v>
      </c>
      <c r="D407" s="45" t="s">
        <v>2010</v>
      </c>
      <c r="E407" s="45"/>
      <c r="F407" s="28" t="str">
        <f>IF(INDEX(I.Facility.IDNumber,395)="","",INDEX(I.Facility.IDNumber,395))</f>
        <v/>
      </c>
      <c r="G407" s="45"/>
      <c r="H407" s="28" t="str">
        <f>IF(AND(I.Facility.FacilityCount&gt;=395,F407=""),"Incomplete","Complete")</f>
        <v>Complete</v>
      </c>
      <c r="I407" s="46" t="s">
        <v>873</v>
      </c>
    </row>
    <row r="408" spans="2:9" ht="14.45" customHeight="1" x14ac:dyDescent="0.25">
      <c r="B408" s="44" t="s">
        <v>294</v>
      </c>
      <c r="C408" s="28">
        <v>396</v>
      </c>
      <c r="D408" s="45" t="s">
        <v>2010</v>
      </c>
      <c r="E408" s="45"/>
      <c r="F408" s="28" t="str">
        <f>IF(INDEX(I.Facility.IDNumber,396)="","",INDEX(I.Facility.IDNumber,396))</f>
        <v/>
      </c>
      <c r="G408" s="45"/>
      <c r="H408" s="28" t="str">
        <f>IF(AND(I.Facility.FacilityCount&gt;=396,F408=""),"Incomplete","Complete")</f>
        <v>Complete</v>
      </c>
      <c r="I408" s="46" t="s">
        <v>874</v>
      </c>
    </row>
    <row r="409" spans="2:9" ht="14.45" customHeight="1" x14ac:dyDescent="0.25">
      <c r="B409" s="44" t="s">
        <v>294</v>
      </c>
      <c r="C409" s="28">
        <v>397</v>
      </c>
      <c r="D409" s="45" t="s">
        <v>2010</v>
      </c>
      <c r="E409" s="45"/>
      <c r="F409" s="28" t="str">
        <f>IF(INDEX(I.Facility.IDNumber,397)="","",INDEX(I.Facility.IDNumber,397))</f>
        <v/>
      </c>
      <c r="G409" s="45"/>
      <c r="H409" s="28" t="str">
        <f>IF(AND(I.Facility.FacilityCount&gt;=397,F409=""),"Incomplete","Complete")</f>
        <v>Complete</v>
      </c>
      <c r="I409" s="46" t="s">
        <v>875</v>
      </c>
    </row>
    <row r="410" spans="2:9" ht="14.45" customHeight="1" x14ac:dyDescent="0.25">
      <c r="B410" s="44" t="s">
        <v>294</v>
      </c>
      <c r="C410" s="28">
        <v>398</v>
      </c>
      <c r="D410" s="45" t="s">
        <v>2010</v>
      </c>
      <c r="E410" s="45"/>
      <c r="F410" s="28" t="str">
        <f>IF(INDEX(I.Facility.IDNumber,398)="","",INDEX(I.Facility.IDNumber,398))</f>
        <v/>
      </c>
      <c r="G410" s="45"/>
      <c r="H410" s="28" t="str">
        <f>IF(AND(I.Facility.FacilityCount&gt;=398,F410=""),"Incomplete","Complete")</f>
        <v>Complete</v>
      </c>
      <c r="I410" s="46" t="s">
        <v>876</v>
      </c>
    </row>
    <row r="411" spans="2:9" ht="14.45" customHeight="1" x14ac:dyDescent="0.25">
      <c r="B411" s="44" t="s">
        <v>294</v>
      </c>
      <c r="C411" s="28">
        <v>399</v>
      </c>
      <c r="D411" s="45" t="s">
        <v>2010</v>
      </c>
      <c r="E411" s="45"/>
      <c r="F411" s="28" t="str">
        <f>IF(INDEX(I.Facility.IDNumber,399)="","",INDEX(I.Facility.IDNumber,399))</f>
        <v/>
      </c>
      <c r="G411" s="45"/>
      <c r="H411" s="28" t="str">
        <f>IF(AND(I.Facility.FacilityCount&gt;=399,F411=""),"Incomplete","Complete")</f>
        <v>Complete</v>
      </c>
      <c r="I411" s="46" t="s">
        <v>877</v>
      </c>
    </row>
    <row r="412" spans="2:9" ht="14.45" customHeight="1" x14ac:dyDescent="0.25">
      <c r="B412" s="44" t="s">
        <v>294</v>
      </c>
      <c r="C412" s="28">
        <v>400</v>
      </c>
      <c r="D412" s="45" t="s">
        <v>2010</v>
      </c>
      <c r="E412" s="45"/>
      <c r="F412" s="28" t="str">
        <f>IF(INDEX(I.Facility.IDNumber,400)="","",INDEX(I.Facility.IDNumber,400))</f>
        <v/>
      </c>
      <c r="G412" s="45"/>
      <c r="H412" s="28" t="str">
        <f>IF(AND(I.Facility.FacilityCount&gt;=400,F412=""),"Incomplete","Complete")</f>
        <v>Complete</v>
      </c>
      <c r="I412" s="46" t="s">
        <v>878</v>
      </c>
    </row>
    <row r="413" spans="2:9" ht="14.45" customHeight="1" x14ac:dyDescent="0.25">
      <c r="B413" s="44" t="s">
        <v>294</v>
      </c>
      <c r="C413" s="28">
        <v>401</v>
      </c>
      <c r="D413" s="45" t="s">
        <v>2010</v>
      </c>
      <c r="E413" s="45"/>
      <c r="F413" s="28" t="str">
        <f>IF(INDEX(I.Facility.IDNumber,401)="","",INDEX(I.Facility.IDNumber,401))</f>
        <v/>
      </c>
      <c r="G413" s="45"/>
      <c r="H413" s="28" t="str">
        <f>IF(AND(I.Facility.FacilityCount&gt;=401,F413=""),"Incomplete","Complete")</f>
        <v>Complete</v>
      </c>
      <c r="I413" s="46" t="s">
        <v>879</v>
      </c>
    </row>
    <row r="414" spans="2:9" ht="14.45" customHeight="1" x14ac:dyDescent="0.25">
      <c r="B414" s="44" t="s">
        <v>294</v>
      </c>
      <c r="C414" s="28">
        <v>402</v>
      </c>
      <c r="D414" s="45" t="s">
        <v>2010</v>
      </c>
      <c r="E414" s="45"/>
      <c r="F414" s="28" t="str">
        <f>IF(INDEX(I.Facility.IDNumber,402)="","",INDEX(I.Facility.IDNumber,402))</f>
        <v/>
      </c>
      <c r="G414" s="45"/>
      <c r="H414" s="28" t="str">
        <f>IF(AND(I.Facility.FacilityCount&gt;=402,F414=""),"Incomplete","Complete")</f>
        <v>Complete</v>
      </c>
      <c r="I414" s="46" t="s">
        <v>880</v>
      </c>
    </row>
    <row r="415" spans="2:9" ht="14.45" customHeight="1" x14ac:dyDescent="0.25">
      <c r="B415" s="44" t="s">
        <v>294</v>
      </c>
      <c r="C415" s="28">
        <v>403</v>
      </c>
      <c r="D415" s="45" t="s">
        <v>2010</v>
      </c>
      <c r="E415" s="45"/>
      <c r="F415" s="28" t="str">
        <f>IF(INDEX(I.Facility.IDNumber,403)="","",INDEX(I.Facility.IDNumber,403))</f>
        <v/>
      </c>
      <c r="G415" s="45"/>
      <c r="H415" s="28" t="str">
        <f>IF(AND(I.Facility.FacilityCount&gt;=403,F415=""),"Incomplete","Complete")</f>
        <v>Complete</v>
      </c>
      <c r="I415" s="46" t="s">
        <v>881</v>
      </c>
    </row>
    <row r="416" spans="2:9" ht="14.45" customHeight="1" x14ac:dyDescent="0.25">
      <c r="B416" s="44" t="s">
        <v>294</v>
      </c>
      <c r="C416" s="28">
        <v>404</v>
      </c>
      <c r="D416" s="45" t="s">
        <v>2010</v>
      </c>
      <c r="E416" s="45"/>
      <c r="F416" s="28" t="str">
        <f>IF(INDEX(I.Facility.IDNumber,404)="","",INDEX(I.Facility.IDNumber,404))</f>
        <v/>
      </c>
      <c r="G416" s="45"/>
      <c r="H416" s="28" t="str">
        <f>IF(AND(I.Facility.FacilityCount&gt;=404,F416=""),"Incomplete","Complete")</f>
        <v>Complete</v>
      </c>
      <c r="I416" s="46" t="s">
        <v>882</v>
      </c>
    </row>
    <row r="417" spans="2:9" ht="14.45" customHeight="1" x14ac:dyDescent="0.25">
      <c r="B417" s="44" t="s">
        <v>294</v>
      </c>
      <c r="C417" s="28">
        <v>405</v>
      </c>
      <c r="D417" s="45" t="s">
        <v>2010</v>
      </c>
      <c r="E417" s="45"/>
      <c r="F417" s="28" t="str">
        <f>IF(INDEX(I.Facility.IDNumber,405)="","",INDEX(I.Facility.IDNumber,405))</f>
        <v/>
      </c>
      <c r="G417" s="45"/>
      <c r="H417" s="28" t="str">
        <f>IF(AND(I.Facility.FacilityCount&gt;=405,F417=""),"Incomplete","Complete")</f>
        <v>Complete</v>
      </c>
      <c r="I417" s="46" t="s">
        <v>883</v>
      </c>
    </row>
    <row r="418" spans="2:9" ht="14.45" customHeight="1" x14ac:dyDescent="0.25">
      <c r="B418" s="44" t="s">
        <v>294</v>
      </c>
      <c r="C418" s="28">
        <v>406</v>
      </c>
      <c r="D418" s="45" t="s">
        <v>2010</v>
      </c>
      <c r="E418" s="45"/>
      <c r="F418" s="28" t="str">
        <f>IF(INDEX(I.Facility.IDNumber,406)="","",INDEX(I.Facility.IDNumber,406))</f>
        <v/>
      </c>
      <c r="G418" s="45"/>
      <c r="H418" s="28" t="str">
        <f>IF(AND(I.Facility.FacilityCount&gt;=406,F418=""),"Incomplete","Complete")</f>
        <v>Complete</v>
      </c>
      <c r="I418" s="46" t="s">
        <v>884</v>
      </c>
    </row>
    <row r="419" spans="2:9" ht="14.45" customHeight="1" x14ac:dyDescent="0.25">
      <c r="B419" s="44" t="s">
        <v>294</v>
      </c>
      <c r="C419" s="28">
        <v>407</v>
      </c>
      <c r="D419" s="45" t="s">
        <v>2010</v>
      </c>
      <c r="E419" s="45"/>
      <c r="F419" s="28" t="str">
        <f>IF(INDEX(I.Facility.IDNumber,407)="","",INDEX(I.Facility.IDNumber,407))</f>
        <v/>
      </c>
      <c r="G419" s="45"/>
      <c r="H419" s="28" t="str">
        <f>IF(AND(I.Facility.FacilityCount&gt;=407,F419=""),"Incomplete","Complete")</f>
        <v>Complete</v>
      </c>
      <c r="I419" s="46" t="s">
        <v>885</v>
      </c>
    </row>
    <row r="420" spans="2:9" ht="14.45" customHeight="1" x14ac:dyDescent="0.25">
      <c r="B420" s="44" t="s">
        <v>294</v>
      </c>
      <c r="C420" s="28">
        <v>408</v>
      </c>
      <c r="D420" s="45" t="s">
        <v>2010</v>
      </c>
      <c r="E420" s="45"/>
      <c r="F420" s="28" t="str">
        <f>IF(INDEX(I.Facility.IDNumber,408)="","",INDEX(I.Facility.IDNumber,408))</f>
        <v/>
      </c>
      <c r="G420" s="45"/>
      <c r="H420" s="28" t="str">
        <f>IF(AND(I.Facility.FacilityCount&gt;=408,F420=""),"Incomplete","Complete")</f>
        <v>Complete</v>
      </c>
      <c r="I420" s="46" t="s">
        <v>886</v>
      </c>
    </row>
    <row r="421" spans="2:9" ht="14.45" customHeight="1" x14ac:dyDescent="0.25">
      <c r="B421" s="44" t="s">
        <v>294</v>
      </c>
      <c r="C421" s="28">
        <v>409</v>
      </c>
      <c r="D421" s="45" t="s">
        <v>2010</v>
      </c>
      <c r="E421" s="45"/>
      <c r="F421" s="28" t="str">
        <f>IF(INDEX(I.Facility.IDNumber,409)="","",INDEX(I.Facility.IDNumber,409))</f>
        <v/>
      </c>
      <c r="G421" s="45"/>
      <c r="H421" s="28" t="str">
        <f>IF(AND(I.Facility.FacilityCount&gt;=409,F421=""),"Incomplete","Complete")</f>
        <v>Complete</v>
      </c>
      <c r="I421" s="46" t="s">
        <v>887</v>
      </c>
    </row>
    <row r="422" spans="2:9" ht="14.45" customHeight="1" x14ac:dyDescent="0.25">
      <c r="B422" s="44" t="s">
        <v>294</v>
      </c>
      <c r="C422" s="28">
        <v>410</v>
      </c>
      <c r="D422" s="45" t="s">
        <v>2010</v>
      </c>
      <c r="E422" s="45"/>
      <c r="F422" s="28" t="str">
        <f>IF(INDEX(I.Facility.IDNumber,410)="","",INDEX(I.Facility.IDNumber,410))</f>
        <v/>
      </c>
      <c r="G422" s="45"/>
      <c r="H422" s="28" t="str">
        <f>IF(AND(I.Facility.FacilityCount&gt;=410,F422=""),"Incomplete","Complete")</f>
        <v>Complete</v>
      </c>
      <c r="I422" s="46" t="s">
        <v>888</v>
      </c>
    </row>
    <row r="423" spans="2:9" ht="14.45" customHeight="1" x14ac:dyDescent="0.25">
      <c r="B423" s="44" t="s">
        <v>294</v>
      </c>
      <c r="C423" s="28">
        <v>411</v>
      </c>
      <c r="D423" s="45" t="s">
        <v>2010</v>
      </c>
      <c r="E423" s="45"/>
      <c r="F423" s="28" t="str">
        <f>IF(INDEX(I.Facility.IDNumber,411)="","",INDEX(I.Facility.IDNumber,411))</f>
        <v/>
      </c>
      <c r="G423" s="45"/>
      <c r="H423" s="28" t="str">
        <f>IF(AND(I.Facility.FacilityCount&gt;=411,F423=""),"Incomplete","Complete")</f>
        <v>Complete</v>
      </c>
      <c r="I423" s="46" t="s">
        <v>889</v>
      </c>
    </row>
    <row r="424" spans="2:9" ht="14.45" customHeight="1" x14ac:dyDescent="0.25">
      <c r="B424" s="44" t="s">
        <v>294</v>
      </c>
      <c r="C424" s="28">
        <v>412</v>
      </c>
      <c r="D424" s="45" t="s">
        <v>2010</v>
      </c>
      <c r="E424" s="45"/>
      <c r="F424" s="28" t="str">
        <f>IF(INDEX(I.Facility.IDNumber,412)="","",INDEX(I.Facility.IDNumber,412))</f>
        <v/>
      </c>
      <c r="G424" s="45"/>
      <c r="H424" s="28" t="str">
        <f>IF(AND(I.Facility.FacilityCount&gt;=412,F424=""),"Incomplete","Complete")</f>
        <v>Complete</v>
      </c>
      <c r="I424" s="46" t="s">
        <v>890</v>
      </c>
    </row>
    <row r="425" spans="2:9" ht="14.45" customHeight="1" x14ac:dyDescent="0.25">
      <c r="B425" s="44" t="s">
        <v>294</v>
      </c>
      <c r="C425" s="28">
        <v>413</v>
      </c>
      <c r="D425" s="45" t="s">
        <v>2010</v>
      </c>
      <c r="E425" s="45"/>
      <c r="F425" s="28" t="str">
        <f>IF(INDEX(I.Facility.IDNumber,413)="","",INDEX(I.Facility.IDNumber,413))</f>
        <v/>
      </c>
      <c r="G425" s="45"/>
      <c r="H425" s="28" t="str">
        <f>IF(AND(I.Facility.FacilityCount&gt;=413,F425=""),"Incomplete","Complete")</f>
        <v>Complete</v>
      </c>
      <c r="I425" s="46" t="s">
        <v>891</v>
      </c>
    </row>
    <row r="426" spans="2:9" ht="14.45" customHeight="1" x14ac:dyDescent="0.25">
      <c r="B426" s="44" t="s">
        <v>294</v>
      </c>
      <c r="C426" s="28">
        <v>414</v>
      </c>
      <c r="D426" s="45" t="s">
        <v>2010</v>
      </c>
      <c r="E426" s="45"/>
      <c r="F426" s="28" t="str">
        <f>IF(INDEX(I.Facility.IDNumber,414)="","",INDEX(I.Facility.IDNumber,414))</f>
        <v/>
      </c>
      <c r="G426" s="45"/>
      <c r="H426" s="28" t="str">
        <f>IF(AND(I.Facility.FacilityCount&gt;=414,F426=""),"Incomplete","Complete")</f>
        <v>Complete</v>
      </c>
      <c r="I426" s="46" t="s">
        <v>892</v>
      </c>
    </row>
    <row r="427" spans="2:9" ht="14.45" customHeight="1" x14ac:dyDescent="0.25">
      <c r="B427" s="44" t="s">
        <v>294</v>
      </c>
      <c r="C427" s="28">
        <v>415</v>
      </c>
      <c r="D427" s="45" t="s">
        <v>2010</v>
      </c>
      <c r="E427" s="45"/>
      <c r="F427" s="28" t="str">
        <f>IF(INDEX(I.Facility.IDNumber,415)="","",INDEX(I.Facility.IDNumber,415))</f>
        <v/>
      </c>
      <c r="G427" s="45"/>
      <c r="H427" s="28" t="str">
        <f>IF(AND(I.Facility.FacilityCount&gt;=415,F427=""),"Incomplete","Complete")</f>
        <v>Complete</v>
      </c>
      <c r="I427" s="46" t="s">
        <v>893</v>
      </c>
    </row>
    <row r="428" spans="2:9" ht="14.45" customHeight="1" x14ac:dyDescent="0.25">
      <c r="B428" s="44" t="s">
        <v>294</v>
      </c>
      <c r="C428" s="28">
        <v>416</v>
      </c>
      <c r="D428" s="45" t="s">
        <v>2010</v>
      </c>
      <c r="E428" s="45"/>
      <c r="F428" s="28" t="str">
        <f>IF(INDEX(I.Facility.IDNumber,416)="","",INDEX(I.Facility.IDNumber,416))</f>
        <v/>
      </c>
      <c r="G428" s="45"/>
      <c r="H428" s="28" t="str">
        <f>IF(AND(I.Facility.FacilityCount&gt;=416,F428=""),"Incomplete","Complete")</f>
        <v>Complete</v>
      </c>
      <c r="I428" s="46" t="s">
        <v>894</v>
      </c>
    </row>
    <row r="429" spans="2:9" ht="14.45" customHeight="1" x14ac:dyDescent="0.25">
      <c r="B429" s="44" t="s">
        <v>294</v>
      </c>
      <c r="C429" s="28">
        <v>417</v>
      </c>
      <c r="D429" s="45" t="s">
        <v>2010</v>
      </c>
      <c r="E429" s="45"/>
      <c r="F429" s="28" t="str">
        <f>IF(INDEX(I.Facility.IDNumber,417)="","",INDEX(I.Facility.IDNumber,417))</f>
        <v/>
      </c>
      <c r="G429" s="45"/>
      <c r="H429" s="28" t="str">
        <f>IF(AND(I.Facility.FacilityCount&gt;=417,F429=""),"Incomplete","Complete")</f>
        <v>Complete</v>
      </c>
      <c r="I429" s="46" t="s">
        <v>895</v>
      </c>
    </row>
    <row r="430" spans="2:9" ht="14.45" customHeight="1" x14ac:dyDescent="0.25">
      <c r="B430" s="44" t="s">
        <v>294</v>
      </c>
      <c r="C430" s="28">
        <v>418</v>
      </c>
      <c r="D430" s="45" t="s">
        <v>2010</v>
      </c>
      <c r="E430" s="45"/>
      <c r="F430" s="28" t="str">
        <f>IF(INDEX(I.Facility.IDNumber,418)="","",INDEX(I.Facility.IDNumber,418))</f>
        <v/>
      </c>
      <c r="G430" s="45"/>
      <c r="H430" s="28" t="str">
        <f>IF(AND(I.Facility.FacilityCount&gt;=418,F430=""),"Incomplete","Complete")</f>
        <v>Complete</v>
      </c>
      <c r="I430" s="46" t="s">
        <v>896</v>
      </c>
    </row>
    <row r="431" spans="2:9" ht="14.45" customHeight="1" x14ac:dyDescent="0.25">
      <c r="B431" s="44" t="s">
        <v>294</v>
      </c>
      <c r="C431" s="28">
        <v>419</v>
      </c>
      <c r="D431" s="45" t="s">
        <v>2010</v>
      </c>
      <c r="E431" s="45"/>
      <c r="F431" s="28" t="str">
        <f>IF(INDEX(I.Facility.IDNumber,419)="","",INDEX(I.Facility.IDNumber,419))</f>
        <v/>
      </c>
      <c r="G431" s="45"/>
      <c r="H431" s="28" t="str">
        <f>IF(AND(I.Facility.FacilityCount&gt;=419,F431=""),"Incomplete","Complete")</f>
        <v>Complete</v>
      </c>
      <c r="I431" s="46" t="s">
        <v>897</v>
      </c>
    </row>
    <row r="432" spans="2:9" ht="14.45" customHeight="1" x14ac:dyDescent="0.25">
      <c r="B432" s="44" t="s">
        <v>294</v>
      </c>
      <c r="C432" s="28">
        <v>420</v>
      </c>
      <c r="D432" s="45" t="s">
        <v>2010</v>
      </c>
      <c r="E432" s="45"/>
      <c r="F432" s="28" t="str">
        <f>IF(INDEX(I.Facility.IDNumber,420)="","",INDEX(I.Facility.IDNumber,420))</f>
        <v/>
      </c>
      <c r="G432" s="45"/>
      <c r="H432" s="28" t="str">
        <f>IF(AND(I.Facility.FacilityCount&gt;=420,F432=""),"Incomplete","Complete")</f>
        <v>Complete</v>
      </c>
      <c r="I432" s="46" t="s">
        <v>898</v>
      </c>
    </row>
    <row r="433" spans="2:9" ht="14.45" customHeight="1" x14ac:dyDescent="0.25">
      <c r="B433" s="44" t="s">
        <v>294</v>
      </c>
      <c r="C433" s="28">
        <v>421</v>
      </c>
      <c r="D433" s="45" t="s">
        <v>2010</v>
      </c>
      <c r="E433" s="45"/>
      <c r="F433" s="28" t="str">
        <f>IF(INDEX(I.Facility.IDNumber,421)="","",INDEX(I.Facility.IDNumber,421))</f>
        <v/>
      </c>
      <c r="G433" s="45"/>
      <c r="H433" s="28" t="str">
        <f>IF(AND(I.Facility.FacilityCount&gt;=421,F433=""),"Incomplete","Complete")</f>
        <v>Complete</v>
      </c>
      <c r="I433" s="46" t="s">
        <v>899</v>
      </c>
    </row>
    <row r="434" spans="2:9" ht="14.45" customHeight="1" x14ac:dyDescent="0.25">
      <c r="B434" s="44" t="s">
        <v>294</v>
      </c>
      <c r="C434" s="28">
        <v>422</v>
      </c>
      <c r="D434" s="45" t="s">
        <v>2010</v>
      </c>
      <c r="E434" s="45"/>
      <c r="F434" s="28" t="str">
        <f>IF(INDEX(I.Facility.IDNumber,422)="","",INDEX(I.Facility.IDNumber,422))</f>
        <v/>
      </c>
      <c r="G434" s="45"/>
      <c r="H434" s="28" t="str">
        <f>IF(AND(I.Facility.FacilityCount&gt;=422,F434=""),"Incomplete","Complete")</f>
        <v>Complete</v>
      </c>
      <c r="I434" s="46" t="s">
        <v>900</v>
      </c>
    </row>
    <row r="435" spans="2:9" ht="14.45" customHeight="1" x14ac:dyDescent="0.25">
      <c r="B435" s="44" t="s">
        <v>294</v>
      </c>
      <c r="C435" s="28">
        <v>423</v>
      </c>
      <c r="D435" s="45" t="s">
        <v>2010</v>
      </c>
      <c r="E435" s="45"/>
      <c r="F435" s="28" t="str">
        <f>IF(INDEX(I.Facility.IDNumber,423)="","",INDEX(I.Facility.IDNumber,423))</f>
        <v/>
      </c>
      <c r="G435" s="45"/>
      <c r="H435" s="28" t="str">
        <f>IF(AND(I.Facility.FacilityCount&gt;=423,F435=""),"Incomplete","Complete")</f>
        <v>Complete</v>
      </c>
      <c r="I435" s="46" t="s">
        <v>901</v>
      </c>
    </row>
    <row r="436" spans="2:9" ht="14.45" customHeight="1" x14ac:dyDescent="0.25">
      <c r="B436" s="44" t="s">
        <v>294</v>
      </c>
      <c r="C436" s="28">
        <v>424</v>
      </c>
      <c r="D436" s="45" t="s">
        <v>2010</v>
      </c>
      <c r="E436" s="45"/>
      <c r="F436" s="28" t="str">
        <f>IF(INDEX(I.Facility.IDNumber,424)="","",INDEX(I.Facility.IDNumber,424))</f>
        <v/>
      </c>
      <c r="G436" s="45"/>
      <c r="H436" s="28" t="str">
        <f>IF(AND(I.Facility.FacilityCount&gt;=424,F436=""),"Incomplete","Complete")</f>
        <v>Complete</v>
      </c>
      <c r="I436" s="46" t="s">
        <v>902</v>
      </c>
    </row>
    <row r="437" spans="2:9" ht="14.45" customHeight="1" x14ac:dyDescent="0.25">
      <c r="B437" s="44" t="s">
        <v>294</v>
      </c>
      <c r="C437" s="28">
        <v>425</v>
      </c>
      <c r="D437" s="45" t="s">
        <v>2010</v>
      </c>
      <c r="E437" s="45"/>
      <c r="F437" s="28" t="str">
        <f>IF(INDEX(I.Facility.IDNumber,425)="","",INDEX(I.Facility.IDNumber,425))</f>
        <v/>
      </c>
      <c r="G437" s="45"/>
      <c r="H437" s="28" t="str">
        <f>IF(AND(I.Facility.FacilityCount&gt;=425,F437=""),"Incomplete","Complete")</f>
        <v>Complete</v>
      </c>
      <c r="I437" s="46" t="s">
        <v>903</v>
      </c>
    </row>
    <row r="438" spans="2:9" ht="14.45" customHeight="1" x14ac:dyDescent="0.25">
      <c r="B438" s="44" t="s">
        <v>294</v>
      </c>
      <c r="C438" s="28">
        <v>426</v>
      </c>
      <c r="D438" s="45" t="s">
        <v>2010</v>
      </c>
      <c r="E438" s="45"/>
      <c r="F438" s="28" t="str">
        <f>IF(INDEX(I.Facility.IDNumber,426)="","",INDEX(I.Facility.IDNumber,426))</f>
        <v/>
      </c>
      <c r="G438" s="45"/>
      <c r="H438" s="28" t="str">
        <f>IF(AND(I.Facility.FacilityCount&gt;=426,F438=""),"Incomplete","Complete")</f>
        <v>Complete</v>
      </c>
      <c r="I438" s="46" t="s">
        <v>904</v>
      </c>
    </row>
    <row r="439" spans="2:9" ht="14.45" customHeight="1" x14ac:dyDescent="0.25">
      <c r="B439" s="44" t="s">
        <v>294</v>
      </c>
      <c r="C439" s="28">
        <v>427</v>
      </c>
      <c r="D439" s="45" t="s">
        <v>2010</v>
      </c>
      <c r="E439" s="45"/>
      <c r="F439" s="28" t="str">
        <f>IF(INDEX(I.Facility.IDNumber,427)="","",INDEX(I.Facility.IDNumber,427))</f>
        <v/>
      </c>
      <c r="G439" s="45"/>
      <c r="H439" s="28" t="str">
        <f>IF(AND(I.Facility.FacilityCount&gt;=427,F439=""),"Incomplete","Complete")</f>
        <v>Complete</v>
      </c>
      <c r="I439" s="46" t="s">
        <v>905</v>
      </c>
    </row>
    <row r="440" spans="2:9" ht="14.45" customHeight="1" x14ac:dyDescent="0.25">
      <c r="B440" s="44" t="s">
        <v>294</v>
      </c>
      <c r="C440" s="28">
        <v>428</v>
      </c>
      <c r="D440" s="45" t="s">
        <v>2010</v>
      </c>
      <c r="E440" s="45"/>
      <c r="F440" s="28" t="str">
        <f>IF(INDEX(I.Facility.IDNumber,428)="","",INDEX(I.Facility.IDNumber,428))</f>
        <v/>
      </c>
      <c r="G440" s="45"/>
      <c r="H440" s="28" t="str">
        <f>IF(AND(I.Facility.FacilityCount&gt;=428,F440=""),"Incomplete","Complete")</f>
        <v>Complete</v>
      </c>
      <c r="I440" s="46" t="s">
        <v>906</v>
      </c>
    </row>
    <row r="441" spans="2:9" ht="14.45" customHeight="1" x14ac:dyDescent="0.25">
      <c r="B441" s="44" t="s">
        <v>294</v>
      </c>
      <c r="C441" s="28">
        <v>429</v>
      </c>
      <c r="D441" s="45" t="s">
        <v>2010</v>
      </c>
      <c r="E441" s="45"/>
      <c r="F441" s="28" t="str">
        <f>IF(INDEX(I.Facility.IDNumber,429)="","",INDEX(I.Facility.IDNumber,429))</f>
        <v/>
      </c>
      <c r="G441" s="45"/>
      <c r="H441" s="28" t="str">
        <f>IF(AND(I.Facility.FacilityCount&gt;=429,F441=""),"Incomplete","Complete")</f>
        <v>Complete</v>
      </c>
      <c r="I441" s="46" t="s">
        <v>907</v>
      </c>
    </row>
    <row r="442" spans="2:9" ht="14.45" customHeight="1" x14ac:dyDescent="0.25">
      <c r="B442" s="44" t="s">
        <v>294</v>
      </c>
      <c r="C442" s="28">
        <v>430</v>
      </c>
      <c r="D442" s="45" t="s">
        <v>2010</v>
      </c>
      <c r="E442" s="45"/>
      <c r="F442" s="28" t="str">
        <f>IF(INDEX(I.Facility.IDNumber,430)="","",INDEX(I.Facility.IDNumber,430))</f>
        <v/>
      </c>
      <c r="G442" s="45"/>
      <c r="H442" s="28" t="str">
        <f>IF(AND(I.Facility.FacilityCount&gt;=430,F442=""),"Incomplete","Complete")</f>
        <v>Complete</v>
      </c>
      <c r="I442" s="46" t="s">
        <v>908</v>
      </c>
    </row>
    <row r="443" spans="2:9" ht="14.45" customHeight="1" x14ac:dyDescent="0.25">
      <c r="B443" s="44" t="s">
        <v>294</v>
      </c>
      <c r="C443" s="28">
        <v>431</v>
      </c>
      <c r="D443" s="45" t="s">
        <v>2010</v>
      </c>
      <c r="E443" s="45"/>
      <c r="F443" s="28" t="str">
        <f>IF(INDEX(I.Facility.IDNumber,431)="","",INDEX(I.Facility.IDNumber,431))</f>
        <v/>
      </c>
      <c r="G443" s="45"/>
      <c r="H443" s="28" t="str">
        <f>IF(AND(I.Facility.FacilityCount&gt;=431,F443=""),"Incomplete","Complete")</f>
        <v>Complete</v>
      </c>
      <c r="I443" s="46" t="s">
        <v>909</v>
      </c>
    </row>
    <row r="444" spans="2:9" ht="14.45" customHeight="1" x14ac:dyDescent="0.25">
      <c r="B444" s="44" t="s">
        <v>294</v>
      </c>
      <c r="C444" s="28">
        <v>432</v>
      </c>
      <c r="D444" s="45" t="s">
        <v>2010</v>
      </c>
      <c r="E444" s="45"/>
      <c r="F444" s="28" t="str">
        <f>IF(INDEX(I.Facility.IDNumber,432)="","",INDEX(I.Facility.IDNumber,432))</f>
        <v/>
      </c>
      <c r="G444" s="45"/>
      <c r="H444" s="28" t="str">
        <f>IF(AND(I.Facility.FacilityCount&gt;=432,F444=""),"Incomplete","Complete")</f>
        <v>Complete</v>
      </c>
      <c r="I444" s="46" t="s">
        <v>910</v>
      </c>
    </row>
    <row r="445" spans="2:9" ht="14.45" customHeight="1" x14ac:dyDescent="0.25">
      <c r="B445" s="44" t="s">
        <v>294</v>
      </c>
      <c r="C445" s="28">
        <v>433</v>
      </c>
      <c r="D445" s="45" t="s">
        <v>2010</v>
      </c>
      <c r="E445" s="45"/>
      <c r="F445" s="28" t="str">
        <f>IF(INDEX(I.Facility.IDNumber,433)="","",INDEX(I.Facility.IDNumber,433))</f>
        <v/>
      </c>
      <c r="G445" s="45"/>
      <c r="H445" s="28" t="str">
        <f>IF(AND(I.Facility.FacilityCount&gt;=433,F445=""),"Incomplete","Complete")</f>
        <v>Complete</v>
      </c>
      <c r="I445" s="46" t="s">
        <v>911</v>
      </c>
    </row>
    <row r="446" spans="2:9" ht="14.45" customHeight="1" x14ac:dyDescent="0.25">
      <c r="B446" s="44" t="s">
        <v>294</v>
      </c>
      <c r="C446" s="28">
        <v>434</v>
      </c>
      <c r="D446" s="45" t="s">
        <v>2010</v>
      </c>
      <c r="E446" s="45"/>
      <c r="F446" s="28" t="str">
        <f>IF(INDEX(I.Facility.IDNumber,434)="","",INDEX(I.Facility.IDNumber,434))</f>
        <v/>
      </c>
      <c r="G446" s="45"/>
      <c r="H446" s="28" t="str">
        <f>IF(AND(I.Facility.FacilityCount&gt;=434,F446=""),"Incomplete","Complete")</f>
        <v>Complete</v>
      </c>
      <c r="I446" s="46" t="s">
        <v>912</v>
      </c>
    </row>
    <row r="447" spans="2:9" ht="14.45" customHeight="1" x14ac:dyDescent="0.25">
      <c r="B447" s="44" t="s">
        <v>294</v>
      </c>
      <c r="C447" s="28">
        <v>435</v>
      </c>
      <c r="D447" s="45" t="s">
        <v>2010</v>
      </c>
      <c r="E447" s="45"/>
      <c r="F447" s="28" t="str">
        <f>IF(INDEX(I.Facility.IDNumber,435)="","",INDEX(I.Facility.IDNumber,435))</f>
        <v/>
      </c>
      <c r="G447" s="45"/>
      <c r="H447" s="28" t="str">
        <f>IF(AND(I.Facility.FacilityCount&gt;=435,F447=""),"Incomplete","Complete")</f>
        <v>Complete</v>
      </c>
      <c r="I447" s="46" t="s">
        <v>913</v>
      </c>
    </row>
    <row r="448" spans="2:9" ht="14.45" customHeight="1" x14ac:dyDescent="0.25">
      <c r="B448" s="44" t="s">
        <v>294</v>
      </c>
      <c r="C448" s="28">
        <v>436</v>
      </c>
      <c r="D448" s="45" t="s">
        <v>2010</v>
      </c>
      <c r="E448" s="45"/>
      <c r="F448" s="28" t="str">
        <f>IF(INDEX(I.Facility.IDNumber,436)="","",INDEX(I.Facility.IDNumber,436))</f>
        <v/>
      </c>
      <c r="G448" s="45"/>
      <c r="H448" s="28" t="str">
        <f>IF(AND(I.Facility.FacilityCount&gt;=436,F448=""),"Incomplete","Complete")</f>
        <v>Complete</v>
      </c>
      <c r="I448" s="46" t="s">
        <v>914</v>
      </c>
    </row>
    <row r="449" spans="2:9" ht="14.45" customHeight="1" x14ac:dyDescent="0.25">
      <c r="B449" s="44" t="s">
        <v>294</v>
      </c>
      <c r="C449" s="28">
        <v>437</v>
      </c>
      <c r="D449" s="45" t="s">
        <v>2010</v>
      </c>
      <c r="E449" s="45"/>
      <c r="F449" s="28" t="str">
        <f>IF(INDEX(I.Facility.IDNumber,437)="","",INDEX(I.Facility.IDNumber,437))</f>
        <v/>
      </c>
      <c r="G449" s="45"/>
      <c r="H449" s="28" t="str">
        <f>IF(AND(I.Facility.FacilityCount&gt;=437,F449=""),"Incomplete","Complete")</f>
        <v>Complete</v>
      </c>
      <c r="I449" s="46" t="s">
        <v>915</v>
      </c>
    </row>
    <row r="450" spans="2:9" ht="14.45" customHeight="1" x14ac:dyDescent="0.25">
      <c r="B450" s="44" t="s">
        <v>294</v>
      </c>
      <c r="C450" s="28">
        <v>438</v>
      </c>
      <c r="D450" s="45" t="s">
        <v>2010</v>
      </c>
      <c r="E450" s="45"/>
      <c r="F450" s="28" t="str">
        <f>IF(INDEX(I.Facility.IDNumber,438)="","",INDEX(I.Facility.IDNumber,438))</f>
        <v/>
      </c>
      <c r="G450" s="45"/>
      <c r="H450" s="28" t="str">
        <f>IF(AND(I.Facility.FacilityCount&gt;=438,F450=""),"Incomplete","Complete")</f>
        <v>Complete</v>
      </c>
      <c r="I450" s="46" t="s">
        <v>916</v>
      </c>
    </row>
    <row r="451" spans="2:9" ht="14.45" customHeight="1" x14ac:dyDescent="0.25">
      <c r="B451" s="44" t="s">
        <v>294</v>
      </c>
      <c r="C451" s="28">
        <v>439</v>
      </c>
      <c r="D451" s="45" t="s">
        <v>2010</v>
      </c>
      <c r="E451" s="45"/>
      <c r="F451" s="28" t="str">
        <f>IF(INDEX(I.Facility.IDNumber,439)="","",INDEX(I.Facility.IDNumber,439))</f>
        <v/>
      </c>
      <c r="G451" s="45"/>
      <c r="H451" s="28" t="str">
        <f>IF(AND(I.Facility.FacilityCount&gt;=439,F451=""),"Incomplete","Complete")</f>
        <v>Complete</v>
      </c>
      <c r="I451" s="46" t="s">
        <v>917</v>
      </c>
    </row>
    <row r="452" spans="2:9" ht="14.45" customHeight="1" x14ac:dyDescent="0.25">
      <c r="B452" s="44" t="s">
        <v>294</v>
      </c>
      <c r="C452" s="28">
        <v>440</v>
      </c>
      <c r="D452" s="45" t="s">
        <v>2010</v>
      </c>
      <c r="E452" s="45"/>
      <c r="F452" s="28" t="str">
        <f>IF(INDEX(I.Facility.IDNumber,440)="","",INDEX(I.Facility.IDNumber,440))</f>
        <v/>
      </c>
      <c r="G452" s="45"/>
      <c r="H452" s="28" t="str">
        <f>IF(AND(I.Facility.FacilityCount&gt;=440,F452=""),"Incomplete","Complete")</f>
        <v>Complete</v>
      </c>
      <c r="I452" s="46" t="s">
        <v>918</v>
      </c>
    </row>
    <row r="453" spans="2:9" ht="14.45" customHeight="1" x14ac:dyDescent="0.25">
      <c r="B453" s="44" t="s">
        <v>294</v>
      </c>
      <c r="C453" s="28">
        <v>441</v>
      </c>
      <c r="D453" s="45" t="s">
        <v>2010</v>
      </c>
      <c r="E453" s="45"/>
      <c r="F453" s="28" t="str">
        <f>IF(INDEX(I.Facility.IDNumber,441)="","",INDEX(I.Facility.IDNumber,441))</f>
        <v/>
      </c>
      <c r="G453" s="45"/>
      <c r="H453" s="28" t="str">
        <f>IF(AND(I.Facility.FacilityCount&gt;=441,F453=""),"Incomplete","Complete")</f>
        <v>Complete</v>
      </c>
      <c r="I453" s="46" t="s">
        <v>919</v>
      </c>
    </row>
    <row r="454" spans="2:9" ht="14.45" customHeight="1" x14ac:dyDescent="0.25">
      <c r="B454" s="44" t="s">
        <v>294</v>
      </c>
      <c r="C454" s="28">
        <v>442</v>
      </c>
      <c r="D454" s="45" t="s">
        <v>2010</v>
      </c>
      <c r="E454" s="45"/>
      <c r="F454" s="28" t="str">
        <f>IF(INDEX(I.Facility.IDNumber,442)="","",INDEX(I.Facility.IDNumber,442))</f>
        <v/>
      </c>
      <c r="G454" s="45"/>
      <c r="H454" s="28" t="str">
        <f>IF(AND(I.Facility.FacilityCount&gt;=442,F454=""),"Incomplete","Complete")</f>
        <v>Complete</v>
      </c>
      <c r="I454" s="46" t="s">
        <v>920</v>
      </c>
    </row>
    <row r="455" spans="2:9" ht="14.45" customHeight="1" x14ac:dyDescent="0.25">
      <c r="B455" s="44" t="s">
        <v>294</v>
      </c>
      <c r="C455" s="28">
        <v>443</v>
      </c>
      <c r="D455" s="45" t="s">
        <v>2010</v>
      </c>
      <c r="E455" s="45"/>
      <c r="F455" s="28" t="str">
        <f>IF(INDEX(I.Facility.IDNumber,443)="","",INDEX(I.Facility.IDNumber,443))</f>
        <v/>
      </c>
      <c r="G455" s="45"/>
      <c r="H455" s="28" t="str">
        <f>IF(AND(I.Facility.FacilityCount&gt;=443,F455=""),"Incomplete","Complete")</f>
        <v>Complete</v>
      </c>
      <c r="I455" s="46" t="s">
        <v>921</v>
      </c>
    </row>
    <row r="456" spans="2:9" ht="14.45" customHeight="1" x14ac:dyDescent="0.25">
      <c r="B456" s="44" t="s">
        <v>294</v>
      </c>
      <c r="C456" s="28">
        <v>444</v>
      </c>
      <c r="D456" s="45" t="s">
        <v>2010</v>
      </c>
      <c r="E456" s="45"/>
      <c r="F456" s="28" t="str">
        <f>IF(INDEX(I.Facility.IDNumber,444)="","",INDEX(I.Facility.IDNumber,444))</f>
        <v/>
      </c>
      <c r="G456" s="45"/>
      <c r="H456" s="28" t="str">
        <f>IF(AND(I.Facility.FacilityCount&gt;=444,F456=""),"Incomplete","Complete")</f>
        <v>Complete</v>
      </c>
      <c r="I456" s="46" t="s">
        <v>922</v>
      </c>
    </row>
    <row r="457" spans="2:9" ht="14.45" customHeight="1" x14ac:dyDescent="0.25">
      <c r="B457" s="44" t="s">
        <v>294</v>
      </c>
      <c r="C457" s="28">
        <v>445</v>
      </c>
      <c r="D457" s="45" t="s">
        <v>2010</v>
      </c>
      <c r="E457" s="45"/>
      <c r="F457" s="28" t="str">
        <f>IF(INDEX(I.Facility.IDNumber,445)="","",INDEX(I.Facility.IDNumber,445))</f>
        <v/>
      </c>
      <c r="G457" s="45"/>
      <c r="H457" s="28" t="str">
        <f>IF(AND(I.Facility.FacilityCount&gt;=445,F457=""),"Incomplete","Complete")</f>
        <v>Complete</v>
      </c>
      <c r="I457" s="46" t="s">
        <v>923</v>
      </c>
    </row>
    <row r="458" spans="2:9" ht="14.45" customHeight="1" x14ac:dyDescent="0.25">
      <c r="B458" s="44" t="s">
        <v>294</v>
      </c>
      <c r="C458" s="28">
        <v>446</v>
      </c>
      <c r="D458" s="45" t="s">
        <v>2010</v>
      </c>
      <c r="E458" s="45"/>
      <c r="F458" s="28" t="str">
        <f>IF(INDEX(I.Facility.IDNumber,446)="","",INDEX(I.Facility.IDNumber,446))</f>
        <v/>
      </c>
      <c r="G458" s="45"/>
      <c r="H458" s="28" t="str">
        <f>IF(AND(I.Facility.FacilityCount&gt;=446,F458=""),"Incomplete","Complete")</f>
        <v>Complete</v>
      </c>
      <c r="I458" s="46" t="s">
        <v>924</v>
      </c>
    </row>
    <row r="459" spans="2:9" ht="14.45" customHeight="1" x14ac:dyDescent="0.25">
      <c r="B459" s="44" t="s">
        <v>294</v>
      </c>
      <c r="C459" s="28">
        <v>447</v>
      </c>
      <c r="D459" s="45" t="s">
        <v>2010</v>
      </c>
      <c r="E459" s="45"/>
      <c r="F459" s="28" t="str">
        <f>IF(INDEX(I.Facility.IDNumber,447)="","",INDEX(I.Facility.IDNumber,447))</f>
        <v/>
      </c>
      <c r="G459" s="45"/>
      <c r="H459" s="28" t="str">
        <f>IF(AND(I.Facility.FacilityCount&gt;=447,F459=""),"Incomplete","Complete")</f>
        <v>Complete</v>
      </c>
      <c r="I459" s="46" t="s">
        <v>925</v>
      </c>
    </row>
    <row r="460" spans="2:9" ht="14.45" customHeight="1" x14ac:dyDescent="0.25">
      <c r="B460" s="44" t="s">
        <v>294</v>
      </c>
      <c r="C460" s="28">
        <v>448</v>
      </c>
      <c r="D460" s="45" t="s">
        <v>2010</v>
      </c>
      <c r="E460" s="45"/>
      <c r="F460" s="28" t="str">
        <f>IF(INDEX(I.Facility.IDNumber,448)="","",INDEX(I.Facility.IDNumber,448))</f>
        <v/>
      </c>
      <c r="G460" s="45"/>
      <c r="H460" s="28" t="str">
        <f>IF(AND(I.Facility.FacilityCount&gt;=448,F460=""),"Incomplete","Complete")</f>
        <v>Complete</v>
      </c>
      <c r="I460" s="46" t="s">
        <v>926</v>
      </c>
    </row>
    <row r="461" spans="2:9" ht="14.45" customHeight="1" x14ac:dyDescent="0.25">
      <c r="B461" s="44" t="s">
        <v>294</v>
      </c>
      <c r="C461" s="28">
        <v>449</v>
      </c>
      <c r="D461" s="45" t="s">
        <v>2010</v>
      </c>
      <c r="E461" s="45"/>
      <c r="F461" s="28" t="str">
        <f>IF(INDEX(I.Facility.IDNumber,449)="","",INDEX(I.Facility.IDNumber,449))</f>
        <v/>
      </c>
      <c r="G461" s="45"/>
      <c r="H461" s="28" t="str">
        <f>IF(AND(I.Facility.FacilityCount&gt;=449,F461=""),"Incomplete","Complete")</f>
        <v>Complete</v>
      </c>
      <c r="I461" s="46" t="s">
        <v>927</v>
      </c>
    </row>
    <row r="462" spans="2:9" ht="14.45" customHeight="1" x14ac:dyDescent="0.25">
      <c r="B462" s="44" t="s">
        <v>294</v>
      </c>
      <c r="C462" s="28">
        <v>450</v>
      </c>
      <c r="D462" s="45" t="s">
        <v>2010</v>
      </c>
      <c r="E462" s="45"/>
      <c r="F462" s="28" t="str">
        <f>IF(INDEX(I.Facility.IDNumber,450)="","",INDEX(I.Facility.IDNumber,450))</f>
        <v/>
      </c>
      <c r="G462" s="45"/>
      <c r="H462" s="28" t="str">
        <f>IF(AND(I.Facility.FacilityCount&gt;=450,F462=""),"Incomplete","Complete")</f>
        <v>Complete</v>
      </c>
      <c r="I462" s="46" t="s">
        <v>928</v>
      </c>
    </row>
    <row r="463" spans="2:9" ht="14.45" customHeight="1" x14ac:dyDescent="0.25">
      <c r="B463" s="44" t="s">
        <v>294</v>
      </c>
      <c r="C463" s="28">
        <v>451</v>
      </c>
      <c r="D463" s="45" t="s">
        <v>2010</v>
      </c>
      <c r="E463" s="45"/>
      <c r="F463" s="28" t="str">
        <f>IF(INDEX(I.Facility.IDNumber,451)="","",INDEX(I.Facility.IDNumber,451))</f>
        <v/>
      </c>
      <c r="G463" s="45"/>
      <c r="H463" s="28" t="str">
        <f>IF(AND(I.Facility.FacilityCount&gt;=451,F463=""),"Incomplete","Complete")</f>
        <v>Complete</v>
      </c>
      <c r="I463" s="46" t="s">
        <v>929</v>
      </c>
    </row>
    <row r="464" spans="2:9" ht="14.45" customHeight="1" x14ac:dyDescent="0.25">
      <c r="B464" s="44" t="s">
        <v>294</v>
      </c>
      <c r="C464" s="28">
        <v>452</v>
      </c>
      <c r="D464" s="45" t="s">
        <v>2010</v>
      </c>
      <c r="E464" s="45"/>
      <c r="F464" s="28" t="str">
        <f>IF(INDEX(I.Facility.IDNumber,452)="","",INDEX(I.Facility.IDNumber,452))</f>
        <v/>
      </c>
      <c r="G464" s="45"/>
      <c r="H464" s="28" t="str">
        <f>IF(AND(I.Facility.FacilityCount&gt;=452,F464=""),"Incomplete","Complete")</f>
        <v>Complete</v>
      </c>
      <c r="I464" s="46" t="s">
        <v>930</v>
      </c>
    </row>
    <row r="465" spans="2:9" ht="14.45" customHeight="1" x14ac:dyDescent="0.25">
      <c r="B465" s="44" t="s">
        <v>294</v>
      </c>
      <c r="C465" s="28">
        <v>453</v>
      </c>
      <c r="D465" s="45" t="s">
        <v>2010</v>
      </c>
      <c r="E465" s="45"/>
      <c r="F465" s="28" t="str">
        <f>IF(INDEX(I.Facility.IDNumber,453)="","",INDEX(I.Facility.IDNumber,453))</f>
        <v/>
      </c>
      <c r="G465" s="45"/>
      <c r="H465" s="28" t="str">
        <f>IF(AND(I.Facility.FacilityCount&gt;=453,F465=""),"Incomplete","Complete")</f>
        <v>Complete</v>
      </c>
      <c r="I465" s="46" t="s">
        <v>931</v>
      </c>
    </row>
    <row r="466" spans="2:9" ht="14.45" customHeight="1" x14ac:dyDescent="0.25">
      <c r="B466" s="44" t="s">
        <v>294</v>
      </c>
      <c r="C466" s="28">
        <v>454</v>
      </c>
      <c r="D466" s="45" t="s">
        <v>2010</v>
      </c>
      <c r="E466" s="45"/>
      <c r="F466" s="28" t="str">
        <f>IF(INDEX(I.Facility.IDNumber,454)="","",INDEX(I.Facility.IDNumber,454))</f>
        <v/>
      </c>
      <c r="G466" s="45"/>
      <c r="H466" s="28" t="str">
        <f>IF(AND(I.Facility.FacilityCount&gt;=454,F466=""),"Incomplete","Complete")</f>
        <v>Complete</v>
      </c>
      <c r="I466" s="46" t="s">
        <v>932</v>
      </c>
    </row>
    <row r="467" spans="2:9" ht="14.45" customHeight="1" x14ac:dyDescent="0.25">
      <c r="B467" s="44" t="s">
        <v>294</v>
      </c>
      <c r="C467" s="28">
        <v>455</v>
      </c>
      <c r="D467" s="45" t="s">
        <v>2010</v>
      </c>
      <c r="E467" s="45"/>
      <c r="F467" s="28" t="str">
        <f>IF(INDEX(I.Facility.IDNumber,455)="","",INDEX(I.Facility.IDNumber,455))</f>
        <v/>
      </c>
      <c r="G467" s="45"/>
      <c r="H467" s="28" t="str">
        <f>IF(AND(I.Facility.FacilityCount&gt;=455,F467=""),"Incomplete","Complete")</f>
        <v>Complete</v>
      </c>
      <c r="I467" s="46" t="s">
        <v>933</v>
      </c>
    </row>
    <row r="468" spans="2:9" ht="14.45" customHeight="1" x14ac:dyDescent="0.25">
      <c r="B468" s="44" t="s">
        <v>294</v>
      </c>
      <c r="C468" s="28">
        <v>456</v>
      </c>
      <c r="D468" s="45" t="s">
        <v>2010</v>
      </c>
      <c r="E468" s="45"/>
      <c r="F468" s="28" t="str">
        <f>IF(INDEX(I.Facility.IDNumber,456)="","",INDEX(I.Facility.IDNumber,456))</f>
        <v/>
      </c>
      <c r="G468" s="45"/>
      <c r="H468" s="28" t="str">
        <f>IF(AND(I.Facility.FacilityCount&gt;=456,F468=""),"Incomplete","Complete")</f>
        <v>Complete</v>
      </c>
      <c r="I468" s="46" t="s">
        <v>934</v>
      </c>
    </row>
    <row r="469" spans="2:9" ht="14.45" customHeight="1" x14ac:dyDescent="0.25">
      <c r="B469" s="44" t="s">
        <v>294</v>
      </c>
      <c r="C469" s="28">
        <v>457</v>
      </c>
      <c r="D469" s="45" t="s">
        <v>2010</v>
      </c>
      <c r="E469" s="45"/>
      <c r="F469" s="28" t="str">
        <f>IF(INDEX(I.Facility.IDNumber,457)="","",INDEX(I.Facility.IDNumber,457))</f>
        <v/>
      </c>
      <c r="G469" s="45"/>
      <c r="H469" s="28" t="str">
        <f>IF(AND(I.Facility.FacilityCount&gt;=457,F469=""),"Incomplete","Complete")</f>
        <v>Complete</v>
      </c>
      <c r="I469" s="46" t="s">
        <v>935</v>
      </c>
    </row>
    <row r="470" spans="2:9" ht="14.45" customHeight="1" x14ac:dyDescent="0.25">
      <c r="B470" s="44" t="s">
        <v>294</v>
      </c>
      <c r="C470" s="28">
        <v>458</v>
      </c>
      <c r="D470" s="45" t="s">
        <v>2010</v>
      </c>
      <c r="E470" s="45"/>
      <c r="F470" s="28" t="str">
        <f>IF(INDEX(I.Facility.IDNumber,458)="","",INDEX(I.Facility.IDNumber,458))</f>
        <v/>
      </c>
      <c r="G470" s="45"/>
      <c r="H470" s="28" t="str">
        <f>IF(AND(I.Facility.FacilityCount&gt;=458,F470=""),"Incomplete","Complete")</f>
        <v>Complete</v>
      </c>
      <c r="I470" s="46" t="s">
        <v>936</v>
      </c>
    </row>
    <row r="471" spans="2:9" ht="14.45" customHeight="1" x14ac:dyDescent="0.25">
      <c r="B471" s="44" t="s">
        <v>294</v>
      </c>
      <c r="C471" s="28">
        <v>459</v>
      </c>
      <c r="D471" s="45" t="s">
        <v>2010</v>
      </c>
      <c r="E471" s="45"/>
      <c r="F471" s="28" t="str">
        <f>IF(INDEX(I.Facility.IDNumber,459)="","",INDEX(I.Facility.IDNumber,459))</f>
        <v/>
      </c>
      <c r="G471" s="45"/>
      <c r="H471" s="28" t="str">
        <f>IF(AND(I.Facility.FacilityCount&gt;=459,F471=""),"Incomplete","Complete")</f>
        <v>Complete</v>
      </c>
      <c r="I471" s="46" t="s">
        <v>937</v>
      </c>
    </row>
    <row r="472" spans="2:9" ht="14.45" customHeight="1" x14ac:dyDescent="0.25">
      <c r="B472" s="44" t="s">
        <v>294</v>
      </c>
      <c r="C472" s="28">
        <v>460</v>
      </c>
      <c r="D472" s="45" t="s">
        <v>2010</v>
      </c>
      <c r="E472" s="45"/>
      <c r="F472" s="28" t="str">
        <f>IF(INDEX(I.Facility.IDNumber,460)="","",INDEX(I.Facility.IDNumber,460))</f>
        <v/>
      </c>
      <c r="G472" s="45"/>
      <c r="H472" s="28" t="str">
        <f>IF(AND(I.Facility.FacilityCount&gt;=460,F472=""),"Incomplete","Complete")</f>
        <v>Complete</v>
      </c>
      <c r="I472" s="46" t="s">
        <v>938</v>
      </c>
    </row>
    <row r="473" spans="2:9" ht="14.45" customHeight="1" x14ac:dyDescent="0.25">
      <c r="B473" s="44" t="s">
        <v>294</v>
      </c>
      <c r="C473" s="28">
        <v>461</v>
      </c>
      <c r="D473" s="45" t="s">
        <v>2010</v>
      </c>
      <c r="E473" s="45"/>
      <c r="F473" s="28" t="str">
        <f>IF(INDEX(I.Facility.IDNumber,461)="","",INDEX(I.Facility.IDNumber,461))</f>
        <v/>
      </c>
      <c r="G473" s="45"/>
      <c r="H473" s="28" t="str">
        <f>IF(AND(I.Facility.FacilityCount&gt;=461,F473=""),"Incomplete","Complete")</f>
        <v>Complete</v>
      </c>
      <c r="I473" s="46" t="s">
        <v>939</v>
      </c>
    </row>
    <row r="474" spans="2:9" ht="14.45" customHeight="1" x14ac:dyDescent="0.25">
      <c r="B474" s="44" t="s">
        <v>294</v>
      </c>
      <c r="C474" s="28">
        <v>462</v>
      </c>
      <c r="D474" s="45" t="s">
        <v>2010</v>
      </c>
      <c r="E474" s="45"/>
      <c r="F474" s="28" t="str">
        <f>IF(INDEX(I.Facility.IDNumber,462)="","",INDEX(I.Facility.IDNumber,462))</f>
        <v/>
      </c>
      <c r="G474" s="45"/>
      <c r="H474" s="28" t="str">
        <f>IF(AND(I.Facility.FacilityCount&gt;=462,F474=""),"Incomplete","Complete")</f>
        <v>Complete</v>
      </c>
      <c r="I474" s="46" t="s">
        <v>940</v>
      </c>
    </row>
    <row r="475" spans="2:9" ht="14.45" customHeight="1" x14ac:dyDescent="0.25">
      <c r="B475" s="44" t="s">
        <v>294</v>
      </c>
      <c r="C475" s="28">
        <v>463</v>
      </c>
      <c r="D475" s="45" t="s">
        <v>2010</v>
      </c>
      <c r="E475" s="45"/>
      <c r="F475" s="28" t="str">
        <f>IF(INDEX(I.Facility.IDNumber,463)="","",INDEX(I.Facility.IDNumber,463))</f>
        <v/>
      </c>
      <c r="G475" s="45"/>
      <c r="H475" s="28" t="str">
        <f>IF(AND(I.Facility.FacilityCount&gt;=463,F475=""),"Incomplete","Complete")</f>
        <v>Complete</v>
      </c>
      <c r="I475" s="46" t="s">
        <v>941</v>
      </c>
    </row>
    <row r="476" spans="2:9" ht="14.45" customHeight="1" x14ac:dyDescent="0.25">
      <c r="B476" s="44" t="s">
        <v>294</v>
      </c>
      <c r="C476" s="28">
        <v>464</v>
      </c>
      <c r="D476" s="45" t="s">
        <v>2010</v>
      </c>
      <c r="E476" s="45"/>
      <c r="F476" s="28" t="str">
        <f>IF(INDEX(I.Facility.IDNumber,464)="","",INDEX(I.Facility.IDNumber,464))</f>
        <v/>
      </c>
      <c r="G476" s="45"/>
      <c r="H476" s="28" t="str">
        <f>IF(AND(I.Facility.FacilityCount&gt;=464,F476=""),"Incomplete","Complete")</f>
        <v>Complete</v>
      </c>
      <c r="I476" s="46" t="s">
        <v>942</v>
      </c>
    </row>
    <row r="477" spans="2:9" ht="14.45" customHeight="1" x14ac:dyDescent="0.25">
      <c r="B477" s="44" t="s">
        <v>294</v>
      </c>
      <c r="C477" s="28">
        <v>465</v>
      </c>
      <c r="D477" s="45" t="s">
        <v>2010</v>
      </c>
      <c r="E477" s="45"/>
      <c r="F477" s="28" t="str">
        <f>IF(INDEX(I.Facility.IDNumber,465)="","",INDEX(I.Facility.IDNumber,465))</f>
        <v/>
      </c>
      <c r="G477" s="45"/>
      <c r="H477" s="28" t="str">
        <f>IF(AND(I.Facility.FacilityCount&gt;=465,F477=""),"Incomplete","Complete")</f>
        <v>Complete</v>
      </c>
      <c r="I477" s="46" t="s">
        <v>943</v>
      </c>
    </row>
    <row r="478" spans="2:9" ht="14.45" customHeight="1" x14ac:dyDescent="0.25">
      <c r="B478" s="44" t="s">
        <v>294</v>
      </c>
      <c r="C478" s="28">
        <v>466</v>
      </c>
      <c r="D478" s="45" t="s">
        <v>2010</v>
      </c>
      <c r="E478" s="45"/>
      <c r="F478" s="28" t="str">
        <f>IF(INDEX(I.Facility.IDNumber,466)="","",INDEX(I.Facility.IDNumber,466))</f>
        <v/>
      </c>
      <c r="G478" s="45"/>
      <c r="H478" s="28" t="str">
        <f>IF(AND(I.Facility.FacilityCount&gt;=466,F478=""),"Incomplete","Complete")</f>
        <v>Complete</v>
      </c>
      <c r="I478" s="46" t="s">
        <v>944</v>
      </c>
    </row>
    <row r="479" spans="2:9" ht="14.45" customHeight="1" x14ac:dyDescent="0.25">
      <c r="B479" s="44" t="s">
        <v>294</v>
      </c>
      <c r="C479" s="28">
        <v>467</v>
      </c>
      <c r="D479" s="45" t="s">
        <v>2010</v>
      </c>
      <c r="E479" s="45"/>
      <c r="F479" s="28" t="str">
        <f>IF(INDEX(I.Facility.IDNumber,467)="","",INDEX(I.Facility.IDNumber,467))</f>
        <v/>
      </c>
      <c r="G479" s="45"/>
      <c r="H479" s="28" t="str">
        <f>IF(AND(I.Facility.FacilityCount&gt;=467,F479=""),"Incomplete","Complete")</f>
        <v>Complete</v>
      </c>
      <c r="I479" s="46" t="s">
        <v>945</v>
      </c>
    </row>
    <row r="480" spans="2:9" ht="14.45" customHeight="1" x14ac:dyDescent="0.25">
      <c r="B480" s="44" t="s">
        <v>294</v>
      </c>
      <c r="C480" s="28">
        <v>468</v>
      </c>
      <c r="D480" s="45" t="s">
        <v>2010</v>
      </c>
      <c r="E480" s="45"/>
      <c r="F480" s="28" t="str">
        <f>IF(INDEX(I.Facility.IDNumber,468)="","",INDEX(I.Facility.IDNumber,468))</f>
        <v/>
      </c>
      <c r="G480" s="45"/>
      <c r="H480" s="28" t="str">
        <f>IF(AND(I.Facility.FacilityCount&gt;=468,F480=""),"Incomplete","Complete")</f>
        <v>Complete</v>
      </c>
      <c r="I480" s="46" t="s">
        <v>946</v>
      </c>
    </row>
    <row r="481" spans="2:9" ht="14.45" customHeight="1" x14ac:dyDescent="0.25">
      <c r="B481" s="44" t="s">
        <v>294</v>
      </c>
      <c r="C481" s="28">
        <v>469</v>
      </c>
      <c r="D481" s="45" t="s">
        <v>2010</v>
      </c>
      <c r="E481" s="45"/>
      <c r="F481" s="28" t="str">
        <f>IF(INDEX(I.Facility.IDNumber,469)="","",INDEX(I.Facility.IDNumber,469))</f>
        <v/>
      </c>
      <c r="G481" s="45"/>
      <c r="H481" s="28" t="str">
        <f>IF(AND(I.Facility.FacilityCount&gt;=469,F481=""),"Incomplete","Complete")</f>
        <v>Complete</v>
      </c>
      <c r="I481" s="46" t="s">
        <v>947</v>
      </c>
    </row>
    <row r="482" spans="2:9" ht="14.45" customHeight="1" x14ac:dyDescent="0.25">
      <c r="B482" s="44" t="s">
        <v>294</v>
      </c>
      <c r="C482" s="28">
        <v>470</v>
      </c>
      <c r="D482" s="45" t="s">
        <v>2010</v>
      </c>
      <c r="E482" s="45"/>
      <c r="F482" s="28" t="str">
        <f>IF(INDEX(I.Facility.IDNumber,470)="","",INDEX(I.Facility.IDNumber,470))</f>
        <v/>
      </c>
      <c r="G482" s="45"/>
      <c r="H482" s="28" t="str">
        <f>IF(AND(I.Facility.FacilityCount&gt;=470,F482=""),"Incomplete","Complete")</f>
        <v>Complete</v>
      </c>
      <c r="I482" s="46" t="s">
        <v>948</v>
      </c>
    </row>
    <row r="483" spans="2:9" ht="14.45" customHeight="1" x14ac:dyDescent="0.25">
      <c r="B483" s="44" t="s">
        <v>294</v>
      </c>
      <c r="C483" s="28">
        <v>471</v>
      </c>
      <c r="D483" s="45" t="s">
        <v>2010</v>
      </c>
      <c r="E483" s="45"/>
      <c r="F483" s="28" t="str">
        <f>IF(INDEX(I.Facility.IDNumber,471)="","",INDEX(I.Facility.IDNumber,471))</f>
        <v/>
      </c>
      <c r="G483" s="45"/>
      <c r="H483" s="28" t="str">
        <f>IF(AND(I.Facility.FacilityCount&gt;=471,F483=""),"Incomplete","Complete")</f>
        <v>Complete</v>
      </c>
      <c r="I483" s="46" t="s">
        <v>949</v>
      </c>
    </row>
    <row r="484" spans="2:9" ht="14.45" customHeight="1" x14ac:dyDescent="0.25">
      <c r="B484" s="44" t="s">
        <v>294</v>
      </c>
      <c r="C484" s="28">
        <v>472</v>
      </c>
      <c r="D484" s="45" t="s">
        <v>2010</v>
      </c>
      <c r="E484" s="45"/>
      <c r="F484" s="28" t="str">
        <f>IF(INDEX(I.Facility.IDNumber,472)="","",INDEX(I.Facility.IDNumber,472))</f>
        <v/>
      </c>
      <c r="G484" s="45"/>
      <c r="H484" s="28" t="str">
        <f>IF(AND(I.Facility.FacilityCount&gt;=472,F484=""),"Incomplete","Complete")</f>
        <v>Complete</v>
      </c>
      <c r="I484" s="46" t="s">
        <v>950</v>
      </c>
    </row>
    <row r="485" spans="2:9" ht="14.45" customHeight="1" x14ac:dyDescent="0.25">
      <c r="B485" s="44" t="s">
        <v>294</v>
      </c>
      <c r="C485" s="28">
        <v>473</v>
      </c>
      <c r="D485" s="45" t="s">
        <v>2010</v>
      </c>
      <c r="E485" s="45"/>
      <c r="F485" s="28" t="str">
        <f>IF(INDEX(I.Facility.IDNumber,473)="","",INDEX(I.Facility.IDNumber,473))</f>
        <v/>
      </c>
      <c r="G485" s="45"/>
      <c r="H485" s="28" t="str">
        <f>IF(AND(I.Facility.FacilityCount&gt;=473,F485=""),"Incomplete","Complete")</f>
        <v>Complete</v>
      </c>
      <c r="I485" s="46" t="s">
        <v>951</v>
      </c>
    </row>
    <row r="486" spans="2:9" ht="14.45" customHeight="1" x14ac:dyDescent="0.25">
      <c r="B486" s="44" t="s">
        <v>294</v>
      </c>
      <c r="C486" s="28">
        <v>474</v>
      </c>
      <c r="D486" s="45" t="s">
        <v>2010</v>
      </c>
      <c r="E486" s="45"/>
      <c r="F486" s="28" t="str">
        <f>IF(INDEX(I.Facility.IDNumber,474)="","",INDEX(I.Facility.IDNumber,474))</f>
        <v/>
      </c>
      <c r="G486" s="45"/>
      <c r="H486" s="28" t="str">
        <f>IF(AND(I.Facility.FacilityCount&gt;=474,F486=""),"Incomplete","Complete")</f>
        <v>Complete</v>
      </c>
      <c r="I486" s="46" t="s">
        <v>952</v>
      </c>
    </row>
    <row r="487" spans="2:9" ht="14.45" customHeight="1" x14ac:dyDescent="0.25">
      <c r="B487" s="44" t="s">
        <v>294</v>
      </c>
      <c r="C487" s="28">
        <v>475</v>
      </c>
      <c r="D487" s="45" t="s">
        <v>2010</v>
      </c>
      <c r="E487" s="45"/>
      <c r="F487" s="28" t="str">
        <f>IF(INDEX(I.Facility.IDNumber,475)="","",INDEX(I.Facility.IDNumber,475))</f>
        <v/>
      </c>
      <c r="G487" s="45"/>
      <c r="H487" s="28" t="str">
        <f>IF(AND(I.Facility.FacilityCount&gt;=475,F487=""),"Incomplete","Complete")</f>
        <v>Complete</v>
      </c>
      <c r="I487" s="46" t="s">
        <v>953</v>
      </c>
    </row>
    <row r="488" spans="2:9" ht="14.45" customHeight="1" x14ac:dyDescent="0.25">
      <c r="B488" s="44" t="s">
        <v>294</v>
      </c>
      <c r="C488" s="28">
        <v>476</v>
      </c>
      <c r="D488" s="45" t="s">
        <v>2010</v>
      </c>
      <c r="E488" s="45"/>
      <c r="F488" s="28" t="str">
        <f>IF(INDEX(I.Facility.IDNumber,476)="","",INDEX(I.Facility.IDNumber,476))</f>
        <v/>
      </c>
      <c r="G488" s="45"/>
      <c r="H488" s="28" t="str">
        <f>IF(AND(I.Facility.FacilityCount&gt;=476,F488=""),"Incomplete","Complete")</f>
        <v>Complete</v>
      </c>
      <c r="I488" s="46" t="s">
        <v>954</v>
      </c>
    </row>
    <row r="489" spans="2:9" ht="14.45" customHeight="1" x14ac:dyDescent="0.25">
      <c r="B489" s="44" t="s">
        <v>294</v>
      </c>
      <c r="C489" s="28">
        <v>477</v>
      </c>
      <c r="D489" s="45" t="s">
        <v>2010</v>
      </c>
      <c r="E489" s="45"/>
      <c r="F489" s="28" t="str">
        <f>IF(INDEX(I.Facility.IDNumber,477)="","",INDEX(I.Facility.IDNumber,477))</f>
        <v/>
      </c>
      <c r="G489" s="45"/>
      <c r="H489" s="28" t="str">
        <f>IF(AND(I.Facility.FacilityCount&gt;=477,F489=""),"Incomplete","Complete")</f>
        <v>Complete</v>
      </c>
      <c r="I489" s="46" t="s">
        <v>955</v>
      </c>
    </row>
    <row r="490" spans="2:9" ht="14.45" customHeight="1" x14ac:dyDescent="0.25">
      <c r="B490" s="44" t="s">
        <v>294</v>
      </c>
      <c r="C490" s="28">
        <v>478</v>
      </c>
      <c r="D490" s="45" t="s">
        <v>2010</v>
      </c>
      <c r="E490" s="45"/>
      <c r="F490" s="28" t="str">
        <f>IF(INDEX(I.Facility.IDNumber,478)="","",INDEX(I.Facility.IDNumber,478))</f>
        <v/>
      </c>
      <c r="G490" s="45"/>
      <c r="H490" s="28" t="str">
        <f>IF(AND(I.Facility.FacilityCount&gt;=478,F490=""),"Incomplete","Complete")</f>
        <v>Complete</v>
      </c>
      <c r="I490" s="46" t="s">
        <v>956</v>
      </c>
    </row>
    <row r="491" spans="2:9" ht="14.45" customHeight="1" x14ac:dyDescent="0.25">
      <c r="B491" s="44" t="s">
        <v>294</v>
      </c>
      <c r="C491" s="28">
        <v>479</v>
      </c>
      <c r="D491" s="45" t="s">
        <v>2010</v>
      </c>
      <c r="E491" s="45"/>
      <c r="F491" s="28" t="str">
        <f>IF(INDEX(I.Facility.IDNumber,479)="","",INDEX(I.Facility.IDNumber,479))</f>
        <v/>
      </c>
      <c r="G491" s="45"/>
      <c r="H491" s="28" t="str">
        <f>IF(AND(I.Facility.FacilityCount&gt;=479,F491=""),"Incomplete","Complete")</f>
        <v>Complete</v>
      </c>
      <c r="I491" s="46" t="s">
        <v>957</v>
      </c>
    </row>
    <row r="492" spans="2:9" ht="14.45" customHeight="1" x14ac:dyDescent="0.25">
      <c r="B492" s="44" t="s">
        <v>294</v>
      </c>
      <c r="C492" s="28">
        <v>480</v>
      </c>
      <c r="D492" s="45" t="s">
        <v>2010</v>
      </c>
      <c r="E492" s="45"/>
      <c r="F492" s="28" t="str">
        <f>IF(INDEX(I.Facility.IDNumber,480)="","",INDEX(I.Facility.IDNumber,480))</f>
        <v/>
      </c>
      <c r="G492" s="45"/>
      <c r="H492" s="28" t="str">
        <f>IF(AND(I.Facility.FacilityCount&gt;=480,F492=""),"Incomplete","Complete")</f>
        <v>Complete</v>
      </c>
      <c r="I492" s="46" t="s">
        <v>958</v>
      </c>
    </row>
    <row r="493" spans="2:9" ht="14.45" customHeight="1" x14ac:dyDescent="0.25">
      <c r="B493" s="44" t="s">
        <v>294</v>
      </c>
      <c r="C493" s="28">
        <v>481</v>
      </c>
      <c r="D493" s="45" t="s">
        <v>2010</v>
      </c>
      <c r="E493" s="45"/>
      <c r="F493" s="28" t="str">
        <f>IF(INDEX(I.Facility.IDNumber,481)="","",INDEX(I.Facility.IDNumber,481))</f>
        <v/>
      </c>
      <c r="G493" s="45"/>
      <c r="H493" s="28" t="str">
        <f>IF(AND(I.Facility.FacilityCount&gt;=481,F493=""),"Incomplete","Complete")</f>
        <v>Complete</v>
      </c>
      <c r="I493" s="46" t="s">
        <v>959</v>
      </c>
    </row>
    <row r="494" spans="2:9" ht="14.45" customHeight="1" x14ac:dyDescent="0.25">
      <c r="B494" s="44" t="s">
        <v>294</v>
      </c>
      <c r="C494" s="28">
        <v>482</v>
      </c>
      <c r="D494" s="45" t="s">
        <v>2010</v>
      </c>
      <c r="E494" s="45"/>
      <c r="F494" s="28" t="str">
        <f>IF(INDEX(I.Facility.IDNumber,482)="","",INDEX(I.Facility.IDNumber,482))</f>
        <v/>
      </c>
      <c r="G494" s="45"/>
      <c r="H494" s="28" t="str">
        <f>IF(AND(I.Facility.FacilityCount&gt;=482,F494=""),"Incomplete","Complete")</f>
        <v>Complete</v>
      </c>
      <c r="I494" s="46" t="s">
        <v>960</v>
      </c>
    </row>
    <row r="495" spans="2:9" ht="14.45" customHeight="1" x14ac:dyDescent="0.25">
      <c r="B495" s="44" t="s">
        <v>294</v>
      </c>
      <c r="C495" s="28">
        <v>483</v>
      </c>
      <c r="D495" s="45" t="s">
        <v>2010</v>
      </c>
      <c r="E495" s="45"/>
      <c r="F495" s="28" t="str">
        <f>IF(INDEX(I.Facility.IDNumber,483)="","",INDEX(I.Facility.IDNumber,483))</f>
        <v/>
      </c>
      <c r="G495" s="45"/>
      <c r="H495" s="28" t="str">
        <f>IF(AND(I.Facility.FacilityCount&gt;=483,F495=""),"Incomplete","Complete")</f>
        <v>Complete</v>
      </c>
      <c r="I495" s="46" t="s">
        <v>961</v>
      </c>
    </row>
    <row r="496" spans="2:9" ht="14.45" customHeight="1" x14ac:dyDescent="0.25">
      <c r="B496" s="44" t="s">
        <v>294</v>
      </c>
      <c r="C496" s="28">
        <v>484</v>
      </c>
      <c r="D496" s="45" t="s">
        <v>2010</v>
      </c>
      <c r="E496" s="45"/>
      <c r="F496" s="28" t="str">
        <f>IF(INDEX(I.Facility.IDNumber,484)="","",INDEX(I.Facility.IDNumber,484))</f>
        <v/>
      </c>
      <c r="G496" s="45"/>
      <c r="H496" s="28" t="str">
        <f>IF(AND(I.Facility.FacilityCount&gt;=484,F496=""),"Incomplete","Complete")</f>
        <v>Complete</v>
      </c>
      <c r="I496" s="46" t="s">
        <v>962</v>
      </c>
    </row>
    <row r="497" spans="2:9" ht="14.45" customHeight="1" x14ac:dyDescent="0.25">
      <c r="B497" s="44" t="s">
        <v>294</v>
      </c>
      <c r="C497" s="28">
        <v>485</v>
      </c>
      <c r="D497" s="45" t="s">
        <v>2010</v>
      </c>
      <c r="E497" s="45"/>
      <c r="F497" s="28" t="str">
        <f>IF(INDEX(I.Facility.IDNumber,485)="","",INDEX(I.Facility.IDNumber,485))</f>
        <v/>
      </c>
      <c r="G497" s="45"/>
      <c r="H497" s="28" t="str">
        <f>IF(AND(I.Facility.FacilityCount&gt;=485,F497=""),"Incomplete","Complete")</f>
        <v>Complete</v>
      </c>
      <c r="I497" s="46" t="s">
        <v>963</v>
      </c>
    </row>
    <row r="498" spans="2:9" ht="14.45" customHeight="1" x14ac:dyDescent="0.25">
      <c r="B498" s="44" t="s">
        <v>294</v>
      </c>
      <c r="C498" s="28">
        <v>486</v>
      </c>
      <c r="D498" s="45" t="s">
        <v>2010</v>
      </c>
      <c r="E498" s="45"/>
      <c r="F498" s="28" t="str">
        <f>IF(INDEX(I.Facility.IDNumber,486)="","",INDEX(I.Facility.IDNumber,486))</f>
        <v/>
      </c>
      <c r="G498" s="45"/>
      <c r="H498" s="28" t="str">
        <f>IF(AND(I.Facility.FacilityCount&gt;=486,F498=""),"Incomplete","Complete")</f>
        <v>Complete</v>
      </c>
      <c r="I498" s="46" t="s">
        <v>964</v>
      </c>
    </row>
    <row r="499" spans="2:9" ht="14.45" customHeight="1" x14ac:dyDescent="0.25">
      <c r="B499" s="44" t="s">
        <v>294</v>
      </c>
      <c r="C499" s="28">
        <v>487</v>
      </c>
      <c r="D499" s="45" t="s">
        <v>2010</v>
      </c>
      <c r="E499" s="45"/>
      <c r="F499" s="28" t="str">
        <f>IF(INDEX(I.Facility.IDNumber,487)="","",INDEX(I.Facility.IDNumber,487))</f>
        <v/>
      </c>
      <c r="G499" s="45"/>
      <c r="H499" s="28" t="str">
        <f>IF(AND(I.Facility.FacilityCount&gt;=487,F499=""),"Incomplete","Complete")</f>
        <v>Complete</v>
      </c>
      <c r="I499" s="46" t="s">
        <v>965</v>
      </c>
    </row>
    <row r="500" spans="2:9" ht="14.45" customHeight="1" x14ac:dyDescent="0.25">
      <c r="B500" s="44" t="s">
        <v>294</v>
      </c>
      <c r="C500" s="28">
        <v>488</v>
      </c>
      <c r="D500" s="45" t="s">
        <v>2010</v>
      </c>
      <c r="E500" s="45"/>
      <c r="F500" s="28" t="str">
        <f>IF(INDEX(I.Facility.IDNumber,488)="","",INDEX(I.Facility.IDNumber,488))</f>
        <v/>
      </c>
      <c r="G500" s="45"/>
      <c r="H500" s="28" t="str">
        <f>IF(AND(I.Facility.FacilityCount&gt;=488,F500=""),"Incomplete","Complete")</f>
        <v>Complete</v>
      </c>
      <c r="I500" s="46" t="s">
        <v>966</v>
      </c>
    </row>
    <row r="501" spans="2:9" ht="14.45" customHeight="1" x14ac:dyDescent="0.25">
      <c r="B501" s="44" t="s">
        <v>294</v>
      </c>
      <c r="C501" s="28">
        <v>489</v>
      </c>
      <c r="D501" s="45" t="s">
        <v>2010</v>
      </c>
      <c r="E501" s="45"/>
      <c r="F501" s="28" t="str">
        <f>IF(INDEX(I.Facility.IDNumber,489)="","",INDEX(I.Facility.IDNumber,489))</f>
        <v/>
      </c>
      <c r="G501" s="45"/>
      <c r="H501" s="28" t="str">
        <f>IF(AND(I.Facility.FacilityCount&gt;=489,F501=""),"Incomplete","Complete")</f>
        <v>Complete</v>
      </c>
      <c r="I501" s="46" t="s">
        <v>967</v>
      </c>
    </row>
    <row r="502" spans="2:9" ht="14.45" customHeight="1" x14ac:dyDescent="0.25">
      <c r="B502" s="44" t="s">
        <v>294</v>
      </c>
      <c r="C502" s="28">
        <v>490</v>
      </c>
      <c r="D502" s="45" t="s">
        <v>2010</v>
      </c>
      <c r="E502" s="45"/>
      <c r="F502" s="28" t="str">
        <f>IF(INDEX(I.Facility.IDNumber,490)="","",INDEX(I.Facility.IDNumber,490))</f>
        <v/>
      </c>
      <c r="G502" s="45"/>
      <c r="H502" s="28" t="str">
        <f>IF(AND(I.Facility.FacilityCount&gt;=490,F502=""),"Incomplete","Complete")</f>
        <v>Complete</v>
      </c>
      <c r="I502" s="46" t="s">
        <v>968</v>
      </c>
    </row>
    <row r="503" spans="2:9" ht="14.45" customHeight="1" x14ac:dyDescent="0.25">
      <c r="B503" s="44" t="s">
        <v>294</v>
      </c>
      <c r="C503" s="28">
        <v>491</v>
      </c>
      <c r="D503" s="45" t="s">
        <v>2010</v>
      </c>
      <c r="E503" s="45"/>
      <c r="F503" s="28" t="str">
        <f>IF(INDEX(I.Facility.IDNumber,491)="","",INDEX(I.Facility.IDNumber,491))</f>
        <v/>
      </c>
      <c r="G503" s="45"/>
      <c r="H503" s="28" t="str">
        <f>IF(AND(I.Facility.FacilityCount&gt;=491,F503=""),"Incomplete","Complete")</f>
        <v>Complete</v>
      </c>
      <c r="I503" s="46" t="s">
        <v>969</v>
      </c>
    </row>
    <row r="504" spans="2:9" ht="14.45" customHeight="1" x14ac:dyDescent="0.25">
      <c r="B504" s="44" t="s">
        <v>294</v>
      </c>
      <c r="C504" s="28">
        <v>492</v>
      </c>
      <c r="D504" s="45" t="s">
        <v>2010</v>
      </c>
      <c r="E504" s="45"/>
      <c r="F504" s="28" t="str">
        <f>IF(INDEX(I.Facility.IDNumber,492)="","",INDEX(I.Facility.IDNumber,492))</f>
        <v/>
      </c>
      <c r="G504" s="45"/>
      <c r="H504" s="28" t="str">
        <f>IF(AND(I.Facility.FacilityCount&gt;=492,F504=""),"Incomplete","Complete")</f>
        <v>Complete</v>
      </c>
      <c r="I504" s="46" t="s">
        <v>970</v>
      </c>
    </row>
    <row r="505" spans="2:9" ht="14.45" customHeight="1" x14ac:dyDescent="0.25">
      <c r="B505" s="44" t="s">
        <v>294</v>
      </c>
      <c r="C505" s="28">
        <v>493</v>
      </c>
      <c r="D505" s="45" t="s">
        <v>2010</v>
      </c>
      <c r="E505" s="45"/>
      <c r="F505" s="28" t="str">
        <f>IF(INDEX(I.Facility.IDNumber,493)="","",INDEX(I.Facility.IDNumber,493))</f>
        <v/>
      </c>
      <c r="G505" s="45"/>
      <c r="H505" s="28" t="str">
        <f>IF(AND(I.Facility.FacilityCount&gt;=493,F505=""),"Incomplete","Complete")</f>
        <v>Complete</v>
      </c>
      <c r="I505" s="46" t="s">
        <v>971</v>
      </c>
    </row>
    <row r="506" spans="2:9" ht="14.45" customHeight="1" x14ac:dyDescent="0.25">
      <c r="B506" s="44" t="s">
        <v>294</v>
      </c>
      <c r="C506" s="28">
        <v>494</v>
      </c>
      <c r="D506" s="45" t="s">
        <v>2010</v>
      </c>
      <c r="E506" s="45"/>
      <c r="F506" s="28" t="str">
        <f>IF(INDEX(I.Facility.IDNumber,494)="","",INDEX(I.Facility.IDNumber,494))</f>
        <v/>
      </c>
      <c r="G506" s="45"/>
      <c r="H506" s="28" t="str">
        <f>IF(AND(I.Facility.FacilityCount&gt;=494,F506=""),"Incomplete","Complete")</f>
        <v>Complete</v>
      </c>
      <c r="I506" s="46" t="s">
        <v>972</v>
      </c>
    </row>
    <row r="507" spans="2:9" ht="14.45" customHeight="1" x14ac:dyDescent="0.25">
      <c r="B507" s="44" t="s">
        <v>294</v>
      </c>
      <c r="C507" s="28">
        <v>495</v>
      </c>
      <c r="D507" s="45" t="s">
        <v>2010</v>
      </c>
      <c r="E507" s="45"/>
      <c r="F507" s="28" t="str">
        <f>IF(INDEX(I.Facility.IDNumber,495)="","",INDEX(I.Facility.IDNumber,495))</f>
        <v/>
      </c>
      <c r="G507" s="45"/>
      <c r="H507" s="28" t="str">
        <f>IF(AND(I.Facility.FacilityCount&gt;=495,F507=""),"Incomplete","Complete")</f>
        <v>Complete</v>
      </c>
      <c r="I507" s="46" t="s">
        <v>973</v>
      </c>
    </row>
    <row r="508" spans="2:9" ht="14.45" customHeight="1" x14ac:dyDescent="0.25">
      <c r="B508" s="44" t="s">
        <v>294</v>
      </c>
      <c r="C508" s="28">
        <v>496</v>
      </c>
      <c r="D508" s="45" t="s">
        <v>2010</v>
      </c>
      <c r="E508" s="45"/>
      <c r="F508" s="28" t="str">
        <f>IF(INDEX(I.Facility.IDNumber,496)="","",INDEX(I.Facility.IDNumber,496))</f>
        <v/>
      </c>
      <c r="G508" s="45"/>
      <c r="H508" s="28" t="str">
        <f>IF(AND(I.Facility.FacilityCount&gt;=496,F508=""),"Incomplete","Complete")</f>
        <v>Complete</v>
      </c>
      <c r="I508" s="46" t="s">
        <v>974</v>
      </c>
    </row>
    <row r="509" spans="2:9" ht="14.45" customHeight="1" x14ac:dyDescent="0.25">
      <c r="B509" s="44" t="s">
        <v>294</v>
      </c>
      <c r="C509" s="28">
        <v>497</v>
      </c>
      <c r="D509" s="45" t="s">
        <v>2010</v>
      </c>
      <c r="E509" s="45"/>
      <c r="F509" s="28" t="str">
        <f>IF(INDEX(I.Facility.IDNumber,497)="","",INDEX(I.Facility.IDNumber,497))</f>
        <v/>
      </c>
      <c r="G509" s="45"/>
      <c r="H509" s="28" t="str">
        <f>IF(AND(I.Facility.FacilityCount&gt;=497,F509=""),"Incomplete","Complete")</f>
        <v>Complete</v>
      </c>
      <c r="I509" s="46" t="s">
        <v>975</v>
      </c>
    </row>
    <row r="510" spans="2:9" ht="14.45" customHeight="1" x14ac:dyDescent="0.25">
      <c r="B510" s="44" t="s">
        <v>294</v>
      </c>
      <c r="C510" s="28">
        <v>498</v>
      </c>
      <c r="D510" s="45" t="s">
        <v>2010</v>
      </c>
      <c r="E510" s="45"/>
      <c r="F510" s="28" t="str">
        <f>IF(INDEX(I.Facility.IDNumber,498)="","",INDEX(I.Facility.IDNumber,498))</f>
        <v/>
      </c>
      <c r="G510" s="45"/>
      <c r="H510" s="28" t="str">
        <f>IF(AND(I.Facility.FacilityCount&gt;=498,F510=""),"Incomplete","Complete")</f>
        <v>Complete</v>
      </c>
      <c r="I510" s="46" t="s">
        <v>976</v>
      </c>
    </row>
    <row r="511" spans="2:9" ht="14.45" customHeight="1" x14ac:dyDescent="0.25">
      <c r="B511" s="44" t="s">
        <v>294</v>
      </c>
      <c r="C511" s="28">
        <v>499</v>
      </c>
      <c r="D511" s="45" t="s">
        <v>2010</v>
      </c>
      <c r="E511" s="45"/>
      <c r="F511" s="28" t="str">
        <f>IF(INDEX(I.Facility.IDNumber,499)="","",INDEX(I.Facility.IDNumber,499))</f>
        <v/>
      </c>
      <c r="G511" s="45"/>
      <c r="H511" s="28" t="str">
        <f>IF(AND(I.Facility.FacilityCount&gt;=499,F511=""),"Incomplete","Complete")</f>
        <v>Complete</v>
      </c>
      <c r="I511" s="46" t="s">
        <v>977</v>
      </c>
    </row>
    <row r="512" spans="2:9" ht="14.45" customHeight="1" x14ac:dyDescent="0.25">
      <c r="B512" s="53" t="s">
        <v>294</v>
      </c>
      <c r="C512" s="66">
        <v>500</v>
      </c>
      <c r="D512" s="54" t="s">
        <v>2010</v>
      </c>
      <c r="E512" s="54"/>
      <c r="F512" s="66" t="str">
        <f>IF(INDEX(I.Facility.IDNumber,500)="","",INDEX(I.Facility.IDNumber,500))</f>
        <v/>
      </c>
      <c r="G512" s="54"/>
      <c r="H512" s="66" t="str">
        <f>IF(AND(I.Facility.FacilityCount&gt;=500,F512=""),"Incomplete","Complete")</f>
        <v>Complete</v>
      </c>
      <c r="I512" s="68" t="s">
        <v>978</v>
      </c>
    </row>
    <row r="513" spans="2:9" ht="14.45" customHeight="1" x14ac:dyDescent="0.25">
      <c r="B513" s="44" t="s">
        <v>295</v>
      </c>
      <c r="C513" s="28">
        <v>1</v>
      </c>
      <c r="D513" s="45" t="s">
        <v>2011</v>
      </c>
      <c r="E513" s="45"/>
      <c r="F513" s="28" t="str">
        <f>IF(I.Product.P1Name="","",I.Product.P1Name)</f>
        <v/>
      </c>
      <c r="G513" s="45"/>
      <c r="H513" s="28" t="str">
        <f>IF(AND(I.Facility.ProductCount&gt;=1,I.Product.P1Name=""),"Incomplete","Complete")</f>
        <v>Incomplete</v>
      </c>
      <c r="I513" s="46" t="s">
        <v>979</v>
      </c>
    </row>
    <row r="514" spans="2:9" ht="14.45" customHeight="1" x14ac:dyDescent="0.25">
      <c r="B514" s="44" t="s">
        <v>296</v>
      </c>
      <c r="C514" s="28">
        <v>1</v>
      </c>
      <c r="D514" s="45" t="s">
        <v>2012</v>
      </c>
      <c r="E514" s="45"/>
      <c r="F514" s="28" t="str">
        <f>IF(I.Product.P1Sector="","",I.Product.P1Sector)</f>
        <v/>
      </c>
      <c r="G514" s="45"/>
      <c r="H514" s="28" t="str">
        <f>IF(AND(I.Facility.ProductCount&gt;=1,I.Product.P1Sector=""),"Incomplete","Complete")</f>
        <v>Incomplete</v>
      </c>
      <c r="I514" s="46" t="s">
        <v>980</v>
      </c>
    </row>
    <row r="515" spans="2:9" ht="14.45" customHeight="1" x14ac:dyDescent="0.25">
      <c r="B515" s="44"/>
      <c r="C515" s="28"/>
      <c r="D515" s="45"/>
      <c r="E515" s="28"/>
      <c r="F515" s="28"/>
      <c r="G515" s="28"/>
      <c r="H515" s="28" t="str">
        <f>IF(AND(I.Facility.ProductCount&gt;=1,I.Facility.OilGas&lt;&gt;"Yes",I.Product.P1Sector="Upstream oil and gas"),"Incomplete","Complete")</f>
        <v>Complete</v>
      </c>
      <c r="I515" s="46" t="s">
        <v>981</v>
      </c>
    </row>
    <row r="516" spans="2:9" ht="14.45" customHeight="1" x14ac:dyDescent="0.25">
      <c r="B516" s="44" t="s">
        <v>297</v>
      </c>
      <c r="C516" s="28">
        <v>1</v>
      </c>
      <c r="D516" s="45" t="s">
        <v>2013</v>
      </c>
      <c r="E516" s="45"/>
      <c r="F516" s="28" t="str">
        <f>IF(I.Product.P1OtherSector="","",I.Product.P1OtherSector)</f>
        <v/>
      </c>
      <c r="G516" s="45"/>
      <c r="H516" s="28" t="str">
        <f>IF(AND(I.Facility.ProductCount&gt;=1,I.Product.P1Sector="Other sectors",I.Product.P1OtherSector=""),"Incomplete","Complete")</f>
        <v>Complete</v>
      </c>
      <c r="I516" s="46" t="s">
        <v>982</v>
      </c>
    </row>
    <row r="517" spans="2:9" ht="14.45" customHeight="1" x14ac:dyDescent="0.25">
      <c r="B517" s="44"/>
      <c r="C517" s="28"/>
      <c r="D517" s="45"/>
      <c r="E517" s="28"/>
      <c r="F517" s="28"/>
      <c r="G517" s="28"/>
      <c r="H517" s="28" t="str">
        <f>IF(AND(I.Facility.ProductCount&gt;=1,I.Developer.P1C1=FALSE,I.Developer.P1C2=FALSE,I.Developer.P1C3=FALSE,I.Developer.P1C4=FALSE,I.Developer.P1C5=FALSE,I.Developer.P1C6=FALSE,I.Developer.P1C7=FALSE,I.Developer.P1C8=FALSE,I.Developer.P1C9=FALSE),"Incomplete","Complete")</f>
        <v>Incomplete</v>
      </c>
      <c r="I517" s="46" t="s">
        <v>983</v>
      </c>
    </row>
    <row r="518" spans="2:9" ht="14.45" customHeight="1" x14ac:dyDescent="0.25">
      <c r="B518" s="53" t="s">
        <v>298</v>
      </c>
      <c r="C518" s="66">
        <v>1</v>
      </c>
      <c r="D518" s="54" t="s">
        <v>2014</v>
      </c>
      <c r="E518" s="54"/>
      <c r="F518" s="66" t="str">
        <f>IF(I.Product.P1Electricity="","",I.Product.P1Electricity)</f>
        <v/>
      </c>
      <c r="G518" s="54"/>
      <c r="H518" s="66" t="str">
        <f>IF(AND(I.Facility.ProductCount&gt;=1,I.Product.P1Electricity=""),"Incomplete","Complete")</f>
        <v>Incomplete</v>
      </c>
      <c r="I518" s="68" t="s">
        <v>984</v>
      </c>
    </row>
    <row r="519" spans="2:9" ht="14.45" customHeight="1" x14ac:dyDescent="0.25">
      <c r="B519" s="44" t="s">
        <v>299</v>
      </c>
      <c r="C519" s="28">
        <v>1</v>
      </c>
      <c r="D519" s="45" t="s">
        <v>2015</v>
      </c>
      <c r="E519" s="45"/>
      <c r="F519" s="28" t="str">
        <f>IF(I.Product.P2Name="","",I.Product.P2Name)</f>
        <v/>
      </c>
      <c r="G519" s="45"/>
      <c r="H519" s="28" t="str">
        <f>IF(AND(I.Facility.ProductCount&gt;=2,I.Product.P2Name=""),"Incomplete","Complete")</f>
        <v>Complete</v>
      </c>
      <c r="I519" s="46" t="s">
        <v>985</v>
      </c>
    </row>
    <row r="520" spans="2:9" ht="14.45" customHeight="1" x14ac:dyDescent="0.25">
      <c r="B520" s="44" t="s">
        <v>300</v>
      </c>
      <c r="C520" s="28">
        <v>1</v>
      </c>
      <c r="D520" s="45" t="s">
        <v>2016</v>
      </c>
      <c r="E520" s="45"/>
      <c r="F520" s="28" t="str">
        <f>IF(I.Product.P2Sector="","",I.Product.P2Sector)</f>
        <v/>
      </c>
      <c r="G520" s="45"/>
      <c r="H520" s="28" t="str">
        <f>IF(AND(I.Facility.ProductCount&gt;=2,I.Product.P2Sector=""),"Incomplete","Complete")</f>
        <v>Complete</v>
      </c>
      <c r="I520" s="46" t="s">
        <v>986</v>
      </c>
    </row>
    <row r="521" spans="2:9" ht="14.45" customHeight="1" x14ac:dyDescent="0.25">
      <c r="B521" s="44"/>
      <c r="C521" s="28"/>
      <c r="D521" s="45"/>
      <c r="E521" s="28"/>
      <c r="F521" s="28"/>
      <c r="G521" s="28"/>
      <c r="H521" s="28" t="str">
        <f>IF(AND(I.Facility.ProductCount&gt;=2,I.Facility.OilGas&lt;&gt;"Yes",I.Product.P2Sector="Upstream oil and gas"),"Incomplete","Complete")</f>
        <v>Complete</v>
      </c>
      <c r="I521" s="46" t="s">
        <v>987</v>
      </c>
    </row>
    <row r="522" spans="2:9" ht="14.45" customHeight="1" x14ac:dyDescent="0.25">
      <c r="B522" s="44" t="s">
        <v>301</v>
      </c>
      <c r="C522" s="28">
        <v>1</v>
      </c>
      <c r="D522" s="45" t="s">
        <v>2017</v>
      </c>
      <c r="E522" s="45"/>
      <c r="F522" s="28" t="str">
        <f>IF(I.Product.P2OtherSector="","",I.Product.P2OtherSector)</f>
        <v/>
      </c>
      <c r="G522" s="45"/>
      <c r="H522" s="28" t="str">
        <f>IF(AND(I.Facility.ProductCount&gt;=2,I.Product.P2Sector="Other sectors",I.Product.P2OtherSector=""),"Incomplete","Complete")</f>
        <v>Complete</v>
      </c>
      <c r="I522" s="46" t="s">
        <v>988</v>
      </c>
    </row>
    <row r="523" spans="2:9" ht="14.45" customHeight="1" x14ac:dyDescent="0.25">
      <c r="B523" s="44"/>
      <c r="C523" s="28"/>
      <c r="D523" s="45"/>
      <c r="E523" s="28"/>
      <c r="F523" s="28"/>
      <c r="G523" s="28"/>
      <c r="H523" s="28" t="str">
        <f>IF(AND(I.Facility.ProductCount&gt;=2,I.Developer.P2C1=FALSE,I.Developer.P2C2=FALSE,I.Developer.P2C3=FALSE,I.Developer.P2C4=FALSE,I.Developer.P2C5=FALSE,I.Developer.P2C6=FALSE,I.Developer.P2C7=FALSE,I.Developer.P2C8=FALSE,I.Developer.P2C9=FALSE),"Incomplete","Complete")</f>
        <v>Complete</v>
      </c>
      <c r="I523" s="46" t="s">
        <v>989</v>
      </c>
    </row>
    <row r="524" spans="2:9" ht="14.45" customHeight="1" x14ac:dyDescent="0.25">
      <c r="B524" s="53" t="s">
        <v>302</v>
      </c>
      <c r="C524" s="66">
        <v>1</v>
      </c>
      <c r="D524" s="54" t="s">
        <v>2018</v>
      </c>
      <c r="E524" s="54"/>
      <c r="F524" s="66" t="str">
        <f>IF(I.Product.P2Electricity="","",I.Product.P2Electricity)</f>
        <v/>
      </c>
      <c r="G524" s="54"/>
      <c r="H524" s="66" t="str">
        <f>IF(AND(I.Facility.ProductCount&gt;=2,I.Product.P2Electricity=""),"Incomplete","Complete")</f>
        <v>Complete</v>
      </c>
      <c r="I524" s="68" t="s">
        <v>990</v>
      </c>
    </row>
    <row r="525" spans="2:9" ht="14.45" customHeight="1" x14ac:dyDescent="0.25">
      <c r="B525" s="44" t="s">
        <v>303</v>
      </c>
      <c r="C525" s="28">
        <v>1</v>
      </c>
      <c r="D525" s="45" t="s">
        <v>2019</v>
      </c>
      <c r="E525" s="45"/>
      <c r="F525" s="28" t="str">
        <f>IF(I.Product.P3Name="","",I.Product.P3Name)</f>
        <v/>
      </c>
      <c r="G525" s="45"/>
      <c r="H525" s="28" t="str">
        <f>IF(AND(I.Facility.ProductCount&gt;=3,I.Product.P3Name=""),"Incomplete","Complete")</f>
        <v>Complete</v>
      </c>
      <c r="I525" s="46" t="s">
        <v>991</v>
      </c>
    </row>
    <row r="526" spans="2:9" ht="14.45" customHeight="1" x14ac:dyDescent="0.25">
      <c r="B526" s="44" t="s">
        <v>304</v>
      </c>
      <c r="C526" s="28">
        <v>1</v>
      </c>
      <c r="D526" s="45" t="s">
        <v>2020</v>
      </c>
      <c r="E526" s="45"/>
      <c r="F526" s="28" t="str">
        <f>IF(I.Product.P3Sector="","",I.Product.P3Sector)</f>
        <v/>
      </c>
      <c r="G526" s="45"/>
      <c r="H526" s="28" t="str">
        <f>IF(AND(I.Facility.ProductCount&gt;=3,I.Product.P3Sector=""),"Incomplete","Complete")</f>
        <v>Complete</v>
      </c>
      <c r="I526" s="46" t="s">
        <v>992</v>
      </c>
    </row>
    <row r="527" spans="2:9" ht="14.45" customHeight="1" x14ac:dyDescent="0.25">
      <c r="B527" s="44"/>
      <c r="C527" s="28"/>
      <c r="D527" s="45"/>
      <c r="E527" s="28"/>
      <c r="F527" s="28"/>
      <c r="G527" s="28"/>
      <c r="H527" s="28" t="str">
        <f>IF(AND(I.Facility.ProductCount&gt;=3,I.Facility.OilGas&lt;&gt;"Yes",I.Product.P3Sector="Upstream oil and gas"),"Incomplete","Complete")</f>
        <v>Complete</v>
      </c>
      <c r="I527" s="46" t="s">
        <v>993</v>
      </c>
    </row>
    <row r="528" spans="2:9" ht="14.45" customHeight="1" x14ac:dyDescent="0.25">
      <c r="B528" s="44" t="s">
        <v>305</v>
      </c>
      <c r="C528" s="28">
        <v>1</v>
      </c>
      <c r="D528" s="45" t="s">
        <v>2021</v>
      </c>
      <c r="E528" s="45"/>
      <c r="F528" s="28" t="str">
        <f>IF(I.Product.P3OtherSector="","",I.Product.P3OtherSector)</f>
        <v/>
      </c>
      <c r="G528" s="45"/>
      <c r="H528" s="28" t="str">
        <f>IF(AND(I.Facility.ProductCount&gt;=3,I.Product.P3Sector="Other sectors",I.Product.P3OtherSector=""),"Incomplete","Complete")</f>
        <v>Complete</v>
      </c>
      <c r="I528" s="46" t="s">
        <v>994</v>
      </c>
    </row>
    <row r="529" spans="2:9" ht="14.45" customHeight="1" x14ac:dyDescent="0.25">
      <c r="B529" s="44"/>
      <c r="C529" s="28"/>
      <c r="D529" s="45"/>
      <c r="E529" s="28"/>
      <c r="F529" s="28"/>
      <c r="G529" s="28"/>
      <c r="H529" s="28" t="str">
        <f>IF(AND(I.Facility.ProductCount&gt;=3,I.Developer.P3C1=FALSE,I.Developer.P3C2=FALSE,I.Developer.P3C3=FALSE,I.Developer.P3C4=FALSE,I.Developer.P3C5=FALSE,I.Developer.P3C6=FALSE,I.Developer.P3C7=FALSE,I.Developer.P3C8=FALSE,I.Developer.P3C9=FALSE),"Incomplete","Complete")</f>
        <v>Complete</v>
      </c>
      <c r="I529" s="46" t="s">
        <v>995</v>
      </c>
    </row>
    <row r="530" spans="2:9" ht="14.45" customHeight="1" x14ac:dyDescent="0.25">
      <c r="B530" s="53" t="s">
        <v>306</v>
      </c>
      <c r="C530" s="66">
        <v>1</v>
      </c>
      <c r="D530" s="54" t="s">
        <v>2022</v>
      </c>
      <c r="E530" s="54"/>
      <c r="F530" s="66" t="str">
        <f>IF(I.Product.P3Electricity="","",I.Product.P3Electricity)</f>
        <v/>
      </c>
      <c r="G530" s="54"/>
      <c r="H530" s="66" t="str">
        <f>IF(AND(I.Facility.ProductCount&gt;=3,I.Product.P3Electricity=""),"Incomplete","Complete")</f>
        <v>Complete</v>
      </c>
      <c r="I530" s="68" t="s">
        <v>996</v>
      </c>
    </row>
    <row r="531" spans="2:9" ht="14.45" customHeight="1" x14ac:dyDescent="0.25">
      <c r="B531" s="44" t="s">
        <v>307</v>
      </c>
      <c r="C531" s="28">
        <v>1</v>
      </c>
      <c r="D531" s="45" t="s">
        <v>2023</v>
      </c>
      <c r="E531" s="45"/>
      <c r="F531" s="28" t="str">
        <f>IF(I.Product.P4Name="","",I.Product.P4Name)</f>
        <v/>
      </c>
      <c r="G531" s="45"/>
      <c r="H531" s="28" t="str">
        <f>IF(AND(I.Facility.ProductCount&gt;=4,I.Product.P4Name=""),"Incomplete","Complete")</f>
        <v>Complete</v>
      </c>
      <c r="I531" s="46" t="s">
        <v>997</v>
      </c>
    </row>
    <row r="532" spans="2:9" ht="14.45" customHeight="1" x14ac:dyDescent="0.25">
      <c r="B532" s="44" t="s">
        <v>308</v>
      </c>
      <c r="C532" s="28">
        <v>1</v>
      </c>
      <c r="D532" s="45" t="s">
        <v>2024</v>
      </c>
      <c r="E532" s="45"/>
      <c r="F532" s="28" t="str">
        <f>IF(I.Product.P4Sector="","",I.Product.P4Sector)</f>
        <v/>
      </c>
      <c r="G532" s="45"/>
      <c r="H532" s="28" t="str">
        <f>IF(AND(I.Facility.ProductCount&gt;=4,I.Product.P4Sector=""),"Incomplete","Complete")</f>
        <v>Complete</v>
      </c>
      <c r="I532" s="46" t="s">
        <v>998</v>
      </c>
    </row>
    <row r="533" spans="2:9" ht="14.45" customHeight="1" x14ac:dyDescent="0.25">
      <c r="B533" s="44"/>
      <c r="C533" s="28"/>
      <c r="D533" s="45"/>
      <c r="E533" s="28"/>
      <c r="F533" s="28"/>
      <c r="G533" s="28"/>
      <c r="H533" s="28" t="str">
        <f>IF(AND(I.Facility.ProductCount&gt;=4,I.Facility.OilGas&lt;&gt;"Yes",I.Product.P4Sector="Upstream oil and gas"),"Incomplete","Complete")</f>
        <v>Complete</v>
      </c>
      <c r="I533" s="46" t="s">
        <v>999</v>
      </c>
    </row>
    <row r="534" spans="2:9" ht="14.45" customHeight="1" x14ac:dyDescent="0.25">
      <c r="B534" s="44" t="s">
        <v>309</v>
      </c>
      <c r="C534" s="28">
        <v>1</v>
      </c>
      <c r="D534" s="45" t="s">
        <v>2025</v>
      </c>
      <c r="E534" s="45"/>
      <c r="F534" s="28" t="str">
        <f>IF(I.Product.P4OtherSector="","",I.Product.P4OtherSector)</f>
        <v/>
      </c>
      <c r="G534" s="45"/>
      <c r="H534" s="28" t="str">
        <f>IF(AND(I.Facility.ProductCount&gt;=4,I.Product.P4Sector="Other sectors",I.Product.P4OtherSector=""),"Incomplete","Complete")</f>
        <v>Complete</v>
      </c>
      <c r="I534" s="46" t="s">
        <v>1000</v>
      </c>
    </row>
    <row r="535" spans="2:9" ht="14.45" customHeight="1" x14ac:dyDescent="0.25">
      <c r="B535" s="44"/>
      <c r="C535" s="28"/>
      <c r="D535" s="45"/>
      <c r="E535" s="28"/>
      <c r="F535" s="28"/>
      <c r="G535" s="28"/>
      <c r="H535" s="28" t="str">
        <f>IF(AND(I.Facility.ProductCount&gt;=4,I.Developer.P4C1=FALSE,I.Developer.P4C2=FALSE,I.Developer.P4C3=FALSE,I.Developer.P4C4=FALSE,I.Developer.P4C5=FALSE,I.Developer.P4C6=FALSE,I.Developer.P4C7=FALSE,I.Developer.P4C8=FALSE,I.Developer.P4C9=FALSE),"Incomplete","Complete")</f>
        <v>Complete</v>
      </c>
      <c r="I535" s="46" t="s">
        <v>1001</v>
      </c>
    </row>
    <row r="536" spans="2:9" ht="14.45" customHeight="1" x14ac:dyDescent="0.25">
      <c r="B536" s="53" t="s">
        <v>310</v>
      </c>
      <c r="C536" s="66">
        <v>1</v>
      </c>
      <c r="D536" s="54" t="s">
        <v>2026</v>
      </c>
      <c r="E536" s="54"/>
      <c r="F536" s="66" t="str">
        <f>IF(I.Product.P4Electricity="","",I.Product.P4Electricity)</f>
        <v/>
      </c>
      <c r="G536" s="54"/>
      <c r="H536" s="66" t="str">
        <f>IF(AND(I.Facility.ProductCount&gt;=4,I.Product.P4Electricity=""),"Incomplete","Complete")</f>
        <v>Complete</v>
      </c>
      <c r="I536" s="68" t="s">
        <v>1002</v>
      </c>
    </row>
    <row r="537" spans="2:9" ht="14.45" customHeight="1" x14ac:dyDescent="0.25">
      <c r="B537" s="44" t="s">
        <v>311</v>
      </c>
      <c r="C537" s="28">
        <v>1</v>
      </c>
      <c r="D537" s="45" t="s">
        <v>2027</v>
      </c>
      <c r="E537" s="45"/>
      <c r="F537" s="28" t="str">
        <f>IF(I.Product.P5Name="","",I.Product.P5Name)</f>
        <v/>
      </c>
      <c r="G537" s="45"/>
      <c r="H537" s="28" t="str">
        <f>IF(AND(I.Facility.ProductCount&gt;=5,I.Product.P5Name=""),"Incomplete","Complete")</f>
        <v>Complete</v>
      </c>
      <c r="I537" s="46" t="s">
        <v>1003</v>
      </c>
    </row>
    <row r="538" spans="2:9" ht="14.45" customHeight="1" x14ac:dyDescent="0.25">
      <c r="B538" s="44" t="s">
        <v>312</v>
      </c>
      <c r="C538" s="28">
        <v>1</v>
      </c>
      <c r="D538" s="45" t="s">
        <v>2028</v>
      </c>
      <c r="E538" s="45"/>
      <c r="F538" s="28" t="str">
        <f>IF(I.Product.P5Sector="","",I.Product.P5Sector)</f>
        <v/>
      </c>
      <c r="G538" s="45"/>
      <c r="H538" s="28" t="str">
        <f>IF(AND(I.Facility.ProductCount&gt;=5,I.Product.P5Sector=""),"Incomplete","Complete")</f>
        <v>Complete</v>
      </c>
      <c r="I538" s="46" t="s">
        <v>1004</v>
      </c>
    </row>
    <row r="539" spans="2:9" ht="14.45" customHeight="1" x14ac:dyDescent="0.25">
      <c r="B539" s="44"/>
      <c r="C539" s="28"/>
      <c r="D539" s="45"/>
      <c r="E539" s="28"/>
      <c r="F539" s="28"/>
      <c r="G539" s="28"/>
      <c r="H539" s="28" t="str">
        <f>IF(AND(I.Facility.ProductCount&gt;=5,I.Facility.OilGas&lt;&gt;"Yes",I.Product.P5Sector="Upstream oil and gas"),"Incomplete","Complete")</f>
        <v>Complete</v>
      </c>
      <c r="I539" s="46" t="s">
        <v>1005</v>
      </c>
    </row>
    <row r="540" spans="2:9" ht="14.45" customHeight="1" x14ac:dyDescent="0.25">
      <c r="B540" s="44" t="s">
        <v>313</v>
      </c>
      <c r="C540" s="28">
        <v>1</v>
      </c>
      <c r="D540" s="45" t="s">
        <v>2029</v>
      </c>
      <c r="E540" s="45"/>
      <c r="F540" s="28" t="str">
        <f>IF(I.Product.P5OtherSector="","",I.Product.P5OtherSector)</f>
        <v/>
      </c>
      <c r="G540" s="45"/>
      <c r="H540" s="28" t="str">
        <f>IF(AND(I.Facility.ProductCount&gt;=5,I.Product.P5Sector="Other sectors",I.Product.P5OtherSector=""),"Incomplete","Complete")</f>
        <v>Complete</v>
      </c>
      <c r="I540" s="46" t="s">
        <v>1006</v>
      </c>
    </row>
    <row r="541" spans="2:9" ht="14.45" customHeight="1" x14ac:dyDescent="0.25">
      <c r="B541" s="44"/>
      <c r="C541" s="28"/>
      <c r="D541" s="45"/>
      <c r="E541" s="28"/>
      <c r="F541" s="28"/>
      <c r="G541" s="28"/>
      <c r="H541" s="28" t="str">
        <f>IF(AND(I.Facility.ProductCount&gt;=5,I.Developer.P5C1=FALSE,I.Developer.P5C2=FALSE,I.Developer.P5C3=FALSE,I.Developer.P5C4=FALSE,I.Developer.P5C5=FALSE,I.Developer.P5C6=FALSE,I.Developer.P5C7=FALSE,I.Developer.P5C8=FALSE,I.Developer.P5C9=FALSE),"Incomplete","Complete")</f>
        <v>Complete</v>
      </c>
      <c r="I541" s="46" t="s">
        <v>1007</v>
      </c>
    </row>
    <row r="542" spans="2:9" ht="14.45" customHeight="1" x14ac:dyDescent="0.25">
      <c r="B542" s="53" t="s">
        <v>314</v>
      </c>
      <c r="C542" s="66">
        <v>1</v>
      </c>
      <c r="D542" s="54" t="s">
        <v>2030</v>
      </c>
      <c r="E542" s="54"/>
      <c r="F542" s="66" t="str">
        <f>IF(I.Product.P5Electricity="","",I.Product.P5Electricity)</f>
        <v/>
      </c>
      <c r="G542" s="54"/>
      <c r="H542" s="66" t="str">
        <f>IF(AND(I.Facility.ProductCount&gt;=5,I.Product.P5Electricity=""),"Incomplete","Complete")</f>
        <v>Complete</v>
      </c>
      <c r="I542" s="68" t="s">
        <v>1008</v>
      </c>
    </row>
    <row r="543" spans="2:9" ht="14.45" customHeight="1" x14ac:dyDescent="0.25">
      <c r="B543" s="38"/>
      <c r="C543" s="86"/>
      <c r="D543" s="69"/>
      <c r="E543" s="86"/>
      <c r="F543" s="86"/>
      <c r="G543" s="86"/>
      <c r="H543" s="86" t="str">
        <f>IF(AND(I.Facility.OilGas="Yes",I.Product.P1Sector&lt;&gt;"Upstream oil and gas",I.Product.P2Sector&lt;&gt;"Upstream oil and gas",I.Product.P3Sector&lt;&gt;"Upstream oil and gas",I.Product.P4Sector&lt;&gt;"Upstream oil and gas",I.Product.P5Sector&lt;&gt;"Upstream oil and gas"),"Incomplete","Complete")</f>
        <v>Complete</v>
      </c>
      <c r="I543" s="71" t="s">
        <v>1009</v>
      </c>
    </row>
    <row r="544" spans="2:9" ht="14.45" customHeight="1" x14ac:dyDescent="0.25">
      <c r="B544" s="44" t="s">
        <v>315</v>
      </c>
      <c r="C544" s="28">
        <v>1</v>
      </c>
      <c r="D544" s="45" t="s">
        <v>2031</v>
      </c>
      <c r="E544" s="87"/>
      <c r="F544" s="87" t="str">
        <f>IF(I.Production.P1Quantity="","",I.Production.P1Quantity)</f>
        <v/>
      </c>
      <c r="G544" s="87"/>
      <c r="H544" s="28" t="str">
        <f>IF(AND(I.Facility.ProductCount&gt;=1,I.Production.P1Quantity=""),"Incomplete","Complete")</f>
        <v>Incomplete</v>
      </c>
      <c r="I544" s="46" t="s">
        <v>1010</v>
      </c>
    </row>
    <row r="545" spans="2:9" ht="14.45" customHeight="1" x14ac:dyDescent="0.25">
      <c r="B545" s="53" t="s">
        <v>316</v>
      </c>
      <c r="C545" s="66">
        <v>1</v>
      </c>
      <c r="D545" s="54" t="s">
        <v>2032</v>
      </c>
      <c r="E545" s="54"/>
      <c r="F545" s="66" t="str">
        <f>IF(I.Production.P1Units="","",I.Production.P1Units)</f>
        <v/>
      </c>
      <c r="G545" s="54"/>
      <c r="H545" s="66" t="str">
        <f>IF(AND(I.Facility.ProductCount&gt;=1,I.Production.P1Units=""),"Incomplete","Complete")</f>
        <v>Incomplete</v>
      </c>
      <c r="I545" s="68" t="s">
        <v>1011</v>
      </c>
    </row>
    <row r="546" spans="2:9" ht="14.45" customHeight="1" x14ac:dyDescent="0.25">
      <c r="B546" s="44" t="s">
        <v>317</v>
      </c>
      <c r="C546" s="28">
        <v>1</v>
      </c>
      <c r="D546" s="45" t="s">
        <v>2033</v>
      </c>
      <c r="E546" s="87"/>
      <c r="F546" s="87" t="str">
        <f>IF(INDEX(I.Production.P1C1,1)="","",INDEX(I.Production.P1C1,1))</f>
        <v/>
      </c>
      <c r="G546" s="87"/>
      <c r="H546" s="28" t="str">
        <f>IF(AND(I.Facility.ProductCount&gt;=1,I.Developer.P1C1=TRUE,F546=""),"Incomplete","Complete")</f>
        <v>Complete</v>
      </c>
      <c r="I546" s="46" t="s">
        <v>1012</v>
      </c>
    </row>
    <row r="547" spans="2:9" ht="14.45" customHeight="1" x14ac:dyDescent="0.25">
      <c r="B547" s="44" t="s">
        <v>317</v>
      </c>
      <c r="C547" s="28">
        <v>2</v>
      </c>
      <c r="D547" s="45" t="s">
        <v>2033</v>
      </c>
      <c r="E547" s="87"/>
      <c r="F547" s="87" t="str">
        <f>IF(INDEX(I.Production.P1C1,2)="","",INDEX(I.Production.P1C1,2))</f>
        <v/>
      </c>
      <c r="G547" s="87"/>
      <c r="H547" s="28" t="str">
        <f>IF(AND(I.Facility.ProductCount&gt;=1,I.Developer.P1C1=TRUE,F547=""),"Incomplete","Complete")</f>
        <v>Complete</v>
      </c>
      <c r="I547" s="46" t="s">
        <v>1013</v>
      </c>
    </row>
    <row r="548" spans="2:9" ht="14.45" customHeight="1" x14ac:dyDescent="0.25">
      <c r="B548" s="53" t="s">
        <v>317</v>
      </c>
      <c r="C548" s="66">
        <v>3</v>
      </c>
      <c r="D548" s="54" t="s">
        <v>2033</v>
      </c>
      <c r="E548" s="88"/>
      <c r="F548" s="88" t="str">
        <f>IF(INDEX(I.Production.P1C1,3)="","",INDEX(I.Production.P1C1,3))</f>
        <v/>
      </c>
      <c r="G548" s="88"/>
      <c r="H548" s="66" t="str">
        <f>IF(AND(I.Facility.ProductCount&gt;=1,I.Developer.P1C1=TRUE,F548=""),"Incomplete","Complete")</f>
        <v>Complete</v>
      </c>
      <c r="I548" s="68" t="s">
        <v>1014</v>
      </c>
    </row>
    <row r="549" spans="2:9" ht="14.45" customHeight="1" x14ac:dyDescent="0.25">
      <c r="B549" s="44" t="s">
        <v>318</v>
      </c>
      <c r="C549" s="28">
        <v>1</v>
      </c>
      <c r="D549" s="45" t="s">
        <v>2034</v>
      </c>
      <c r="E549" s="87"/>
      <c r="F549" s="87" t="str">
        <f>IF(INDEX(I.Production.P1C2,1)="","",INDEX(I.Production.P1C2,1))</f>
        <v/>
      </c>
      <c r="G549" s="87"/>
      <c r="H549" s="28" t="str">
        <f t="shared" ref="H549:H572" si="0">IF(AND(I.Facility.ProductCount&gt;=1,I.Developer.P1C2=TRUE,F549=""),"Incomplete","Complete")</f>
        <v>Complete</v>
      </c>
      <c r="I549" s="46" t="s">
        <v>1015</v>
      </c>
    </row>
    <row r="550" spans="2:9" ht="14.45" customHeight="1" x14ac:dyDescent="0.25">
      <c r="B550" s="44" t="s">
        <v>318</v>
      </c>
      <c r="C550" s="28">
        <v>2</v>
      </c>
      <c r="D550" s="45" t="s">
        <v>2034</v>
      </c>
      <c r="E550" s="87"/>
      <c r="F550" s="87" t="str">
        <f>IF(INDEX(I.Production.P1C2,2)="","",INDEX(I.Production.P1C2,2))</f>
        <v/>
      </c>
      <c r="G550" s="87"/>
      <c r="H550" s="28" t="str">
        <f t="shared" si="0"/>
        <v>Complete</v>
      </c>
      <c r="I550" s="46" t="s">
        <v>1016</v>
      </c>
    </row>
    <row r="551" spans="2:9" ht="14.45" customHeight="1" x14ac:dyDescent="0.25">
      <c r="B551" s="44" t="s">
        <v>318</v>
      </c>
      <c r="C551" s="28">
        <v>3</v>
      </c>
      <c r="D551" s="45" t="s">
        <v>2034</v>
      </c>
      <c r="E551" s="87"/>
      <c r="F551" s="87" t="str">
        <f>IF(INDEX(I.Production.P1C2,3)="","",INDEX(I.Production.P1C2,3))</f>
        <v/>
      </c>
      <c r="G551" s="87"/>
      <c r="H551" s="28" t="str">
        <f t="shared" si="0"/>
        <v>Complete</v>
      </c>
      <c r="I551" s="46" t="s">
        <v>1017</v>
      </c>
    </row>
    <row r="552" spans="2:9" ht="14.45" customHeight="1" x14ac:dyDescent="0.25">
      <c r="B552" s="44" t="s">
        <v>318</v>
      </c>
      <c r="C552" s="28">
        <v>4</v>
      </c>
      <c r="D552" s="45" t="s">
        <v>2034</v>
      </c>
      <c r="E552" s="87"/>
      <c r="F552" s="87" t="str">
        <f>IF(INDEX(I.Production.P1C2,4)="","",INDEX(I.Production.P1C2,4))</f>
        <v/>
      </c>
      <c r="G552" s="87"/>
      <c r="H552" s="28" t="str">
        <f t="shared" si="0"/>
        <v>Complete</v>
      </c>
      <c r="I552" s="46" t="s">
        <v>1018</v>
      </c>
    </row>
    <row r="553" spans="2:9" ht="14.45" customHeight="1" x14ac:dyDescent="0.25">
      <c r="B553" s="44" t="s">
        <v>318</v>
      </c>
      <c r="C553" s="28">
        <v>5</v>
      </c>
      <c r="D553" s="45" t="s">
        <v>2034</v>
      </c>
      <c r="E553" s="87"/>
      <c r="F553" s="87" t="str">
        <f>IF(INDEX(I.Production.P1C2,5)="","",INDEX(I.Production.P1C2,5))</f>
        <v/>
      </c>
      <c r="G553" s="87"/>
      <c r="H553" s="28" t="str">
        <f t="shared" si="0"/>
        <v>Complete</v>
      </c>
      <c r="I553" s="46" t="s">
        <v>1019</v>
      </c>
    </row>
    <row r="554" spans="2:9" ht="14.45" customHeight="1" x14ac:dyDescent="0.25">
      <c r="B554" s="44" t="s">
        <v>318</v>
      </c>
      <c r="C554" s="28">
        <v>6</v>
      </c>
      <c r="D554" s="45" t="s">
        <v>2034</v>
      </c>
      <c r="E554" s="87"/>
      <c r="F554" s="87" t="str">
        <f>IF(INDEX(I.Production.P1C2,6)="","",INDEX(I.Production.P1C2,6))</f>
        <v/>
      </c>
      <c r="G554" s="87"/>
      <c r="H554" s="28" t="str">
        <f t="shared" si="0"/>
        <v>Complete</v>
      </c>
      <c r="I554" s="46" t="s">
        <v>1020</v>
      </c>
    </row>
    <row r="555" spans="2:9" ht="14.45" customHeight="1" x14ac:dyDescent="0.25">
      <c r="B555" s="44" t="s">
        <v>318</v>
      </c>
      <c r="C555" s="28">
        <v>7</v>
      </c>
      <c r="D555" s="45" t="s">
        <v>2034</v>
      </c>
      <c r="E555" s="87"/>
      <c r="F555" s="87" t="str">
        <f>IF(INDEX(I.Production.P1C2,7)="","",INDEX(I.Production.P1C2,7))</f>
        <v/>
      </c>
      <c r="G555" s="87"/>
      <c r="H555" s="28" t="str">
        <f t="shared" si="0"/>
        <v>Complete</v>
      </c>
      <c r="I555" s="46" t="s">
        <v>1021</v>
      </c>
    </row>
    <row r="556" spans="2:9" ht="14.45" customHeight="1" x14ac:dyDescent="0.25">
      <c r="B556" s="44" t="s">
        <v>318</v>
      </c>
      <c r="C556" s="28">
        <v>8</v>
      </c>
      <c r="D556" s="45" t="s">
        <v>2034</v>
      </c>
      <c r="E556" s="87"/>
      <c r="F556" s="87" t="str">
        <f>IF(INDEX(I.Production.P1C2,8)="","",INDEX(I.Production.P1C2,8))</f>
        <v/>
      </c>
      <c r="G556" s="87"/>
      <c r="H556" s="28" t="str">
        <f t="shared" si="0"/>
        <v>Complete</v>
      </c>
      <c r="I556" s="46" t="s">
        <v>1022</v>
      </c>
    </row>
    <row r="557" spans="2:9" ht="14.45" customHeight="1" x14ac:dyDescent="0.25">
      <c r="B557" s="44" t="s">
        <v>318</v>
      </c>
      <c r="C557" s="28">
        <v>9</v>
      </c>
      <c r="D557" s="45" t="s">
        <v>2034</v>
      </c>
      <c r="E557" s="87"/>
      <c r="F557" s="87" t="str">
        <f>IF(INDEX(I.Production.P1C2,9)="","",INDEX(I.Production.P1C2,9))</f>
        <v/>
      </c>
      <c r="G557" s="87"/>
      <c r="H557" s="28" t="str">
        <f t="shared" si="0"/>
        <v>Complete</v>
      </c>
      <c r="I557" s="46" t="s">
        <v>1023</v>
      </c>
    </row>
    <row r="558" spans="2:9" ht="14.45" customHeight="1" x14ac:dyDescent="0.25">
      <c r="B558" s="44" t="s">
        <v>318</v>
      </c>
      <c r="C558" s="28">
        <v>10</v>
      </c>
      <c r="D558" s="45" t="s">
        <v>2034</v>
      </c>
      <c r="E558" s="87"/>
      <c r="F558" s="87" t="str">
        <f>IF(INDEX(I.Production.P1C2,10)="","",INDEX(I.Production.P1C2,10))</f>
        <v/>
      </c>
      <c r="G558" s="87"/>
      <c r="H558" s="28" t="str">
        <f t="shared" si="0"/>
        <v>Complete</v>
      </c>
      <c r="I558" s="46" t="s">
        <v>1024</v>
      </c>
    </row>
    <row r="559" spans="2:9" ht="14.45" customHeight="1" x14ac:dyDescent="0.25">
      <c r="B559" s="44" t="s">
        <v>318</v>
      </c>
      <c r="C559" s="28">
        <v>11</v>
      </c>
      <c r="D559" s="45" t="s">
        <v>2034</v>
      </c>
      <c r="E559" s="87"/>
      <c r="F559" s="87" t="str">
        <f>IF(INDEX(I.Production.P1C2,11)="","",INDEX(I.Production.P1C2,11))</f>
        <v/>
      </c>
      <c r="G559" s="87"/>
      <c r="H559" s="28" t="str">
        <f t="shared" si="0"/>
        <v>Complete</v>
      </c>
      <c r="I559" s="46" t="s">
        <v>1025</v>
      </c>
    </row>
    <row r="560" spans="2:9" ht="14.45" customHeight="1" x14ac:dyDescent="0.25">
      <c r="B560" s="44" t="s">
        <v>318</v>
      </c>
      <c r="C560" s="28">
        <v>12</v>
      </c>
      <c r="D560" s="45" t="s">
        <v>2034</v>
      </c>
      <c r="E560" s="87"/>
      <c r="F560" s="87" t="str">
        <f>IF(INDEX(I.Production.P1C2,12)="","",INDEX(I.Production.P1C2,12))</f>
        <v/>
      </c>
      <c r="G560" s="87"/>
      <c r="H560" s="28" t="str">
        <f t="shared" si="0"/>
        <v>Complete</v>
      </c>
      <c r="I560" s="46" t="s">
        <v>1026</v>
      </c>
    </row>
    <row r="561" spans="2:9" ht="14.45" customHeight="1" x14ac:dyDescent="0.25">
      <c r="B561" s="44" t="s">
        <v>318</v>
      </c>
      <c r="C561" s="28">
        <v>13</v>
      </c>
      <c r="D561" s="45" t="s">
        <v>2034</v>
      </c>
      <c r="E561" s="87"/>
      <c r="F561" s="87" t="str">
        <f>IF(INDEX(I.Production.P1C2,13)="","",INDEX(I.Production.P1C2,13))</f>
        <v/>
      </c>
      <c r="G561" s="87"/>
      <c r="H561" s="28" t="str">
        <f t="shared" si="0"/>
        <v>Complete</v>
      </c>
      <c r="I561" s="46" t="s">
        <v>1027</v>
      </c>
    </row>
    <row r="562" spans="2:9" ht="14.45" customHeight="1" x14ac:dyDescent="0.25">
      <c r="B562" s="44" t="s">
        <v>318</v>
      </c>
      <c r="C562" s="28">
        <v>14</v>
      </c>
      <c r="D562" s="45" t="s">
        <v>2034</v>
      </c>
      <c r="E562" s="87"/>
      <c r="F562" s="87" t="str">
        <f>IF(INDEX(I.Production.P1C2,14)="","",INDEX(I.Production.P1C2,14))</f>
        <v/>
      </c>
      <c r="G562" s="87"/>
      <c r="H562" s="28" t="str">
        <f t="shared" si="0"/>
        <v>Complete</v>
      </c>
      <c r="I562" s="46" t="s">
        <v>1028</v>
      </c>
    </row>
    <row r="563" spans="2:9" ht="14.45" customHeight="1" x14ac:dyDescent="0.25">
      <c r="B563" s="44" t="s">
        <v>318</v>
      </c>
      <c r="C563" s="28">
        <v>15</v>
      </c>
      <c r="D563" s="45" t="s">
        <v>2034</v>
      </c>
      <c r="E563" s="87"/>
      <c r="F563" s="87" t="str">
        <f>IF(INDEX(I.Production.P1C2,15)="","",INDEX(I.Production.P1C2,15))</f>
        <v/>
      </c>
      <c r="G563" s="87"/>
      <c r="H563" s="28" t="str">
        <f t="shared" si="0"/>
        <v>Complete</v>
      </c>
      <c r="I563" s="46" t="s">
        <v>1029</v>
      </c>
    </row>
    <row r="564" spans="2:9" ht="14.45" customHeight="1" x14ac:dyDescent="0.25">
      <c r="B564" s="44" t="s">
        <v>318</v>
      </c>
      <c r="C564" s="28">
        <v>16</v>
      </c>
      <c r="D564" s="45" t="s">
        <v>2034</v>
      </c>
      <c r="E564" s="87"/>
      <c r="F564" s="87" t="str">
        <f>IF(INDEX(I.Production.P1C2,16)="","",INDEX(I.Production.P1C2,16))</f>
        <v/>
      </c>
      <c r="G564" s="87"/>
      <c r="H564" s="28" t="str">
        <f t="shared" si="0"/>
        <v>Complete</v>
      </c>
      <c r="I564" s="46" t="s">
        <v>1030</v>
      </c>
    </row>
    <row r="565" spans="2:9" ht="14.45" customHeight="1" x14ac:dyDescent="0.25">
      <c r="B565" s="44" t="s">
        <v>318</v>
      </c>
      <c r="C565" s="28">
        <v>17</v>
      </c>
      <c r="D565" s="45" t="s">
        <v>2034</v>
      </c>
      <c r="E565" s="87"/>
      <c r="F565" s="87" t="str">
        <f>IF(INDEX(I.Production.P1C2,17)="","",INDEX(I.Production.P1C2,17))</f>
        <v/>
      </c>
      <c r="G565" s="87"/>
      <c r="H565" s="28" t="str">
        <f t="shared" si="0"/>
        <v>Complete</v>
      </c>
      <c r="I565" s="46" t="s">
        <v>1031</v>
      </c>
    </row>
    <row r="566" spans="2:9" ht="14.45" customHeight="1" x14ac:dyDescent="0.25">
      <c r="B566" s="44" t="s">
        <v>318</v>
      </c>
      <c r="C566" s="28">
        <v>18</v>
      </c>
      <c r="D566" s="45" t="s">
        <v>2034</v>
      </c>
      <c r="E566" s="87"/>
      <c r="F566" s="87" t="str">
        <f>IF(INDEX(I.Production.P1C2,18)="","",INDEX(I.Production.P1C2,18))</f>
        <v/>
      </c>
      <c r="G566" s="87"/>
      <c r="H566" s="28" t="str">
        <f t="shared" si="0"/>
        <v>Complete</v>
      </c>
      <c r="I566" s="46" t="s">
        <v>1032</v>
      </c>
    </row>
    <row r="567" spans="2:9" ht="14.45" customHeight="1" x14ac:dyDescent="0.25">
      <c r="B567" s="44" t="s">
        <v>318</v>
      </c>
      <c r="C567" s="28">
        <v>19</v>
      </c>
      <c r="D567" s="45" t="s">
        <v>2034</v>
      </c>
      <c r="E567" s="87"/>
      <c r="F567" s="87" t="str">
        <f>IF(INDEX(I.Production.P1C2,19)="","",INDEX(I.Production.P1C2,19))</f>
        <v/>
      </c>
      <c r="G567" s="87"/>
      <c r="H567" s="28" t="str">
        <f t="shared" si="0"/>
        <v>Complete</v>
      </c>
      <c r="I567" s="46" t="s">
        <v>1033</v>
      </c>
    </row>
    <row r="568" spans="2:9" ht="14.45" customHeight="1" x14ac:dyDescent="0.25">
      <c r="B568" s="44" t="s">
        <v>318</v>
      </c>
      <c r="C568" s="28">
        <v>20</v>
      </c>
      <c r="D568" s="45" t="s">
        <v>2034</v>
      </c>
      <c r="E568" s="87"/>
      <c r="F568" s="87" t="str">
        <f>IF(INDEX(I.Production.P1C2,20)="","",INDEX(I.Production.P1C2,20))</f>
        <v/>
      </c>
      <c r="G568" s="87"/>
      <c r="H568" s="28" t="str">
        <f t="shared" si="0"/>
        <v>Complete</v>
      </c>
      <c r="I568" s="46" t="s">
        <v>1034</v>
      </c>
    </row>
    <row r="569" spans="2:9" ht="14.45" customHeight="1" x14ac:dyDescent="0.25">
      <c r="B569" s="44" t="s">
        <v>318</v>
      </c>
      <c r="C569" s="28">
        <v>21</v>
      </c>
      <c r="D569" s="45" t="s">
        <v>2034</v>
      </c>
      <c r="E569" s="87"/>
      <c r="F569" s="87" t="str">
        <f>IF(INDEX(I.Production.P1C2,21)="","",INDEX(I.Production.P1C2,21))</f>
        <v/>
      </c>
      <c r="G569" s="87"/>
      <c r="H569" s="28" t="str">
        <f t="shared" si="0"/>
        <v>Complete</v>
      </c>
      <c r="I569" s="46" t="s">
        <v>1035</v>
      </c>
    </row>
    <row r="570" spans="2:9" ht="14.45" customHeight="1" x14ac:dyDescent="0.25">
      <c r="B570" s="44" t="s">
        <v>318</v>
      </c>
      <c r="C570" s="28">
        <v>22</v>
      </c>
      <c r="D570" s="45" t="s">
        <v>2034</v>
      </c>
      <c r="E570" s="87"/>
      <c r="F570" s="87" t="str">
        <f>IF(INDEX(I.Production.P1C2,22)="","",INDEX(I.Production.P1C2,22))</f>
        <v/>
      </c>
      <c r="G570" s="87"/>
      <c r="H570" s="28" t="str">
        <f t="shared" si="0"/>
        <v>Complete</v>
      </c>
      <c r="I570" s="46" t="s">
        <v>1036</v>
      </c>
    </row>
    <row r="571" spans="2:9" ht="14.45" customHeight="1" x14ac:dyDescent="0.25">
      <c r="B571" s="44" t="s">
        <v>318</v>
      </c>
      <c r="C571" s="28">
        <v>23</v>
      </c>
      <c r="D571" s="45" t="s">
        <v>2034</v>
      </c>
      <c r="E571" s="87"/>
      <c r="F571" s="87" t="str">
        <f>IF(INDEX(I.Production.P1C2,23)="","",INDEX(I.Production.P1C2,23))</f>
        <v/>
      </c>
      <c r="G571" s="87"/>
      <c r="H571" s="28" t="str">
        <f t="shared" si="0"/>
        <v>Complete</v>
      </c>
      <c r="I571" s="46" t="s">
        <v>1037</v>
      </c>
    </row>
    <row r="572" spans="2:9" ht="14.45" customHeight="1" x14ac:dyDescent="0.25">
      <c r="B572" s="53" t="s">
        <v>318</v>
      </c>
      <c r="C572" s="66">
        <v>24</v>
      </c>
      <c r="D572" s="54" t="s">
        <v>2034</v>
      </c>
      <c r="E572" s="88"/>
      <c r="F572" s="88" t="str">
        <f>IF(INDEX(I.Production.P1C2,24)="","",INDEX(I.Production.P1C2,24))</f>
        <v/>
      </c>
      <c r="G572" s="88"/>
      <c r="H572" s="66" t="str">
        <f t="shared" si="0"/>
        <v>Complete</v>
      </c>
      <c r="I572" s="68" t="s">
        <v>1038</v>
      </c>
    </row>
    <row r="573" spans="2:9" ht="14.45" customHeight="1" x14ac:dyDescent="0.25">
      <c r="B573" s="44" t="s">
        <v>319</v>
      </c>
      <c r="C573" s="28">
        <v>1</v>
      </c>
      <c r="D573" s="45" t="s">
        <v>2035</v>
      </c>
      <c r="E573" s="87"/>
      <c r="F573" s="87" t="str">
        <f>IF(INDEX(I.Production.P1C3,1)="","",INDEX(I.Production.P1C3,1))</f>
        <v/>
      </c>
      <c r="G573" s="87"/>
      <c r="H573" s="28" t="str">
        <f t="shared" ref="H573:H593" si="1">IF(AND(I.Facility.ProductCount&gt;=1,I.Developer.P1C3=TRUE,F573=""),"Incomplete","Complete")</f>
        <v>Complete</v>
      </c>
      <c r="I573" s="46" t="s">
        <v>1039</v>
      </c>
    </row>
    <row r="574" spans="2:9" ht="14.45" customHeight="1" x14ac:dyDescent="0.25">
      <c r="B574" s="44" t="s">
        <v>319</v>
      </c>
      <c r="C574" s="28">
        <v>2</v>
      </c>
      <c r="D574" s="45" t="s">
        <v>2035</v>
      </c>
      <c r="E574" s="87"/>
      <c r="F574" s="87" t="str">
        <f>IF(INDEX(I.Production.P1C3,2)="","",INDEX(I.Production.P1C3,2))</f>
        <v/>
      </c>
      <c r="G574" s="87"/>
      <c r="H574" s="28" t="str">
        <f t="shared" si="1"/>
        <v>Complete</v>
      </c>
      <c r="I574" s="46" t="s">
        <v>1040</v>
      </c>
    </row>
    <row r="575" spans="2:9" ht="14.45" customHeight="1" x14ac:dyDescent="0.25">
      <c r="B575" s="44" t="s">
        <v>319</v>
      </c>
      <c r="C575" s="28">
        <v>3</v>
      </c>
      <c r="D575" s="45" t="s">
        <v>2035</v>
      </c>
      <c r="E575" s="87"/>
      <c r="F575" s="87" t="str">
        <f>IF(INDEX(I.Production.P1C3,3)="","",INDEX(I.Production.P1C3,3))</f>
        <v/>
      </c>
      <c r="G575" s="87"/>
      <c r="H575" s="28" t="str">
        <f t="shared" si="1"/>
        <v>Complete</v>
      </c>
      <c r="I575" s="46" t="s">
        <v>1041</v>
      </c>
    </row>
    <row r="576" spans="2:9" ht="14.45" customHeight="1" x14ac:dyDescent="0.25">
      <c r="B576" s="44" t="s">
        <v>319</v>
      </c>
      <c r="C576" s="28">
        <v>4</v>
      </c>
      <c r="D576" s="45" t="s">
        <v>2035</v>
      </c>
      <c r="E576" s="87"/>
      <c r="F576" s="87" t="str">
        <f>IF(INDEX(I.Production.P1C3,4)="","",INDEX(I.Production.P1C3,4))</f>
        <v/>
      </c>
      <c r="G576" s="87"/>
      <c r="H576" s="28" t="str">
        <f t="shared" si="1"/>
        <v>Complete</v>
      </c>
      <c r="I576" s="46" t="s">
        <v>1042</v>
      </c>
    </row>
    <row r="577" spans="2:9" ht="14.45" customHeight="1" x14ac:dyDescent="0.25">
      <c r="B577" s="44" t="s">
        <v>319</v>
      </c>
      <c r="C577" s="28">
        <v>5</v>
      </c>
      <c r="D577" s="45" t="s">
        <v>2035</v>
      </c>
      <c r="E577" s="87"/>
      <c r="F577" s="87" t="str">
        <f>IF(INDEX(I.Production.P1C3,5)="","",INDEX(I.Production.P1C3,5))</f>
        <v/>
      </c>
      <c r="G577" s="87"/>
      <c r="H577" s="28" t="str">
        <f t="shared" si="1"/>
        <v>Complete</v>
      </c>
      <c r="I577" s="46" t="s">
        <v>1043</v>
      </c>
    </row>
    <row r="578" spans="2:9" ht="14.45" customHeight="1" x14ac:dyDescent="0.25">
      <c r="B578" s="44" t="s">
        <v>319</v>
      </c>
      <c r="C578" s="28">
        <v>6</v>
      </c>
      <c r="D578" s="45" t="s">
        <v>2035</v>
      </c>
      <c r="E578" s="87"/>
      <c r="F578" s="87" t="str">
        <f>IF(INDEX(I.Production.P1C3,6)="","",INDEX(I.Production.P1C3,6))</f>
        <v/>
      </c>
      <c r="G578" s="87"/>
      <c r="H578" s="28" t="str">
        <f t="shared" si="1"/>
        <v>Complete</v>
      </c>
      <c r="I578" s="46" t="s">
        <v>1044</v>
      </c>
    </row>
    <row r="579" spans="2:9" ht="14.45" customHeight="1" x14ac:dyDescent="0.25">
      <c r="B579" s="44" t="s">
        <v>319</v>
      </c>
      <c r="C579" s="28">
        <v>7</v>
      </c>
      <c r="D579" s="45" t="s">
        <v>2035</v>
      </c>
      <c r="E579" s="87"/>
      <c r="F579" s="87" t="str">
        <f>IF(INDEX(I.Production.P1C3,7)="","",INDEX(I.Production.P1C3,7))</f>
        <v/>
      </c>
      <c r="G579" s="87"/>
      <c r="H579" s="28" t="str">
        <f t="shared" si="1"/>
        <v>Complete</v>
      </c>
      <c r="I579" s="46" t="s">
        <v>1045</v>
      </c>
    </row>
    <row r="580" spans="2:9" ht="14.45" customHeight="1" x14ac:dyDescent="0.25">
      <c r="B580" s="44" t="s">
        <v>319</v>
      </c>
      <c r="C580" s="28">
        <v>8</v>
      </c>
      <c r="D580" s="45" t="s">
        <v>2035</v>
      </c>
      <c r="E580" s="87"/>
      <c r="F580" s="87" t="str">
        <f>IF(INDEX(I.Production.P1C3,8)="","",INDEX(I.Production.P1C3,8))</f>
        <v/>
      </c>
      <c r="G580" s="87"/>
      <c r="H580" s="28" t="str">
        <f t="shared" si="1"/>
        <v>Complete</v>
      </c>
      <c r="I580" s="46" t="s">
        <v>1046</v>
      </c>
    </row>
    <row r="581" spans="2:9" ht="14.45" customHeight="1" x14ac:dyDescent="0.25">
      <c r="B581" s="44" t="s">
        <v>319</v>
      </c>
      <c r="C581" s="28">
        <v>9</v>
      </c>
      <c r="D581" s="45" t="s">
        <v>2035</v>
      </c>
      <c r="E581" s="87"/>
      <c r="F581" s="87" t="str">
        <f>IF(INDEX(I.Production.P1C3,9)="","",INDEX(I.Production.P1C3,9))</f>
        <v/>
      </c>
      <c r="G581" s="87"/>
      <c r="H581" s="28" t="str">
        <f t="shared" si="1"/>
        <v>Complete</v>
      </c>
      <c r="I581" s="46" t="s">
        <v>1047</v>
      </c>
    </row>
    <row r="582" spans="2:9" ht="14.45" customHeight="1" x14ac:dyDescent="0.25">
      <c r="B582" s="44" t="s">
        <v>319</v>
      </c>
      <c r="C582" s="28">
        <v>10</v>
      </c>
      <c r="D582" s="45" t="s">
        <v>2035</v>
      </c>
      <c r="E582" s="87"/>
      <c r="F582" s="87" t="str">
        <f>IF(INDEX(I.Production.P1C3,10)="","",INDEX(I.Production.P1C3,10))</f>
        <v/>
      </c>
      <c r="G582" s="87"/>
      <c r="H582" s="28" t="str">
        <f t="shared" si="1"/>
        <v>Complete</v>
      </c>
      <c r="I582" s="46" t="s">
        <v>1048</v>
      </c>
    </row>
    <row r="583" spans="2:9" ht="14.45" customHeight="1" x14ac:dyDescent="0.25">
      <c r="B583" s="44" t="s">
        <v>319</v>
      </c>
      <c r="C583" s="28">
        <v>11</v>
      </c>
      <c r="D583" s="45" t="s">
        <v>2035</v>
      </c>
      <c r="E583" s="87"/>
      <c r="F583" s="87" t="str">
        <f>IF(INDEX(I.Production.P1C3,11)="","",INDEX(I.Production.P1C3,11))</f>
        <v/>
      </c>
      <c r="G583" s="87"/>
      <c r="H583" s="28" t="str">
        <f t="shared" si="1"/>
        <v>Complete</v>
      </c>
      <c r="I583" s="46" t="s">
        <v>1049</v>
      </c>
    </row>
    <row r="584" spans="2:9" ht="14.45" customHeight="1" x14ac:dyDescent="0.25">
      <c r="B584" s="44" t="s">
        <v>319</v>
      </c>
      <c r="C584" s="28">
        <v>12</v>
      </c>
      <c r="D584" s="45" t="s">
        <v>2035</v>
      </c>
      <c r="E584" s="87"/>
      <c r="F584" s="87" t="str">
        <f>IF(INDEX(I.Production.P1C3,12)="","",INDEX(I.Production.P1C3,12))</f>
        <v/>
      </c>
      <c r="G584" s="87"/>
      <c r="H584" s="28" t="str">
        <f t="shared" si="1"/>
        <v>Complete</v>
      </c>
      <c r="I584" s="46" t="s">
        <v>1050</v>
      </c>
    </row>
    <row r="585" spans="2:9" ht="14.45" customHeight="1" x14ac:dyDescent="0.25">
      <c r="B585" s="44" t="s">
        <v>319</v>
      </c>
      <c r="C585" s="28">
        <v>13</v>
      </c>
      <c r="D585" s="45" t="s">
        <v>2035</v>
      </c>
      <c r="E585" s="87"/>
      <c r="F585" s="87" t="str">
        <f>IF(INDEX(I.Production.P1C3,13)="","",INDEX(I.Production.P1C3,13))</f>
        <v/>
      </c>
      <c r="G585" s="87"/>
      <c r="H585" s="28" t="str">
        <f t="shared" si="1"/>
        <v>Complete</v>
      </c>
      <c r="I585" s="46" t="s">
        <v>1051</v>
      </c>
    </row>
    <row r="586" spans="2:9" ht="14.45" customHeight="1" x14ac:dyDescent="0.25">
      <c r="B586" s="44" t="s">
        <v>319</v>
      </c>
      <c r="C586" s="28">
        <v>14</v>
      </c>
      <c r="D586" s="45" t="s">
        <v>2035</v>
      </c>
      <c r="E586" s="87"/>
      <c r="F586" s="87" t="str">
        <f>IF(INDEX(I.Production.P1C3,14)="","",INDEX(I.Production.P1C3,14))</f>
        <v/>
      </c>
      <c r="G586" s="87"/>
      <c r="H586" s="28" t="str">
        <f t="shared" si="1"/>
        <v>Complete</v>
      </c>
      <c r="I586" s="46" t="s">
        <v>1052</v>
      </c>
    </row>
    <row r="587" spans="2:9" ht="14.45" customHeight="1" x14ac:dyDescent="0.25">
      <c r="B587" s="44" t="s">
        <v>319</v>
      </c>
      <c r="C587" s="28">
        <v>15</v>
      </c>
      <c r="D587" s="45" t="s">
        <v>2035</v>
      </c>
      <c r="E587" s="87"/>
      <c r="F587" s="87" t="str">
        <f>IF(INDEX(I.Production.P1C3,15)="","",INDEX(I.Production.P1C3,15))</f>
        <v/>
      </c>
      <c r="G587" s="87"/>
      <c r="H587" s="28" t="str">
        <f t="shared" si="1"/>
        <v>Complete</v>
      </c>
      <c r="I587" s="46" t="s">
        <v>1053</v>
      </c>
    </row>
    <row r="588" spans="2:9" ht="14.45" customHeight="1" x14ac:dyDescent="0.25">
      <c r="B588" s="44" t="s">
        <v>319</v>
      </c>
      <c r="C588" s="28">
        <v>16</v>
      </c>
      <c r="D588" s="45" t="s">
        <v>2035</v>
      </c>
      <c r="E588" s="87"/>
      <c r="F588" s="87" t="str">
        <f>IF(INDEX(I.Production.P1C3,16)="","",INDEX(I.Production.P1C3,16))</f>
        <v/>
      </c>
      <c r="G588" s="87"/>
      <c r="H588" s="28" t="str">
        <f t="shared" si="1"/>
        <v>Complete</v>
      </c>
      <c r="I588" s="46" t="s">
        <v>1054</v>
      </c>
    </row>
    <row r="589" spans="2:9" ht="14.45" customHeight="1" x14ac:dyDescent="0.25">
      <c r="B589" s="44" t="s">
        <v>319</v>
      </c>
      <c r="C589" s="28">
        <v>17</v>
      </c>
      <c r="D589" s="45" t="s">
        <v>2035</v>
      </c>
      <c r="E589" s="87"/>
      <c r="F589" s="87" t="str">
        <f>IF(INDEX(I.Production.P1C3,17)="","",INDEX(I.Production.P1C3,17))</f>
        <v/>
      </c>
      <c r="G589" s="87"/>
      <c r="H589" s="28" t="str">
        <f t="shared" si="1"/>
        <v>Complete</v>
      </c>
      <c r="I589" s="46" t="s">
        <v>1055</v>
      </c>
    </row>
    <row r="590" spans="2:9" ht="14.45" customHeight="1" x14ac:dyDescent="0.25">
      <c r="B590" s="44" t="s">
        <v>319</v>
      </c>
      <c r="C590" s="28">
        <v>18</v>
      </c>
      <c r="D590" s="45" t="s">
        <v>2035</v>
      </c>
      <c r="E590" s="87"/>
      <c r="F590" s="87" t="str">
        <f>IF(INDEX(I.Production.P1C3,18)="","",INDEX(I.Production.P1C3,18))</f>
        <v/>
      </c>
      <c r="G590" s="87"/>
      <c r="H590" s="28" t="str">
        <f t="shared" si="1"/>
        <v>Complete</v>
      </c>
      <c r="I590" s="46" t="s">
        <v>1056</v>
      </c>
    </row>
    <row r="591" spans="2:9" ht="14.45" customHeight="1" x14ac:dyDescent="0.25">
      <c r="B591" s="44" t="s">
        <v>319</v>
      </c>
      <c r="C591" s="28">
        <v>19</v>
      </c>
      <c r="D591" s="45" t="s">
        <v>2035</v>
      </c>
      <c r="E591" s="87"/>
      <c r="F591" s="87" t="str">
        <f>IF(INDEX(I.Production.P1C3,19)="","",INDEX(I.Production.P1C3,19))</f>
        <v/>
      </c>
      <c r="G591" s="87"/>
      <c r="H591" s="28" t="str">
        <f t="shared" si="1"/>
        <v>Complete</v>
      </c>
      <c r="I591" s="46" t="s">
        <v>1057</v>
      </c>
    </row>
    <row r="592" spans="2:9" ht="14.45" customHeight="1" x14ac:dyDescent="0.25">
      <c r="B592" s="44" t="s">
        <v>319</v>
      </c>
      <c r="C592" s="28">
        <v>20</v>
      </c>
      <c r="D592" s="45" t="s">
        <v>2035</v>
      </c>
      <c r="E592" s="87"/>
      <c r="F592" s="87" t="str">
        <f>IF(INDEX(I.Production.P1C3,20)="","",INDEX(I.Production.P1C3,20))</f>
        <v/>
      </c>
      <c r="G592" s="87"/>
      <c r="H592" s="28" t="str">
        <f t="shared" si="1"/>
        <v>Complete</v>
      </c>
      <c r="I592" s="46" t="s">
        <v>1058</v>
      </c>
    </row>
    <row r="593" spans="2:9" ht="14.45" customHeight="1" x14ac:dyDescent="0.25">
      <c r="B593" s="53" t="s">
        <v>319</v>
      </c>
      <c r="C593" s="66">
        <v>21</v>
      </c>
      <c r="D593" s="54" t="s">
        <v>2035</v>
      </c>
      <c r="E593" s="88"/>
      <c r="F593" s="88" t="str">
        <f>IF(INDEX(I.Production.P1C3,21)="","",INDEX(I.Production.P1C3,21))</f>
        <v/>
      </c>
      <c r="G593" s="88"/>
      <c r="H593" s="66" t="str">
        <f t="shared" si="1"/>
        <v>Complete</v>
      </c>
      <c r="I593" s="68" t="s">
        <v>1059</v>
      </c>
    </row>
    <row r="594" spans="2:9" ht="14.45" customHeight="1" x14ac:dyDescent="0.25">
      <c r="B594" s="44" t="s">
        <v>320</v>
      </c>
      <c r="C594" s="28">
        <v>1</v>
      </c>
      <c r="D594" s="45" t="s">
        <v>2036</v>
      </c>
      <c r="E594" s="87"/>
      <c r="F594" s="87" t="str">
        <f>IF(INDEX(I.Production.P1C4,1)="","",INDEX(I.Production.P1C4,1))</f>
        <v/>
      </c>
      <c r="G594" s="87"/>
      <c r="H594" s="28" t="str">
        <f>IF(AND(I.Facility.ProductCount&gt;=1,I.Developer.P1C4=TRUE,F594=""),"Incomplete","Complete")</f>
        <v>Complete</v>
      </c>
      <c r="I594" s="46" t="s">
        <v>1060</v>
      </c>
    </row>
    <row r="595" spans="2:9" ht="14.45" customHeight="1" x14ac:dyDescent="0.25">
      <c r="B595" s="44" t="s">
        <v>320</v>
      </c>
      <c r="C595" s="28">
        <v>2</v>
      </c>
      <c r="D595" s="45" t="s">
        <v>2036</v>
      </c>
      <c r="E595" s="87"/>
      <c r="F595" s="87" t="str">
        <f>IF(INDEX(I.Production.P1C4,2)="","",INDEX(I.Production.P1C4,2))</f>
        <v/>
      </c>
      <c r="G595" s="87"/>
      <c r="H595" s="28" t="str">
        <f>IF(AND(I.Facility.ProductCount&gt;=1,I.Developer.P1C4=TRUE,F595=""),"Incomplete","Complete")</f>
        <v>Complete</v>
      </c>
      <c r="I595" s="46" t="s">
        <v>1061</v>
      </c>
    </row>
    <row r="596" spans="2:9" ht="14.45" customHeight="1" x14ac:dyDescent="0.25">
      <c r="B596" s="53" t="s">
        <v>320</v>
      </c>
      <c r="C596" s="66">
        <v>3</v>
      </c>
      <c r="D596" s="54" t="s">
        <v>2036</v>
      </c>
      <c r="E596" s="88"/>
      <c r="F596" s="88" t="str">
        <f>IF(INDEX(I.Production.P1C4,3)="","",INDEX(I.Production.P1C4,3))</f>
        <v/>
      </c>
      <c r="G596" s="88"/>
      <c r="H596" s="66" t="str">
        <f>IF(AND(I.Facility.ProductCount&gt;=1,I.Developer.P1C4=TRUE,F596=""),"Incomplete","Complete")</f>
        <v>Complete</v>
      </c>
      <c r="I596" s="68" t="s">
        <v>1062</v>
      </c>
    </row>
    <row r="597" spans="2:9" ht="14.45" customHeight="1" x14ac:dyDescent="0.25">
      <c r="B597" s="44" t="s">
        <v>321</v>
      </c>
      <c r="C597" s="28">
        <v>1</v>
      </c>
      <c r="D597" s="45" t="s">
        <v>2037</v>
      </c>
      <c r="E597" s="87"/>
      <c r="F597" s="87" t="str">
        <f>IF(INDEX(I.Production.P1C5,1)="","",INDEX(I.Production.P1C5,1))</f>
        <v/>
      </c>
      <c r="G597" s="87"/>
      <c r="H597" s="28" t="str">
        <f>IF(AND(I.Facility.ProductCount&gt;=1,I.Developer.P1C5=TRUE,F597=""),"Incomplete","Complete")</f>
        <v>Complete</v>
      </c>
      <c r="I597" s="46" t="s">
        <v>1063</v>
      </c>
    </row>
    <row r="598" spans="2:9" ht="14.45" customHeight="1" x14ac:dyDescent="0.25">
      <c r="B598" s="44" t="s">
        <v>321</v>
      </c>
      <c r="C598" s="28">
        <v>2</v>
      </c>
      <c r="D598" s="45" t="s">
        <v>2037</v>
      </c>
      <c r="E598" s="87"/>
      <c r="F598" s="87" t="str">
        <f>IF(INDEX(I.Production.P1C5,2)="","",INDEX(I.Production.P1C5,2))</f>
        <v/>
      </c>
      <c r="G598" s="87"/>
      <c r="H598" s="28" t="str">
        <f>IF(AND(I.Facility.ProductCount&gt;=1,I.Developer.P1C5=TRUE,F598=""),"Incomplete","Complete")</f>
        <v>Complete</v>
      </c>
      <c r="I598" s="46" t="s">
        <v>1064</v>
      </c>
    </row>
    <row r="599" spans="2:9" ht="14.45" customHeight="1" x14ac:dyDescent="0.25">
      <c r="B599" s="53" t="s">
        <v>321</v>
      </c>
      <c r="C599" s="66">
        <v>3</v>
      </c>
      <c r="D599" s="54" t="s">
        <v>2037</v>
      </c>
      <c r="E599" s="88"/>
      <c r="F599" s="88" t="str">
        <f>IF(INDEX(I.Production.P1C5,3)="","",INDEX(I.Production.P1C5,3))</f>
        <v/>
      </c>
      <c r="G599" s="88"/>
      <c r="H599" s="66" t="str">
        <f>IF(AND(I.Facility.ProductCount&gt;=1,I.Developer.P1C5=TRUE,F599=""),"Incomplete","Complete")</f>
        <v>Complete</v>
      </c>
      <c r="I599" s="68" t="s">
        <v>1065</v>
      </c>
    </row>
    <row r="600" spans="2:9" ht="14.45" customHeight="1" x14ac:dyDescent="0.25">
      <c r="B600" s="44" t="s">
        <v>322</v>
      </c>
      <c r="C600" s="28">
        <v>1</v>
      </c>
      <c r="D600" s="45" t="s">
        <v>2038</v>
      </c>
      <c r="E600" s="87"/>
      <c r="F600" s="87" t="str">
        <f>IF(INDEX(I.Production.P1C6,1)="","",INDEX(I.Production.P1C6,1))</f>
        <v/>
      </c>
      <c r="G600" s="87"/>
      <c r="H600" s="28" t="str">
        <f>IF(AND(I.Facility.ProductCount&gt;=1,I.Developer.P1C6=TRUE,F600=""),"Incomplete","Complete")</f>
        <v>Complete</v>
      </c>
      <c r="I600" s="46" t="s">
        <v>1066</v>
      </c>
    </row>
    <row r="601" spans="2:9" ht="14.45" customHeight="1" x14ac:dyDescent="0.25">
      <c r="B601" s="44" t="s">
        <v>322</v>
      </c>
      <c r="C601" s="28">
        <v>2</v>
      </c>
      <c r="D601" s="45" t="s">
        <v>2038</v>
      </c>
      <c r="E601" s="87"/>
      <c r="F601" s="87" t="str">
        <f>IF(INDEX(I.Production.P1C6,2)="","",INDEX(I.Production.P1C6,2))</f>
        <v/>
      </c>
      <c r="G601" s="87"/>
      <c r="H601" s="28" t="str">
        <f>IF(AND(I.Facility.ProductCount&gt;=1,I.Developer.P1C6=TRUE,F601=""),"Incomplete","Complete")</f>
        <v>Complete</v>
      </c>
      <c r="I601" s="46" t="s">
        <v>1067</v>
      </c>
    </row>
    <row r="602" spans="2:9" ht="14.45" customHeight="1" x14ac:dyDescent="0.25">
      <c r="B602" s="53" t="s">
        <v>322</v>
      </c>
      <c r="C602" s="66">
        <v>3</v>
      </c>
      <c r="D602" s="54" t="s">
        <v>2038</v>
      </c>
      <c r="E602" s="88"/>
      <c r="F602" s="88" t="str">
        <f>IF(INDEX(I.Production.P1C6,3)="","",INDEX(I.Production.P1C6,3))</f>
        <v/>
      </c>
      <c r="G602" s="88"/>
      <c r="H602" s="66" t="str">
        <f>IF(AND(I.Facility.ProductCount&gt;=1,I.Developer.P1C6=TRUE,F602=""),"Incomplete","Complete")</f>
        <v>Complete</v>
      </c>
      <c r="I602" s="68" t="s">
        <v>1068</v>
      </c>
    </row>
    <row r="603" spans="2:9" ht="14.45" customHeight="1" x14ac:dyDescent="0.25">
      <c r="B603" s="44" t="s">
        <v>323</v>
      </c>
      <c r="C603" s="28">
        <v>1</v>
      </c>
      <c r="D603" s="45" t="s">
        <v>2039</v>
      </c>
      <c r="E603" s="87"/>
      <c r="F603" s="87" t="str">
        <f>IF(INDEX(I.Production.P1C7,1)="","",INDEX(I.Production.P1C7,1))</f>
        <v/>
      </c>
      <c r="G603" s="87"/>
      <c r="H603" s="28" t="str">
        <f>IF(AND(I.Facility.ProductCount&gt;=1,I.Developer.P1C7=TRUE,F603=""),"Incomplete","Complete")</f>
        <v>Complete</v>
      </c>
      <c r="I603" s="46" t="s">
        <v>1069</v>
      </c>
    </row>
    <row r="604" spans="2:9" ht="14.45" customHeight="1" x14ac:dyDescent="0.25">
      <c r="B604" s="44" t="s">
        <v>323</v>
      </c>
      <c r="C604" s="28">
        <v>2</v>
      </c>
      <c r="D604" s="45" t="s">
        <v>2039</v>
      </c>
      <c r="E604" s="87"/>
      <c r="F604" s="87" t="str">
        <f>IF(INDEX(I.Production.P1C7,2)="","",INDEX(I.Production.P1C7,2))</f>
        <v/>
      </c>
      <c r="G604" s="87"/>
      <c r="H604" s="28" t="str">
        <f>IF(AND(I.Facility.ProductCount&gt;=1,I.Developer.P1C7=TRUE,F604=""),"Incomplete","Complete")</f>
        <v>Complete</v>
      </c>
      <c r="I604" s="46" t="s">
        <v>1070</v>
      </c>
    </row>
    <row r="605" spans="2:9" ht="14.45" customHeight="1" x14ac:dyDescent="0.25">
      <c r="B605" s="53" t="s">
        <v>323</v>
      </c>
      <c r="C605" s="66">
        <v>3</v>
      </c>
      <c r="D605" s="54" t="s">
        <v>2039</v>
      </c>
      <c r="E605" s="88"/>
      <c r="F605" s="88" t="str">
        <f>IF(INDEX(I.Production.P1C7,3)="","",INDEX(I.Production.P1C7,3))</f>
        <v/>
      </c>
      <c r="G605" s="88"/>
      <c r="H605" s="66" t="str">
        <f>IF(AND(I.Facility.ProductCount&gt;=1,I.Developer.P1C7=TRUE,F605=""),"Incomplete","Complete")</f>
        <v>Complete</v>
      </c>
      <c r="I605" s="68" t="s">
        <v>1071</v>
      </c>
    </row>
    <row r="606" spans="2:9" ht="14.45" customHeight="1" x14ac:dyDescent="0.25">
      <c r="B606" s="44" t="s">
        <v>324</v>
      </c>
      <c r="C606" s="28">
        <v>1</v>
      </c>
      <c r="D606" s="45" t="s">
        <v>2040</v>
      </c>
      <c r="E606" s="87"/>
      <c r="F606" s="87" t="str">
        <f>IF(INDEX(I.Production.P1C8,1)="","",INDEX(I.Production.P1C8,1))</f>
        <v/>
      </c>
      <c r="G606" s="87"/>
      <c r="H606" s="28" t="str">
        <f>IF(AND(I.Facility.ProductCount&gt;=1,I.Developer.P1C8=TRUE,F606=""),"Incomplete","Complete")</f>
        <v>Complete</v>
      </c>
      <c r="I606" s="46" t="s">
        <v>1072</v>
      </c>
    </row>
    <row r="607" spans="2:9" ht="14.45" customHeight="1" x14ac:dyDescent="0.25">
      <c r="B607" s="44" t="s">
        <v>324</v>
      </c>
      <c r="C607" s="28">
        <v>2</v>
      </c>
      <c r="D607" s="45" t="s">
        <v>2040</v>
      </c>
      <c r="E607" s="87"/>
      <c r="F607" s="87" t="str">
        <f>IF(INDEX(I.Production.P1C8,2)="","",INDEX(I.Production.P1C8,2))</f>
        <v/>
      </c>
      <c r="G607" s="87"/>
      <c r="H607" s="28" t="str">
        <f>IF(AND(I.Facility.ProductCount&gt;=1,I.Developer.P1C8=TRUE,F607=""),"Incomplete","Complete")</f>
        <v>Complete</v>
      </c>
      <c r="I607" s="46" t="s">
        <v>1073</v>
      </c>
    </row>
    <row r="608" spans="2:9" ht="14.45" customHeight="1" x14ac:dyDescent="0.25">
      <c r="B608" s="53" t="s">
        <v>324</v>
      </c>
      <c r="C608" s="66">
        <v>3</v>
      </c>
      <c r="D608" s="54" t="s">
        <v>2040</v>
      </c>
      <c r="E608" s="88"/>
      <c r="F608" s="88" t="str">
        <f>IF(INDEX(I.Production.P1C8,3)="","",INDEX(I.Production.P1C8,3))</f>
        <v/>
      </c>
      <c r="G608" s="88"/>
      <c r="H608" s="66" t="str">
        <f>IF(AND(I.Facility.ProductCount&gt;=1,I.Developer.P1C8=TRUE,F608=""),"Incomplete","Complete")</f>
        <v>Complete</v>
      </c>
      <c r="I608" s="68" t="s">
        <v>1074</v>
      </c>
    </row>
    <row r="609" spans="2:9" ht="14.45" customHeight="1" x14ac:dyDescent="0.25">
      <c r="B609" s="44" t="s">
        <v>325</v>
      </c>
      <c r="C609" s="28">
        <v>1</v>
      </c>
      <c r="D609" s="45" t="s">
        <v>2041</v>
      </c>
      <c r="E609" s="87"/>
      <c r="F609" s="87" t="str">
        <f>IF(INDEX(I.Production.P1C9,1)="","",INDEX(I.Production.P1C9,1))</f>
        <v/>
      </c>
      <c r="G609" s="87"/>
      <c r="H609" s="28" t="str">
        <f>IF(AND(I.Facility.ProductCount&gt;=1,I.Developer.P1C9=TRUE,F609=""),"Incomplete","Complete")</f>
        <v>Complete</v>
      </c>
      <c r="I609" s="46" t="s">
        <v>1075</v>
      </c>
    </row>
    <row r="610" spans="2:9" ht="14.45" customHeight="1" x14ac:dyDescent="0.25">
      <c r="B610" s="44" t="s">
        <v>325</v>
      </c>
      <c r="C610" s="28">
        <v>2</v>
      </c>
      <c r="D610" s="45" t="s">
        <v>2041</v>
      </c>
      <c r="E610" s="87"/>
      <c r="F610" s="87" t="str">
        <f>IF(INDEX(I.Production.P1C9,2)="","",INDEX(I.Production.P1C9,2))</f>
        <v/>
      </c>
      <c r="G610" s="87"/>
      <c r="H610" s="28" t="str">
        <f>IF(AND(I.Facility.ProductCount&gt;=1,I.Developer.P1C9=TRUE,F610=""),"Incomplete","Complete")</f>
        <v>Complete</v>
      </c>
      <c r="I610" s="46" t="s">
        <v>1076</v>
      </c>
    </row>
    <row r="611" spans="2:9" ht="14.45" customHeight="1" x14ac:dyDescent="0.25">
      <c r="B611" s="53" t="s">
        <v>325</v>
      </c>
      <c r="C611" s="66">
        <v>3</v>
      </c>
      <c r="D611" s="54" t="s">
        <v>2041</v>
      </c>
      <c r="E611" s="88"/>
      <c r="F611" s="88" t="str">
        <f>IF(INDEX(I.Production.P1C9,3)="","",INDEX(I.Production.P1C9,3))</f>
        <v/>
      </c>
      <c r="G611" s="88"/>
      <c r="H611" s="66" t="str">
        <f>IF(AND(I.Facility.ProductCount&gt;=1,I.Developer.P1C9=TRUE,F611=""),"Incomplete","Complete")</f>
        <v>Complete</v>
      </c>
      <c r="I611" s="68" t="s">
        <v>1077</v>
      </c>
    </row>
    <row r="612" spans="2:9" ht="14.45" customHeight="1" x14ac:dyDescent="0.25">
      <c r="B612" s="44" t="s">
        <v>326</v>
      </c>
      <c r="C612" s="28">
        <v>1</v>
      </c>
      <c r="D612" s="45" t="s">
        <v>2042</v>
      </c>
      <c r="E612" s="87"/>
      <c r="F612" s="87" t="str">
        <f>IF(I.Production.P2Quantity="","",I.Production.P2Quantity)</f>
        <v/>
      </c>
      <c r="G612" s="87"/>
      <c r="H612" s="28" t="str">
        <f>IF(AND(I.Facility.ProductCount&gt;=2,I.Production.P2Quantity=""),"Incomplete","Complete")</f>
        <v>Complete</v>
      </c>
      <c r="I612" s="46" t="s">
        <v>1078</v>
      </c>
    </row>
    <row r="613" spans="2:9" ht="14.45" customHeight="1" x14ac:dyDescent="0.25">
      <c r="B613" s="53" t="s">
        <v>327</v>
      </c>
      <c r="C613" s="66">
        <v>1</v>
      </c>
      <c r="D613" s="54" t="s">
        <v>2043</v>
      </c>
      <c r="E613" s="54"/>
      <c r="F613" s="66" t="str">
        <f>IF(I.Production.P2Units="","",I.Production.P2Units)</f>
        <v/>
      </c>
      <c r="G613" s="54"/>
      <c r="H613" s="66" t="str">
        <f>IF(AND(I.Facility.ProductCount&gt;=2,I.Production.P2Units=""),"Incomplete","Complete")</f>
        <v>Complete</v>
      </c>
      <c r="I613" s="68" t="s">
        <v>1079</v>
      </c>
    </row>
    <row r="614" spans="2:9" ht="14.45" customHeight="1" x14ac:dyDescent="0.25">
      <c r="B614" s="44" t="s">
        <v>328</v>
      </c>
      <c r="C614" s="28">
        <v>1</v>
      </c>
      <c r="D614" s="45" t="s">
        <v>2044</v>
      </c>
      <c r="E614" s="87"/>
      <c r="F614" s="87" t="str">
        <f>IF(INDEX(I.Production.P2C1,1)="","",INDEX(I.Production.P2C1,1))</f>
        <v/>
      </c>
      <c r="G614" s="87"/>
      <c r="H614" s="28" t="str">
        <f>IF(AND(I.Facility.ProductCount&gt;=2,I.Developer.P2C1=TRUE,F614=""),"Incomplete","Complete")</f>
        <v>Complete</v>
      </c>
      <c r="I614" s="46" t="s">
        <v>1080</v>
      </c>
    </row>
    <row r="615" spans="2:9" ht="14.45" customHeight="1" x14ac:dyDescent="0.25">
      <c r="B615" s="44" t="s">
        <v>328</v>
      </c>
      <c r="C615" s="28">
        <v>2</v>
      </c>
      <c r="D615" s="45" t="s">
        <v>2044</v>
      </c>
      <c r="E615" s="87"/>
      <c r="F615" s="87" t="str">
        <f>IF(INDEX(I.Production.P2C1,2)="","",INDEX(I.Production.P2C1,2))</f>
        <v/>
      </c>
      <c r="G615" s="87"/>
      <c r="H615" s="28" t="str">
        <f>IF(AND(I.Facility.ProductCount&gt;=2,I.Developer.P2C1=TRUE,F615=""),"Incomplete","Complete")</f>
        <v>Complete</v>
      </c>
      <c r="I615" s="46" t="s">
        <v>1081</v>
      </c>
    </row>
    <row r="616" spans="2:9" ht="14.45" customHeight="1" x14ac:dyDescent="0.25">
      <c r="B616" s="53" t="s">
        <v>328</v>
      </c>
      <c r="C616" s="66">
        <v>3</v>
      </c>
      <c r="D616" s="54" t="s">
        <v>2044</v>
      </c>
      <c r="E616" s="88"/>
      <c r="F616" s="88" t="str">
        <f>IF(INDEX(I.Production.P2C1,3)="","",INDEX(I.Production.P2C1,3))</f>
        <v/>
      </c>
      <c r="G616" s="88"/>
      <c r="H616" s="66" t="str">
        <f>IF(AND(I.Facility.ProductCount&gt;=2,I.Developer.P2C1=TRUE,F616=""),"Incomplete","Complete")</f>
        <v>Complete</v>
      </c>
      <c r="I616" s="68" t="s">
        <v>1082</v>
      </c>
    </row>
    <row r="617" spans="2:9" ht="14.45" customHeight="1" x14ac:dyDescent="0.25">
      <c r="B617" s="44" t="s">
        <v>329</v>
      </c>
      <c r="C617" s="28">
        <v>1</v>
      </c>
      <c r="D617" s="45" t="s">
        <v>2045</v>
      </c>
      <c r="E617" s="87"/>
      <c r="F617" s="87" t="str">
        <f>IF(INDEX(I.Production.P2C2,1)="","",INDEX(I.Production.P2C2,1))</f>
        <v/>
      </c>
      <c r="G617" s="87"/>
      <c r="H617" s="28" t="str">
        <f t="shared" ref="H617:H640" si="2">IF(AND(I.Facility.ProductCount&gt;=2,I.Developer.P2C2=TRUE,F617=""),"Incomplete","Complete")</f>
        <v>Complete</v>
      </c>
      <c r="I617" s="46" t="s">
        <v>1083</v>
      </c>
    </row>
    <row r="618" spans="2:9" ht="14.45" customHeight="1" x14ac:dyDescent="0.25">
      <c r="B618" s="44" t="s">
        <v>329</v>
      </c>
      <c r="C618" s="28">
        <v>2</v>
      </c>
      <c r="D618" s="45" t="s">
        <v>2045</v>
      </c>
      <c r="E618" s="87"/>
      <c r="F618" s="87" t="str">
        <f>IF(INDEX(I.Production.P2C2,2)="","",INDEX(I.Production.P2C2,2))</f>
        <v/>
      </c>
      <c r="G618" s="87"/>
      <c r="H618" s="28" t="str">
        <f t="shared" si="2"/>
        <v>Complete</v>
      </c>
      <c r="I618" s="46" t="s">
        <v>1084</v>
      </c>
    </row>
    <row r="619" spans="2:9" ht="14.45" customHeight="1" x14ac:dyDescent="0.25">
      <c r="B619" s="44" t="s">
        <v>329</v>
      </c>
      <c r="C619" s="28">
        <v>3</v>
      </c>
      <c r="D619" s="45" t="s">
        <v>2045</v>
      </c>
      <c r="E619" s="87"/>
      <c r="F619" s="87" t="str">
        <f>IF(INDEX(I.Production.P2C2,3)="","",INDEX(I.Production.P2C2,3))</f>
        <v/>
      </c>
      <c r="G619" s="87"/>
      <c r="H619" s="28" t="str">
        <f t="shared" si="2"/>
        <v>Complete</v>
      </c>
      <c r="I619" s="46" t="s">
        <v>1085</v>
      </c>
    </row>
    <row r="620" spans="2:9" ht="14.45" customHeight="1" x14ac:dyDescent="0.25">
      <c r="B620" s="44" t="s">
        <v>329</v>
      </c>
      <c r="C620" s="28">
        <v>4</v>
      </c>
      <c r="D620" s="45" t="s">
        <v>2045</v>
      </c>
      <c r="E620" s="87"/>
      <c r="F620" s="87" t="str">
        <f>IF(INDEX(I.Production.P2C2,4)="","",INDEX(I.Production.P2C2,4))</f>
        <v/>
      </c>
      <c r="G620" s="87"/>
      <c r="H620" s="28" t="str">
        <f t="shared" si="2"/>
        <v>Complete</v>
      </c>
      <c r="I620" s="46" t="s">
        <v>1086</v>
      </c>
    </row>
    <row r="621" spans="2:9" ht="14.45" customHeight="1" x14ac:dyDescent="0.25">
      <c r="B621" s="44" t="s">
        <v>329</v>
      </c>
      <c r="C621" s="28">
        <v>5</v>
      </c>
      <c r="D621" s="45" t="s">
        <v>2045</v>
      </c>
      <c r="E621" s="87"/>
      <c r="F621" s="87" t="str">
        <f>IF(INDEX(I.Production.P2C2,5)="","",INDEX(I.Production.P2C2,5))</f>
        <v/>
      </c>
      <c r="G621" s="87"/>
      <c r="H621" s="28" t="str">
        <f t="shared" si="2"/>
        <v>Complete</v>
      </c>
      <c r="I621" s="46" t="s">
        <v>1087</v>
      </c>
    </row>
    <row r="622" spans="2:9" ht="14.45" customHeight="1" x14ac:dyDescent="0.25">
      <c r="B622" s="44" t="s">
        <v>329</v>
      </c>
      <c r="C622" s="28">
        <v>6</v>
      </c>
      <c r="D622" s="45" t="s">
        <v>2045</v>
      </c>
      <c r="E622" s="87"/>
      <c r="F622" s="87" t="str">
        <f>IF(INDEX(I.Production.P2C2,6)="","",INDEX(I.Production.P2C2,6))</f>
        <v/>
      </c>
      <c r="G622" s="87"/>
      <c r="H622" s="28" t="str">
        <f t="shared" si="2"/>
        <v>Complete</v>
      </c>
      <c r="I622" s="46" t="s">
        <v>1088</v>
      </c>
    </row>
    <row r="623" spans="2:9" ht="14.45" customHeight="1" x14ac:dyDescent="0.25">
      <c r="B623" s="44" t="s">
        <v>329</v>
      </c>
      <c r="C623" s="28">
        <v>7</v>
      </c>
      <c r="D623" s="45" t="s">
        <v>2045</v>
      </c>
      <c r="E623" s="87"/>
      <c r="F623" s="87" t="str">
        <f>IF(INDEX(I.Production.P2C2,7)="","",INDEX(I.Production.P2C2,7))</f>
        <v/>
      </c>
      <c r="G623" s="87"/>
      <c r="H623" s="28" t="str">
        <f t="shared" si="2"/>
        <v>Complete</v>
      </c>
      <c r="I623" s="46" t="s">
        <v>1089</v>
      </c>
    </row>
    <row r="624" spans="2:9" ht="14.45" customHeight="1" x14ac:dyDescent="0.25">
      <c r="B624" s="44" t="s">
        <v>329</v>
      </c>
      <c r="C624" s="28">
        <v>8</v>
      </c>
      <c r="D624" s="45" t="s">
        <v>2045</v>
      </c>
      <c r="E624" s="87"/>
      <c r="F624" s="87" t="str">
        <f>IF(INDEX(I.Production.P2C2,8)="","",INDEX(I.Production.P2C2,8))</f>
        <v/>
      </c>
      <c r="G624" s="87"/>
      <c r="H624" s="28" t="str">
        <f t="shared" si="2"/>
        <v>Complete</v>
      </c>
      <c r="I624" s="46" t="s">
        <v>1090</v>
      </c>
    </row>
    <row r="625" spans="2:9" ht="14.45" customHeight="1" x14ac:dyDescent="0.25">
      <c r="B625" s="44" t="s">
        <v>329</v>
      </c>
      <c r="C625" s="28">
        <v>9</v>
      </c>
      <c r="D625" s="45" t="s">
        <v>2045</v>
      </c>
      <c r="E625" s="87"/>
      <c r="F625" s="87" t="str">
        <f>IF(INDEX(I.Production.P2C2,9)="","",INDEX(I.Production.P2C2,9))</f>
        <v/>
      </c>
      <c r="G625" s="87"/>
      <c r="H625" s="28" t="str">
        <f t="shared" si="2"/>
        <v>Complete</v>
      </c>
      <c r="I625" s="46" t="s">
        <v>1091</v>
      </c>
    </row>
    <row r="626" spans="2:9" ht="14.45" customHeight="1" x14ac:dyDescent="0.25">
      <c r="B626" s="44" t="s">
        <v>329</v>
      </c>
      <c r="C626" s="28">
        <v>10</v>
      </c>
      <c r="D626" s="45" t="s">
        <v>2045</v>
      </c>
      <c r="E626" s="87"/>
      <c r="F626" s="87" t="str">
        <f>IF(INDEX(I.Production.P2C2,10)="","",INDEX(I.Production.P2C2,10))</f>
        <v/>
      </c>
      <c r="G626" s="87"/>
      <c r="H626" s="28" t="str">
        <f t="shared" si="2"/>
        <v>Complete</v>
      </c>
      <c r="I626" s="46" t="s">
        <v>1092</v>
      </c>
    </row>
    <row r="627" spans="2:9" ht="14.45" customHeight="1" x14ac:dyDescent="0.25">
      <c r="B627" s="44" t="s">
        <v>329</v>
      </c>
      <c r="C627" s="28">
        <v>11</v>
      </c>
      <c r="D627" s="45" t="s">
        <v>2045</v>
      </c>
      <c r="E627" s="87"/>
      <c r="F627" s="87" t="str">
        <f>IF(INDEX(I.Production.P2C2,11)="","",INDEX(I.Production.P2C2,11))</f>
        <v/>
      </c>
      <c r="G627" s="87"/>
      <c r="H627" s="28" t="str">
        <f t="shared" si="2"/>
        <v>Complete</v>
      </c>
      <c r="I627" s="46" t="s">
        <v>1093</v>
      </c>
    </row>
    <row r="628" spans="2:9" ht="14.45" customHeight="1" x14ac:dyDescent="0.25">
      <c r="B628" s="44" t="s">
        <v>329</v>
      </c>
      <c r="C628" s="28">
        <v>12</v>
      </c>
      <c r="D628" s="45" t="s">
        <v>2045</v>
      </c>
      <c r="E628" s="87"/>
      <c r="F628" s="87" t="str">
        <f>IF(INDEX(I.Production.P2C2,12)="","",INDEX(I.Production.P2C2,12))</f>
        <v/>
      </c>
      <c r="G628" s="87"/>
      <c r="H628" s="28" t="str">
        <f t="shared" si="2"/>
        <v>Complete</v>
      </c>
      <c r="I628" s="46" t="s">
        <v>1094</v>
      </c>
    </row>
    <row r="629" spans="2:9" ht="14.45" customHeight="1" x14ac:dyDescent="0.25">
      <c r="B629" s="44" t="s">
        <v>329</v>
      </c>
      <c r="C629" s="28">
        <v>13</v>
      </c>
      <c r="D629" s="45" t="s">
        <v>2045</v>
      </c>
      <c r="E629" s="87"/>
      <c r="F629" s="87" t="str">
        <f>IF(INDEX(I.Production.P2C2,13)="","",INDEX(I.Production.P2C2,13))</f>
        <v/>
      </c>
      <c r="G629" s="87"/>
      <c r="H629" s="28" t="str">
        <f t="shared" si="2"/>
        <v>Complete</v>
      </c>
      <c r="I629" s="46" t="s">
        <v>1095</v>
      </c>
    </row>
    <row r="630" spans="2:9" ht="14.45" customHeight="1" x14ac:dyDescent="0.25">
      <c r="B630" s="44" t="s">
        <v>329</v>
      </c>
      <c r="C630" s="28">
        <v>14</v>
      </c>
      <c r="D630" s="45" t="s">
        <v>2045</v>
      </c>
      <c r="E630" s="87"/>
      <c r="F630" s="87" t="str">
        <f>IF(INDEX(I.Production.P2C2,14)="","",INDEX(I.Production.P2C2,14))</f>
        <v/>
      </c>
      <c r="G630" s="87"/>
      <c r="H630" s="28" t="str">
        <f t="shared" si="2"/>
        <v>Complete</v>
      </c>
      <c r="I630" s="46" t="s">
        <v>1096</v>
      </c>
    </row>
    <row r="631" spans="2:9" ht="14.45" customHeight="1" x14ac:dyDescent="0.25">
      <c r="B631" s="44" t="s">
        <v>329</v>
      </c>
      <c r="C631" s="28">
        <v>15</v>
      </c>
      <c r="D631" s="45" t="s">
        <v>2045</v>
      </c>
      <c r="E631" s="87"/>
      <c r="F631" s="87" t="str">
        <f>IF(INDEX(I.Production.P2C2,15)="","",INDEX(I.Production.P2C2,15))</f>
        <v/>
      </c>
      <c r="G631" s="87"/>
      <c r="H631" s="28" t="str">
        <f t="shared" si="2"/>
        <v>Complete</v>
      </c>
      <c r="I631" s="46" t="s">
        <v>1097</v>
      </c>
    </row>
    <row r="632" spans="2:9" ht="14.45" customHeight="1" x14ac:dyDescent="0.25">
      <c r="B632" s="44" t="s">
        <v>329</v>
      </c>
      <c r="C632" s="28">
        <v>16</v>
      </c>
      <c r="D632" s="45" t="s">
        <v>2045</v>
      </c>
      <c r="E632" s="87"/>
      <c r="F632" s="87" t="str">
        <f>IF(INDEX(I.Production.P2C2,16)="","",INDEX(I.Production.P2C2,16))</f>
        <v/>
      </c>
      <c r="G632" s="87"/>
      <c r="H632" s="28" t="str">
        <f t="shared" si="2"/>
        <v>Complete</v>
      </c>
      <c r="I632" s="46" t="s">
        <v>1098</v>
      </c>
    </row>
    <row r="633" spans="2:9" ht="14.45" customHeight="1" x14ac:dyDescent="0.25">
      <c r="B633" s="44" t="s">
        <v>329</v>
      </c>
      <c r="C633" s="28">
        <v>17</v>
      </c>
      <c r="D633" s="45" t="s">
        <v>2045</v>
      </c>
      <c r="E633" s="87"/>
      <c r="F633" s="87" t="str">
        <f>IF(INDEX(I.Production.P2C2,17)="","",INDEX(I.Production.P2C2,17))</f>
        <v/>
      </c>
      <c r="G633" s="87"/>
      <c r="H633" s="28" t="str">
        <f t="shared" si="2"/>
        <v>Complete</v>
      </c>
      <c r="I633" s="46" t="s">
        <v>1099</v>
      </c>
    </row>
    <row r="634" spans="2:9" ht="14.45" customHeight="1" x14ac:dyDescent="0.25">
      <c r="B634" s="44" t="s">
        <v>329</v>
      </c>
      <c r="C634" s="28">
        <v>18</v>
      </c>
      <c r="D634" s="45" t="s">
        <v>2045</v>
      </c>
      <c r="E634" s="87"/>
      <c r="F634" s="87" t="str">
        <f>IF(INDEX(I.Production.P2C2,18)="","",INDEX(I.Production.P2C2,18))</f>
        <v/>
      </c>
      <c r="G634" s="87"/>
      <c r="H634" s="28" t="str">
        <f t="shared" si="2"/>
        <v>Complete</v>
      </c>
      <c r="I634" s="46" t="s">
        <v>1100</v>
      </c>
    </row>
    <row r="635" spans="2:9" ht="14.45" customHeight="1" x14ac:dyDescent="0.25">
      <c r="B635" s="44" t="s">
        <v>329</v>
      </c>
      <c r="C635" s="28">
        <v>19</v>
      </c>
      <c r="D635" s="45" t="s">
        <v>2045</v>
      </c>
      <c r="E635" s="87"/>
      <c r="F635" s="87" t="str">
        <f>IF(INDEX(I.Production.P2C2,19)="","",INDEX(I.Production.P2C2,19))</f>
        <v/>
      </c>
      <c r="G635" s="87"/>
      <c r="H635" s="28" t="str">
        <f t="shared" si="2"/>
        <v>Complete</v>
      </c>
      <c r="I635" s="46" t="s">
        <v>1101</v>
      </c>
    </row>
    <row r="636" spans="2:9" ht="14.45" customHeight="1" x14ac:dyDescent="0.25">
      <c r="B636" s="44" t="s">
        <v>329</v>
      </c>
      <c r="C636" s="28">
        <v>20</v>
      </c>
      <c r="D636" s="45" t="s">
        <v>2045</v>
      </c>
      <c r="E636" s="87"/>
      <c r="F636" s="87" t="str">
        <f>IF(INDEX(I.Production.P2C2,20)="","",INDEX(I.Production.P2C2,20))</f>
        <v/>
      </c>
      <c r="G636" s="87"/>
      <c r="H636" s="28" t="str">
        <f t="shared" si="2"/>
        <v>Complete</v>
      </c>
      <c r="I636" s="46" t="s">
        <v>1102</v>
      </c>
    </row>
    <row r="637" spans="2:9" ht="14.45" customHeight="1" x14ac:dyDescent="0.25">
      <c r="B637" s="44" t="s">
        <v>329</v>
      </c>
      <c r="C637" s="28">
        <v>21</v>
      </c>
      <c r="D637" s="45" t="s">
        <v>2045</v>
      </c>
      <c r="E637" s="87"/>
      <c r="F637" s="87" t="str">
        <f>IF(INDEX(I.Production.P2C2,21)="","",INDEX(I.Production.P2C2,21))</f>
        <v/>
      </c>
      <c r="G637" s="87"/>
      <c r="H637" s="28" t="str">
        <f t="shared" si="2"/>
        <v>Complete</v>
      </c>
      <c r="I637" s="46" t="s">
        <v>1103</v>
      </c>
    </row>
    <row r="638" spans="2:9" ht="14.45" customHeight="1" x14ac:dyDescent="0.25">
      <c r="B638" s="44" t="s">
        <v>329</v>
      </c>
      <c r="C638" s="28">
        <v>22</v>
      </c>
      <c r="D638" s="45" t="s">
        <v>2045</v>
      </c>
      <c r="E638" s="87"/>
      <c r="F638" s="87" t="str">
        <f>IF(INDEX(I.Production.P2C2,22)="","",INDEX(I.Production.P2C2,22))</f>
        <v/>
      </c>
      <c r="G638" s="87"/>
      <c r="H638" s="28" t="str">
        <f t="shared" si="2"/>
        <v>Complete</v>
      </c>
      <c r="I638" s="46" t="s">
        <v>1104</v>
      </c>
    </row>
    <row r="639" spans="2:9" ht="14.45" customHeight="1" x14ac:dyDescent="0.25">
      <c r="B639" s="44" t="s">
        <v>329</v>
      </c>
      <c r="C639" s="28">
        <v>23</v>
      </c>
      <c r="D639" s="45" t="s">
        <v>2045</v>
      </c>
      <c r="E639" s="87"/>
      <c r="F639" s="87" t="str">
        <f>IF(INDEX(I.Production.P2C2,23)="","",INDEX(I.Production.P2C2,23))</f>
        <v/>
      </c>
      <c r="G639" s="87"/>
      <c r="H639" s="28" t="str">
        <f t="shared" si="2"/>
        <v>Complete</v>
      </c>
      <c r="I639" s="46" t="s">
        <v>1105</v>
      </c>
    </row>
    <row r="640" spans="2:9" ht="14.45" customHeight="1" x14ac:dyDescent="0.25">
      <c r="B640" s="53" t="s">
        <v>329</v>
      </c>
      <c r="C640" s="66">
        <v>24</v>
      </c>
      <c r="D640" s="54" t="s">
        <v>2045</v>
      </c>
      <c r="E640" s="88"/>
      <c r="F640" s="88" t="str">
        <f>IF(INDEX(I.Production.P2C2,24)="","",INDEX(I.Production.P2C2,24))</f>
        <v/>
      </c>
      <c r="G640" s="88"/>
      <c r="H640" s="66" t="str">
        <f t="shared" si="2"/>
        <v>Complete</v>
      </c>
      <c r="I640" s="68" t="s">
        <v>1106</v>
      </c>
    </row>
    <row r="641" spans="2:9" ht="14.45" customHeight="1" x14ac:dyDescent="0.25">
      <c r="B641" s="44" t="s">
        <v>330</v>
      </c>
      <c r="C641" s="28">
        <v>1</v>
      </c>
      <c r="D641" s="45" t="s">
        <v>2046</v>
      </c>
      <c r="E641" s="87"/>
      <c r="F641" s="87" t="str">
        <f>IF(INDEX(I.Production.P2C3,1)="","",INDEX(I.Production.P2C3,1))</f>
        <v/>
      </c>
      <c r="G641" s="87"/>
      <c r="H641" s="28" t="str">
        <f t="shared" ref="H641:H661" si="3">IF(AND(I.Facility.ProductCount&gt;=2,I.Developer.P2C3=TRUE,F641=""),"Incomplete","Complete")</f>
        <v>Complete</v>
      </c>
      <c r="I641" s="46" t="s">
        <v>1107</v>
      </c>
    </row>
    <row r="642" spans="2:9" ht="14.45" customHeight="1" x14ac:dyDescent="0.25">
      <c r="B642" s="44" t="s">
        <v>330</v>
      </c>
      <c r="C642" s="28">
        <v>2</v>
      </c>
      <c r="D642" s="45" t="s">
        <v>2046</v>
      </c>
      <c r="E642" s="87"/>
      <c r="F642" s="87" t="str">
        <f>IF(INDEX(I.Production.P2C3,2)="","",INDEX(I.Production.P2C3,2))</f>
        <v/>
      </c>
      <c r="G642" s="87"/>
      <c r="H642" s="28" t="str">
        <f t="shared" si="3"/>
        <v>Complete</v>
      </c>
      <c r="I642" s="46" t="s">
        <v>1108</v>
      </c>
    </row>
    <row r="643" spans="2:9" ht="14.45" customHeight="1" x14ac:dyDescent="0.25">
      <c r="B643" s="44" t="s">
        <v>330</v>
      </c>
      <c r="C643" s="28">
        <v>3</v>
      </c>
      <c r="D643" s="45" t="s">
        <v>2046</v>
      </c>
      <c r="E643" s="87"/>
      <c r="F643" s="87" t="str">
        <f>IF(INDEX(I.Production.P2C3,3)="","",INDEX(I.Production.P2C3,3))</f>
        <v/>
      </c>
      <c r="G643" s="87"/>
      <c r="H643" s="28" t="str">
        <f t="shared" si="3"/>
        <v>Complete</v>
      </c>
      <c r="I643" s="46" t="s">
        <v>1109</v>
      </c>
    </row>
    <row r="644" spans="2:9" ht="14.45" customHeight="1" x14ac:dyDescent="0.25">
      <c r="B644" s="44" t="s">
        <v>330</v>
      </c>
      <c r="C644" s="28">
        <v>4</v>
      </c>
      <c r="D644" s="45" t="s">
        <v>2046</v>
      </c>
      <c r="E644" s="87"/>
      <c r="F644" s="87" t="str">
        <f>IF(INDEX(I.Production.P2C3,4)="","",INDEX(I.Production.P2C3,4))</f>
        <v/>
      </c>
      <c r="G644" s="87"/>
      <c r="H644" s="28" t="str">
        <f t="shared" si="3"/>
        <v>Complete</v>
      </c>
      <c r="I644" s="46" t="s">
        <v>1110</v>
      </c>
    </row>
    <row r="645" spans="2:9" ht="14.45" customHeight="1" x14ac:dyDescent="0.25">
      <c r="B645" s="44" t="s">
        <v>330</v>
      </c>
      <c r="C645" s="28">
        <v>5</v>
      </c>
      <c r="D645" s="45" t="s">
        <v>2046</v>
      </c>
      <c r="E645" s="87"/>
      <c r="F645" s="87" t="str">
        <f>IF(INDEX(I.Production.P2C3,5)="","",INDEX(I.Production.P2C3,5))</f>
        <v/>
      </c>
      <c r="G645" s="87"/>
      <c r="H645" s="28" t="str">
        <f t="shared" si="3"/>
        <v>Complete</v>
      </c>
      <c r="I645" s="46" t="s">
        <v>1111</v>
      </c>
    </row>
    <row r="646" spans="2:9" ht="14.45" customHeight="1" x14ac:dyDescent="0.25">
      <c r="B646" s="44" t="s">
        <v>330</v>
      </c>
      <c r="C646" s="28">
        <v>6</v>
      </c>
      <c r="D646" s="45" t="s">
        <v>2046</v>
      </c>
      <c r="E646" s="87"/>
      <c r="F646" s="87" t="str">
        <f>IF(INDEX(I.Production.P2C3,6)="","",INDEX(I.Production.P2C3,6))</f>
        <v/>
      </c>
      <c r="G646" s="87"/>
      <c r="H646" s="28" t="str">
        <f t="shared" si="3"/>
        <v>Complete</v>
      </c>
      <c r="I646" s="46" t="s">
        <v>1112</v>
      </c>
    </row>
    <row r="647" spans="2:9" ht="14.45" customHeight="1" x14ac:dyDescent="0.25">
      <c r="B647" s="44" t="s">
        <v>330</v>
      </c>
      <c r="C647" s="28">
        <v>7</v>
      </c>
      <c r="D647" s="45" t="s">
        <v>2046</v>
      </c>
      <c r="E647" s="87"/>
      <c r="F647" s="87" t="str">
        <f>IF(INDEX(I.Production.P2C3,7)="","",INDEX(I.Production.P2C3,7))</f>
        <v/>
      </c>
      <c r="G647" s="87"/>
      <c r="H647" s="28" t="str">
        <f t="shared" si="3"/>
        <v>Complete</v>
      </c>
      <c r="I647" s="46" t="s">
        <v>1113</v>
      </c>
    </row>
    <row r="648" spans="2:9" ht="14.45" customHeight="1" x14ac:dyDescent="0.25">
      <c r="B648" s="44" t="s">
        <v>330</v>
      </c>
      <c r="C648" s="28">
        <v>8</v>
      </c>
      <c r="D648" s="45" t="s">
        <v>2046</v>
      </c>
      <c r="E648" s="87"/>
      <c r="F648" s="87" t="str">
        <f>IF(INDEX(I.Production.P2C3,8)="","",INDEX(I.Production.P2C3,8))</f>
        <v/>
      </c>
      <c r="G648" s="87"/>
      <c r="H648" s="28" t="str">
        <f t="shared" si="3"/>
        <v>Complete</v>
      </c>
      <c r="I648" s="46" t="s">
        <v>1114</v>
      </c>
    </row>
    <row r="649" spans="2:9" ht="14.45" customHeight="1" x14ac:dyDescent="0.25">
      <c r="B649" s="44" t="s">
        <v>330</v>
      </c>
      <c r="C649" s="28">
        <v>9</v>
      </c>
      <c r="D649" s="45" t="s">
        <v>2046</v>
      </c>
      <c r="E649" s="87"/>
      <c r="F649" s="87" t="str">
        <f>IF(INDEX(I.Production.P2C3,9)="","",INDEX(I.Production.P2C3,9))</f>
        <v/>
      </c>
      <c r="G649" s="87"/>
      <c r="H649" s="28" t="str">
        <f t="shared" si="3"/>
        <v>Complete</v>
      </c>
      <c r="I649" s="46" t="s">
        <v>1115</v>
      </c>
    </row>
    <row r="650" spans="2:9" ht="14.45" customHeight="1" x14ac:dyDescent="0.25">
      <c r="B650" s="44" t="s">
        <v>330</v>
      </c>
      <c r="C650" s="28">
        <v>10</v>
      </c>
      <c r="D650" s="45" t="s">
        <v>2046</v>
      </c>
      <c r="E650" s="87"/>
      <c r="F650" s="87" t="str">
        <f>IF(INDEX(I.Production.P2C3,10)="","",INDEX(I.Production.P2C3,10))</f>
        <v/>
      </c>
      <c r="G650" s="87"/>
      <c r="H650" s="28" t="str">
        <f t="shared" si="3"/>
        <v>Complete</v>
      </c>
      <c r="I650" s="46" t="s">
        <v>1116</v>
      </c>
    </row>
    <row r="651" spans="2:9" ht="14.45" customHeight="1" x14ac:dyDescent="0.25">
      <c r="B651" s="44" t="s">
        <v>330</v>
      </c>
      <c r="C651" s="28">
        <v>11</v>
      </c>
      <c r="D651" s="45" t="s">
        <v>2046</v>
      </c>
      <c r="E651" s="87"/>
      <c r="F651" s="87" t="str">
        <f>IF(INDEX(I.Production.P2C3,11)="","",INDEX(I.Production.P2C3,11))</f>
        <v/>
      </c>
      <c r="G651" s="87"/>
      <c r="H651" s="28" t="str">
        <f t="shared" si="3"/>
        <v>Complete</v>
      </c>
      <c r="I651" s="46" t="s">
        <v>1117</v>
      </c>
    </row>
    <row r="652" spans="2:9" ht="14.45" customHeight="1" x14ac:dyDescent="0.25">
      <c r="B652" s="44" t="s">
        <v>330</v>
      </c>
      <c r="C652" s="28">
        <v>12</v>
      </c>
      <c r="D652" s="45" t="s">
        <v>2046</v>
      </c>
      <c r="E652" s="87"/>
      <c r="F652" s="87" t="str">
        <f>IF(INDEX(I.Production.P2C3,12)="","",INDEX(I.Production.P2C3,12))</f>
        <v/>
      </c>
      <c r="G652" s="87"/>
      <c r="H652" s="28" t="str">
        <f t="shared" si="3"/>
        <v>Complete</v>
      </c>
      <c r="I652" s="46" t="s">
        <v>1118</v>
      </c>
    </row>
    <row r="653" spans="2:9" ht="14.45" customHeight="1" x14ac:dyDescent="0.25">
      <c r="B653" s="44" t="s">
        <v>330</v>
      </c>
      <c r="C653" s="28">
        <v>13</v>
      </c>
      <c r="D653" s="45" t="s">
        <v>2046</v>
      </c>
      <c r="E653" s="87"/>
      <c r="F653" s="87" t="str">
        <f>IF(INDEX(I.Production.P2C3,13)="","",INDEX(I.Production.P2C3,13))</f>
        <v/>
      </c>
      <c r="G653" s="87"/>
      <c r="H653" s="28" t="str">
        <f t="shared" si="3"/>
        <v>Complete</v>
      </c>
      <c r="I653" s="46" t="s">
        <v>1119</v>
      </c>
    </row>
    <row r="654" spans="2:9" ht="14.45" customHeight="1" x14ac:dyDescent="0.25">
      <c r="B654" s="44" t="s">
        <v>330</v>
      </c>
      <c r="C654" s="28">
        <v>14</v>
      </c>
      <c r="D654" s="45" t="s">
        <v>2046</v>
      </c>
      <c r="E654" s="87"/>
      <c r="F654" s="87" t="str">
        <f>IF(INDEX(I.Production.P2C3,14)="","",INDEX(I.Production.P2C3,14))</f>
        <v/>
      </c>
      <c r="G654" s="87"/>
      <c r="H654" s="28" t="str">
        <f t="shared" si="3"/>
        <v>Complete</v>
      </c>
      <c r="I654" s="46" t="s">
        <v>1120</v>
      </c>
    </row>
    <row r="655" spans="2:9" ht="14.45" customHeight="1" x14ac:dyDescent="0.25">
      <c r="B655" s="44" t="s">
        <v>330</v>
      </c>
      <c r="C655" s="28">
        <v>15</v>
      </c>
      <c r="D655" s="45" t="s">
        <v>2046</v>
      </c>
      <c r="E655" s="87"/>
      <c r="F655" s="87" t="str">
        <f>IF(INDEX(I.Production.P2C3,15)="","",INDEX(I.Production.P2C3,15))</f>
        <v/>
      </c>
      <c r="G655" s="87"/>
      <c r="H655" s="28" t="str">
        <f t="shared" si="3"/>
        <v>Complete</v>
      </c>
      <c r="I655" s="46" t="s">
        <v>1121</v>
      </c>
    </row>
    <row r="656" spans="2:9" ht="14.45" customHeight="1" x14ac:dyDescent="0.25">
      <c r="B656" s="44" t="s">
        <v>330</v>
      </c>
      <c r="C656" s="28">
        <v>16</v>
      </c>
      <c r="D656" s="45" t="s">
        <v>2046</v>
      </c>
      <c r="E656" s="87"/>
      <c r="F656" s="87" t="str">
        <f>IF(INDEX(I.Production.P2C3,16)="","",INDEX(I.Production.P2C3,16))</f>
        <v/>
      </c>
      <c r="G656" s="87"/>
      <c r="H656" s="28" t="str">
        <f t="shared" si="3"/>
        <v>Complete</v>
      </c>
      <c r="I656" s="46" t="s">
        <v>1122</v>
      </c>
    </row>
    <row r="657" spans="2:9" ht="14.45" customHeight="1" x14ac:dyDescent="0.25">
      <c r="B657" s="44" t="s">
        <v>330</v>
      </c>
      <c r="C657" s="28">
        <v>17</v>
      </c>
      <c r="D657" s="45" t="s">
        <v>2046</v>
      </c>
      <c r="E657" s="87"/>
      <c r="F657" s="87" t="str">
        <f>IF(INDEX(I.Production.P2C3,17)="","",INDEX(I.Production.P2C3,17))</f>
        <v/>
      </c>
      <c r="G657" s="87"/>
      <c r="H657" s="28" t="str">
        <f t="shared" si="3"/>
        <v>Complete</v>
      </c>
      <c r="I657" s="46" t="s">
        <v>1123</v>
      </c>
    </row>
    <row r="658" spans="2:9" ht="14.45" customHeight="1" x14ac:dyDescent="0.25">
      <c r="B658" s="44" t="s">
        <v>330</v>
      </c>
      <c r="C658" s="28">
        <v>18</v>
      </c>
      <c r="D658" s="45" t="s">
        <v>2046</v>
      </c>
      <c r="E658" s="87"/>
      <c r="F658" s="87" t="str">
        <f>IF(INDEX(I.Production.P2C3,18)="","",INDEX(I.Production.P2C3,18))</f>
        <v/>
      </c>
      <c r="G658" s="87"/>
      <c r="H658" s="28" t="str">
        <f t="shared" si="3"/>
        <v>Complete</v>
      </c>
      <c r="I658" s="46" t="s">
        <v>1124</v>
      </c>
    </row>
    <row r="659" spans="2:9" ht="14.45" customHeight="1" x14ac:dyDescent="0.25">
      <c r="B659" s="44" t="s">
        <v>330</v>
      </c>
      <c r="C659" s="28">
        <v>19</v>
      </c>
      <c r="D659" s="45" t="s">
        <v>2046</v>
      </c>
      <c r="E659" s="87"/>
      <c r="F659" s="87" t="str">
        <f>IF(INDEX(I.Production.P2C3,19)="","",INDEX(I.Production.P2C3,19))</f>
        <v/>
      </c>
      <c r="G659" s="87"/>
      <c r="H659" s="28" t="str">
        <f t="shared" si="3"/>
        <v>Complete</v>
      </c>
      <c r="I659" s="46" t="s">
        <v>1125</v>
      </c>
    </row>
    <row r="660" spans="2:9" ht="14.45" customHeight="1" x14ac:dyDescent="0.25">
      <c r="B660" s="44" t="s">
        <v>330</v>
      </c>
      <c r="C660" s="28">
        <v>20</v>
      </c>
      <c r="D660" s="45" t="s">
        <v>2046</v>
      </c>
      <c r="E660" s="87"/>
      <c r="F660" s="87" t="str">
        <f>IF(INDEX(I.Production.P2C3,20)="","",INDEX(I.Production.P2C3,20))</f>
        <v/>
      </c>
      <c r="G660" s="87"/>
      <c r="H660" s="28" t="str">
        <f t="shared" si="3"/>
        <v>Complete</v>
      </c>
      <c r="I660" s="46" t="s">
        <v>1126</v>
      </c>
    </row>
    <row r="661" spans="2:9" ht="14.45" customHeight="1" x14ac:dyDescent="0.25">
      <c r="B661" s="53" t="s">
        <v>330</v>
      </c>
      <c r="C661" s="66">
        <v>21</v>
      </c>
      <c r="D661" s="54" t="s">
        <v>2046</v>
      </c>
      <c r="E661" s="88"/>
      <c r="F661" s="88" t="str">
        <f>IF(INDEX(I.Production.P2C3,21)="","",INDEX(I.Production.P2C3,21))</f>
        <v/>
      </c>
      <c r="G661" s="88"/>
      <c r="H661" s="66" t="str">
        <f t="shared" si="3"/>
        <v>Complete</v>
      </c>
      <c r="I661" s="68" t="s">
        <v>1127</v>
      </c>
    </row>
    <row r="662" spans="2:9" ht="14.45" customHeight="1" x14ac:dyDescent="0.25">
      <c r="B662" s="44" t="s">
        <v>331</v>
      </c>
      <c r="C662" s="28">
        <v>1</v>
      </c>
      <c r="D662" s="45" t="s">
        <v>2047</v>
      </c>
      <c r="E662" s="87"/>
      <c r="F662" s="87" t="str">
        <f>IF(INDEX(I.Production.P2C4,1)="","",INDEX(I.Production.P2C4,1))</f>
        <v/>
      </c>
      <c r="G662" s="87"/>
      <c r="H662" s="28" t="str">
        <f>IF(AND(I.Facility.ProductCount&gt;=2,I.Developer.P2C4=TRUE,F662=""),"Incomplete","Complete")</f>
        <v>Complete</v>
      </c>
      <c r="I662" s="46" t="s">
        <v>1128</v>
      </c>
    </row>
    <row r="663" spans="2:9" ht="14.45" customHeight="1" x14ac:dyDescent="0.25">
      <c r="B663" s="44" t="s">
        <v>331</v>
      </c>
      <c r="C663" s="28">
        <v>2</v>
      </c>
      <c r="D663" s="45" t="s">
        <v>2047</v>
      </c>
      <c r="E663" s="87"/>
      <c r="F663" s="87" t="str">
        <f>IF(INDEX(I.Production.P2C4,2)="","",INDEX(I.Production.P2C4,2))</f>
        <v/>
      </c>
      <c r="G663" s="87"/>
      <c r="H663" s="28" t="str">
        <f>IF(AND(I.Facility.ProductCount&gt;=2,I.Developer.P2C4=TRUE,F663=""),"Incomplete","Complete")</f>
        <v>Complete</v>
      </c>
      <c r="I663" s="46" t="s">
        <v>1129</v>
      </c>
    </row>
    <row r="664" spans="2:9" ht="14.45" customHeight="1" x14ac:dyDescent="0.25">
      <c r="B664" s="53" t="s">
        <v>331</v>
      </c>
      <c r="C664" s="66">
        <v>3</v>
      </c>
      <c r="D664" s="54" t="s">
        <v>2047</v>
      </c>
      <c r="E664" s="88"/>
      <c r="F664" s="88" t="str">
        <f>IF(INDEX(I.Production.P2C4,3)="","",INDEX(I.Production.P2C4,3))</f>
        <v/>
      </c>
      <c r="G664" s="88"/>
      <c r="H664" s="66" t="str">
        <f>IF(AND(I.Facility.ProductCount&gt;=2,I.Developer.P2C4=TRUE,F664=""),"Incomplete","Complete")</f>
        <v>Complete</v>
      </c>
      <c r="I664" s="68" t="s">
        <v>1130</v>
      </c>
    </row>
    <row r="665" spans="2:9" ht="14.45" customHeight="1" x14ac:dyDescent="0.25">
      <c r="B665" s="44" t="s">
        <v>332</v>
      </c>
      <c r="C665" s="28">
        <v>1</v>
      </c>
      <c r="D665" s="45" t="s">
        <v>2048</v>
      </c>
      <c r="E665" s="87"/>
      <c r="F665" s="87" t="str">
        <f>IF(INDEX(I.Production.P2C5,1)="","",INDEX(I.Production.P2C5,1))</f>
        <v/>
      </c>
      <c r="G665" s="87"/>
      <c r="H665" s="28" t="str">
        <f>IF(AND(I.Facility.ProductCount&gt;=2,I.Developer.P2C5=TRUE,F665=""),"Incomplete","Complete")</f>
        <v>Complete</v>
      </c>
      <c r="I665" s="46" t="s">
        <v>1131</v>
      </c>
    </row>
    <row r="666" spans="2:9" ht="14.45" customHeight="1" x14ac:dyDescent="0.25">
      <c r="B666" s="44" t="s">
        <v>332</v>
      </c>
      <c r="C666" s="28">
        <v>2</v>
      </c>
      <c r="D666" s="45" t="s">
        <v>2048</v>
      </c>
      <c r="E666" s="87"/>
      <c r="F666" s="87" t="str">
        <f>IF(INDEX(I.Production.P2C5,2)="","",INDEX(I.Production.P2C5,2))</f>
        <v/>
      </c>
      <c r="G666" s="87"/>
      <c r="H666" s="28" t="str">
        <f>IF(AND(I.Facility.ProductCount&gt;=2,I.Developer.P2C5=TRUE,F666=""),"Incomplete","Complete")</f>
        <v>Complete</v>
      </c>
      <c r="I666" s="46" t="s">
        <v>1132</v>
      </c>
    </row>
    <row r="667" spans="2:9" ht="14.45" customHeight="1" x14ac:dyDescent="0.25">
      <c r="B667" s="53" t="s">
        <v>332</v>
      </c>
      <c r="C667" s="66">
        <v>3</v>
      </c>
      <c r="D667" s="54" t="s">
        <v>2048</v>
      </c>
      <c r="E667" s="88"/>
      <c r="F667" s="88" t="str">
        <f>IF(INDEX(I.Production.P2C5,3)="","",INDEX(I.Production.P2C5,3))</f>
        <v/>
      </c>
      <c r="G667" s="88"/>
      <c r="H667" s="66" t="str">
        <f>IF(AND(I.Facility.ProductCount&gt;=2,I.Developer.P2C5=TRUE,F667=""),"Incomplete","Complete")</f>
        <v>Complete</v>
      </c>
      <c r="I667" s="68" t="s">
        <v>1133</v>
      </c>
    </row>
    <row r="668" spans="2:9" ht="14.45" customHeight="1" x14ac:dyDescent="0.25">
      <c r="B668" s="44" t="s">
        <v>333</v>
      </c>
      <c r="C668" s="28">
        <v>1</v>
      </c>
      <c r="D668" s="45" t="s">
        <v>2049</v>
      </c>
      <c r="E668" s="87"/>
      <c r="F668" s="87" t="str">
        <f>IF(INDEX(I.Production.P2C6,1)="","",INDEX(I.Production.P2C6,1))</f>
        <v/>
      </c>
      <c r="G668" s="87"/>
      <c r="H668" s="28" t="str">
        <f>IF(AND(I.Facility.ProductCount&gt;=2,I.Developer.P2C6=TRUE,F668=""),"Incomplete","Complete")</f>
        <v>Complete</v>
      </c>
      <c r="I668" s="46" t="s">
        <v>1134</v>
      </c>
    </row>
    <row r="669" spans="2:9" ht="14.45" customHeight="1" x14ac:dyDescent="0.25">
      <c r="B669" s="44" t="s">
        <v>333</v>
      </c>
      <c r="C669" s="28">
        <v>2</v>
      </c>
      <c r="D669" s="45" t="s">
        <v>2049</v>
      </c>
      <c r="E669" s="87"/>
      <c r="F669" s="87" t="str">
        <f>IF(INDEX(I.Production.P2C6,2)="","",INDEX(I.Production.P2C6,2))</f>
        <v/>
      </c>
      <c r="G669" s="87"/>
      <c r="H669" s="28" t="str">
        <f>IF(AND(I.Facility.ProductCount&gt;=2,I.Developer.P2C6=TRUE,F669=""),"Incomplete","Complete")</f>
        <v>Complete</v>
      </c>
      <c r="I669" s="46" t="s">
        <v>1135</v>
      </c>
    </row>
    <row r="670" spans="2:9" ht="14.45" customHeight="1" x14ac:dyDescent="0.25">
      <c r="B670" s="53" t="s">
        <v>333</v>
      </c>
      <c r="C670" s="66">
        <v>3</v>
      </c>
      <c r="D670" s="54" t="s">
        <v>2049</v>
      </c>
      <c r="E670" s="88"/>
      <c r="F670" s="88" t="str">
        <f>IF(INDEX(I.Production.P2C6,3)="","",INDEX(I.Production.P2C6,3))</f>
        <v/>
      </c>
      <c r="G670" s="88"/>
      <c r="H670" s="66" t="str">
        <f>IF(AND(I.Facility.ProductCount&gt;=2,I.Developer.P2C6=TRUE,F670=""),"Incomplete","Complete")</f>
        <v>Complete</v>
      </c>
      <c r="I670" s="68" t="s">
        <v>1136</v>
      </c>
    </row>
    <row r="671" spans="2:9" ht="14.45" customHeight="1" x14ac:dyDescent="0.25">
      <c r="B671" s="44" t="s">
        <v>334</v>
      </c>
      <c r="C671" s="28">
        <v>1</v>
      </c>
      <c r="D671" s="45" t="s">
        <v>2050</v>
      </c>
      <c r="E671" s="87"/>
      <c r="F671" s="87" t="str">
        <f>IF(INDEX(I.Production.P2C7,1)="","",INDEX(I.Production.P2C7,1))</f>
        <v/>
      </c>
      <c r="G671" s="87"/>
      <c r="H671" s="28" t="str">
        <f>IF(AND(I.Facility.ProductCount&gt;=2,I.Developer.P2C7=TRUE,F671=""),"Incomplete","Complete")</f>
        <v>Complete</v>
      </c>
      <c r="I671" s="46" t="s">
        <v>1137</v>
      </c>
    </row>
    <row r="672" spans="2:9" ht="14.45" customHeight="1" x14ac:dyDescent="0.25">
      <c r="B672" s="44" t="s">
        <v>334</v>
      </c>
      <c r="C672" s="28">
        <v>2</v>
      </c>
      <c r="D672" s="45" t="s">
        <v>2050</v>
      </c>
      <c r="E672" s="87"/>
      <c r="F672" s="87" t="str">
        <f>IF(INDEX(I.Production.P2C7,2)="","",INDEX(I.Production.P2C7,2))</f>
        <v/>
      </c>
      <c r="G672" s="87"/>
      <c r="H672" s="28" t="str">
        <f>IF(AND(I.Facility.ProductCount&gt;=2,I.Developer.P2C7=TRUE,F672=""),"Incomplete","Complete")</f>
        <v>Complete</v>
      </c>
      <c r="I672" s="46" t="s">
        <v>1138</v>
      </c>
    </row>
    <row r="673" spans="2:9" ht="14.45" customHeight="1" x14ac:dyDescent="0.25">
      <c r="B673" s="53" t="s">
        <v>334</v>
      </c>
      <c r="C673" s="66">
        <v>3</v>
      </c>
      <c r="D673" s="54" t="s">
        <v>2050</v>
      </c>
      <c r="E673" s="88"/>
      <c r="F673" s="88" t="str">
        <f>IF(INDEX(I.Production.P2C7,3)="","",INDEX(I.Production.P2C7,3))</f>
        <v/>
      </c>
      <c r="G673" s="88"/>
      <c r="H673" s="66" t="str">
        <f>IF(AND(I.Facility.ProductCount&gt;=2,I.Developer.P2C7=TRUE,F673=""),"Incomplete","Complete")</f>
        <v>Complete</v>
      </c>
      <c r="I673" s="68" t="s">
        <v>1139</v>
      </c>
    </row>
    <row r="674" spans="2:9" ht="14.45" customHeight="1" x14ac:dyDescent="0.25">
      <c r="B674" s="44" t="s">
        <v>335</v>
      </c>
      <c r="C674" s="28">
        <v>1</v>
      </c>
      <c r="D674" s="45" t="s">
        <v>2051</v>
      </c>
      <c r="E674" s="87"/>
      <c r="F674" s="87" t="str">
        <f>IF(INDEX(I.Production.P2C8,1)="","",INDEX(I.Production.P2C8,1))</f>
        <v/>
      </c>
      <c r="G674" s="87"/>
      <c r="H674" s="28" t="str">
        <f>IF(AND(I.Facility.ProductCount&gt;=2,I.Developer.P2C8=TRUE,F674=""),"Incomplete","Complete")</f>
        <v>Complete</v>
      </c>
      <c r="I674" s="46" t="s">
        <v>1140</v>
      </c>
    </row>
    <row r="675" spans="2:9" ht="14.45" customHeight="1" x14ac:dyDescent="0.25">
      <c r="B675" s="44" t="s">
        <v>335</v>
      </c>
      <c r="C675" s="28">
        <v>2</v>
      </c>
      <c r="D675" s="45" t="s">
        <v>2051</v>
      </c>
      <c r="E675" s="87"/>
      <c r="F675" s="87" t="str">
        <f>IF(INDEX(I.Production.P2C8,2)="","",INDEX(I.Production.P2C8,2))</f>
        <v/>
      </c>
      <c r="G675" s="87"/>
      <c r="H675" s="28" t="str">
        <f>IF(AND(I.Facility.ProductCount&gt;=2,I.Developer.P2C8=TRUE,F675=""),"Incomplete","Complete")</f>
        <v>Complete</v>
      </c>
      <c r="I675" s="46" t="s">
        <v>1141</v>
      </c>
    </row>
    <row r="676" spans="2:9" ht="14.45" customHeight="1" x14ac:dyDescent="0.25">
      <c r="B676" s="53" t="s">
        <v>335</v>
      </c>
      <c r="C676" s="66">
        <v>3</v>
      </c>
      <c r="D676" s="54" t="s">
        <v>2051</v>
      </c>
      <c r="E676" s="88"/>
      <c r="F676" s="88" t="str">
        <f>IF(INDEX(I.Production.P2C8,3)="","",INDEX(I.Production.P2C8,3))</f>
        <v/>
      </c>
      <c r="G676" s="88"/>
      <c r="H676" s="66" t="str">
        <f>IF(AND(I.Facility.ProductCount&gt;=2,I.Developer.P2C8=TRUE,F676=""),"Incomplete","Complete")</f>
        <v>Complete</v>
      </c>
      <c r="I676" s="68" t="s">
        <v>1142</v>
      </c>
    </row>
    <row r="677" spans="2:9" ht="14.45" customHeight="1" x14ac:dyDescent="0.25">
      <c r="B677" s="44" t="s">
        <v>336</v>
      </c>
      <c r="C677" s="28">
        <v>1</v>
      </c>
      <c r="D677" s="45" t="s">
        <v>2052</v>
      </c>
      <c r="E677" s="87"/>
      <c r="F677" s="87" t="str">
        <f>IF(INDEX(I.Production.P2C9,1)="","",INDEX(I.Production.P2C9,1))</f>
        <v/>
      </c>
      <c r="G677" s="87"/>
      <c r="H677" s="28" t="str">
        <f>IF(AND(I.Facility.ProductCount&gt;=2,I.Developer.P2C9=TRUE,F677=""),"Incomplete","Complete")</f>
        <v>Complete</v>
      </c>
      <c r="I677" s="46" t="s">
        <v>1143</v>
      </c>
    </row>
    <row r="678" spans="2:9" ht="14.45" customHeight="1" x14ac:dyDescent="0.25">
      <c r="B678" s="44" t="s">
        <v>336</v>
      </c>
      <c r="C678" s="28">
        <v>2</v>
      </c>
      <c r="D678" s="45" t="s">
        <v>2052</v>
      </c>
      <c r="E678" s="87"/>
      <c r="F678" s="87" t="str">
        <f>IF(INDEX(I.Production.P2C9,2)="","",INDEX(I.Production.P2C9,2))</f>
        <v/>
      </c>
      <c r="G678" s="87"/>
      <c r="H678" s="28" t="str">
        <f>IF(AND(I.Facility.ProductCount&gt;=2,I.Developer.P2C9=TRUE,F678=""),"Incomplete","Complete")</f>
        <v>Complete</v>
      </c>
      <c r="I678" s="46" t="s">
        <v>1144</v>
      </c>
    </row>
    <row r="679" spans="2:9" ht="14.45" customHeight="1" x14ac:dyDescent="0.25">
      <c r="B679" s="53" t="s">
        <v>336</v>
      </c>
      <c r="C679" s="66">
        <v>3</v>
      </c>
      <c r="D679" s="54" t="s">
        <v>2052</v>
      </c>
      <c r="E679" s="88"/>
      <c r="F679" s="88" t="str">
        <f>IF(INDEX(I.Production.P2C9,3)="","",INDEX(I.Production.P2C9,3))</f>
        <v/>
      </c>
      <c r="G679" s="88"/>
      <c r="H679" s="66" t="str">
        <f>IF(AND(I.Facility.ProductCount&gt;=2,I.Developer.P2C9=TRUE,F679=""),"Incomplete","Complete")</f>
        <v>Complete</v>
      </c>
      <c r="I679" s="68" t="s">
        <v>1145</v>
      </c>
    </row>
    <row r="680" spans="2:9" ht="14.45" customHeight="1" x14ac:dyDescent="0.25">
      <c r="B680" s="44" t="s">
        <v>337</v>
      </c>
      <c r="C680" s="28">
        <v>1</v>
      </c>
      <c r="D680" s="45" t="s">
        <v>2053</v>
      </c>
      <c r="E680" s="87"/>
      <c r="F680" s="87" t="str">
        <f>IF(I.Production.P3Quantity="","",I.Production.P3Quantity)</f>
        <v/>
      </c>
      <c r="G680" s="87"/>
      <c r="H680" s="28" t="str">
        <f>IF(AND(I.Facility.ProductCount&gt;=3,I.Production.P3Quantity=""),"Incomplete","Complete")</f>
        <v>Complete</v>
      </c>
      <c r="I680" s="46" t="s">
        <v>1146</v>
      </c>
    </row>
    <row r="681" spans="2:9" ht="14.45" customHeight="1" x14ac:dyDescent="0.25">
      <c r="B681" s="53" t="s">
        <v>338</v>
      </c>
      <c r="C681" s="66">
        <v>1</v>
      </c>
      <c r="D681" s="54" t="s">
        <v>2054</v>
      </c>
      <c r="E681" s="54"/>
      <c r="F681" s="66" t="str">
        <f>IF(I.Production.P3Units="","",I.Production.P3Units)</f>
        <v/>
      </c>
      <c r="G681" s="54"/>
      <c r="H681" s="66" t="str">
        <f>IF(AND(I.Facility.ProductCount&gt;=3,I.Production.P3Units=""),"Incomplete","Complete")</f>
        <v>Complete</v>
      </c>
      <c r="I681" s="68" t="s">
        <v>1147</v>
      </c>
    </row>
    <row r="682" spans="2:9" ht="14.45" customHeight="1" x14ac:dyDescent="0.25">
      <c r="B682" s="44" t="s">
        <v>339</v>
      </c>
      <c r="C682" s="28">
        <v>1</v>
      </c>
      <c r="D682" s="45" t="s">
        <v>2055</v>
      </c>
      <c r="E682" s="87"/>
      <c r="F682" s="87" t="str">
        <f>IF(INDEX(I.Production.P3C1,1)="","",INDEX(I.Production.P3C1,1))</f>
        <v/>
      </c>
      <c r="G682" s="87"/>
      <c r="H682" s="28" t="str">
        <f>IF(AND(I.Facility.ProductCount&gt;=3,I.Developer.P3C1=TRUE,F682=""),"Incomplete","Complete")</f>
        <v>Complete</v>
      </c>
      <c r="I682" s="46" t="s">
        <v>1148</v>
      </c>
    </row>
    <row r="683" spans="2:9" ht="14.45" customHeight="1" x14ac:dyDescent="0.25">
      <c r="B683" s="44" t="s">
        <v>339</v>
      </c>
      <c r="C683" s="28">
        <v>2</v>
      </c>
      <c r="D683" s="45" t="s">
        <v>2055</v>
      </c>
      <c r="E683" s="87"/>
      <c r="F683" s="87" t="str">
        <f>IF(INDEX(I.Production.P3C1,2)="","",INDEX(I.Production.P3C1,2))</f>
        <v/>
      </c>
      <c r="G683" s="87"/>
      <c r="H683" s="28" t="str">
        <f>IF(AND(I.Facility.ProductCount&gt;=3,I.Developer.P3C1=TRUE,F683=""),"Incomplete","Complete")</f>
        <v>Complete</v>
      </c>
      <c r="I683" s="46" t="s">
        <v>1149</v>
      </c>
    </row>
    <row r="684" spans="2:9" ht="14.45" customHeight="1" x14ac:dyDescent="0.25">
      <c r="B684" s="53" t="s">
        <v>339</v>
      </c>
      <c r="C684" s="66">
        <v>3</v>
      </c>
      <c r="D684" s="54" t="s">
        <v>2055</v>
      </c>
      <c r="E684" s="88"/>
      <c r="F684" s="88" t="str">
        <f>IF(INDEX(I.Production.P3C1,3)="","",INDEX(I.Production.P3C1,3))</f>
        <v/>
      </c>
      <c r="G684" s="88"/>
      <c r="H684" s="66" t="str">
        <f>IF(AND(I.Facility.ProductCount&gt;=3,I.Developer.P3C1=TRUE,F684=""),"Incomplete","Complete")</f>
        <v>Complete</v>
      </c>
      <c r="I684" s="68" t="s">
        <v>1150</v>
      </c>
    </row>
    <row r="685" spans="2:9" ht="14.45" customHeight="1" x14ac:dyDescent="0.25">
      <c r="B685" s="44" t="s">
        <v>340</v>
      </c>
      <c r="C685" s="28">
        <v>1</v>
      </c>
      <c r="D685" s="45" t="s">
        <v>2056</v>
      </c>
      <c r="E685" s="87"/>
      <c r="F685" s="87" t="str">
        <f>IF(INDEX(I.Production.P3C2,1)="","",INDEX(I.Production.P3C2,1))</f>
        <v/>
      </c>
      <c r="G685" s="87"/>
      <c r="H685" s="28" t="str">
        <f t="shared" ref="H685:H708" si="4">IF(AND(I.Facility.ProductCount&gt;=3,I.Developer.P3C2=TRUE,F685=""),"Incomplete","Complete")</f>
        <v>Complete</v>
      </c>
      <c r="I685" s="46" t="s">
        <v>1151</v>
      </c>
    </row>
    <row r="686" spans="2:9" ht="14.45" customHeight="1" x14ac:dyDescent="0.25">
      <c r="B686" s="44" t="s">
        <v>340</v>
      </c>
      <c r="C686" s="28">
        <v>2</v>
      </c>
      <c r="D686" s="45" t="s">
        <v>2056</v>
      </c>
      <c r="E686" s="87"/>
      <c r="F686" s="87" t="str">
        <f>IF(INDEX(I.Production.P3C2,2)="","",INDEX(I.Production.P3C2,2))</f>
        <v/>
      </c>
      <c r="G686" s="87"/>
      <c r="H686" s="28" t="str">
        <f t="shared" si="4"/>
        <v>Complete</v>
      </c>
      <c r="I686" s="46" t="s">
        <v>1152</v>
      </c>
    </row>
    <row r="687" spans="2:9" ht="14.45" customHeight="1" x14ac:dyDescent="0.25">
      <c r="B687" s="44" t="s">
        <v>340</v>
      </c>
      <c r="C687" s="28">
        <v>3</v>
      </c>
      <c r="D687" s="45" t="s">
        <v>2056</v>
      </c>
      <c r="E687" s="87"/>
      <c r="F687" s="87" t="str">
        <f>IF(INDEX(I.Production.P3C2,3)="","",INDEX(I.Production.P3C2,3))</f>
        <v/>
      </c>
      <c r="G687" s="87"/>
      <c r="H687" s="28" t="str">
        <f t="shared" si="4"/>
        <v>Complete</v>
      </c>
      <c r="I687" s="46" t="s">
        <v>1153</v>
      </c>
    </row>
    <row r="688" spans="2:9" ht="14.45" customHeight="1" x14ac:dyDescent="0.25">
      <c r="B688" s="44" t="s">
        <v>340</v>
      </c>
      <c r="C688" s="28">
        <v>4</v>
      </c>
      <c r="D688" s="45" t="s">
        <v>2056</v>
      </c>
      <c r="E688" s="87"/>
      <c r="F688" s="87" t="str">
        <f>IF(INDEX(I.Production.P3C2,4)="","",INDEX(I.Production.P3C2,4))</f>
        <v/>
      </c>
      <c r="G688" s="87"/>
      <c r="H688" s="28" t="str">
        <f t="shared" si="4"/>
        <v>Complete</v>
      </c>
      <c r="I688" s="46" t="s">
        <v>1154</v>
      </c>
    </row>
    <row r="689" spans="2:9" ht="14.45" customHeight="1" x14ac:dyDescent="0.25">
      <c r="B689" s="44" t="s">
        <v>340</v>
      </c>
      <c r="C689" s="28">
        <v>5</v>
      </c>
      <c r="D689" s="45" t="s">
        <v>2056</v>
      </c>
      <c r="E689" s="87"/>
      <c r="F689" s="87" t="str">
        <f>IF(INDEX(I.Production.P3C2,5)="","",INDEX(I.Production.P3C2,5))</f>
        <v/>
      </c>
      <c r="G689" s="87"/>
      <c r="H689" s="28" t="str">
        <f t="shared" si="4"/>
        <v>Complete</v>
      </c>
      <c r="I689" s="46" t="s">
        <v>1155</v>
      </c>
    </row>
    <row r="690" spans="2:9" ht="14.45" customHeight="1" x14ac:dyDescent="0.25">
      <c r="B690" s="44" t="s">
        <v>340</v>
      </c>
      <c r="C690" s="28">
        <v>6</v>
      </c>
      <c r="D690" s="45" t="s">
        <v>2056</v>
      </c>
      <c r="E690" s="87"/>
      <c r="F690" s="87" t="str">
        <f>IF(INDEX(I.Production.P3C2,6)="","",INDEX(I.Production.P3C2,6))</f>
        <v/>
      </c>
      <c r="G690" s="87"/>
      <c r="H690" s="28" t="str">
        <f t="shared" si="4"/>
        <v>Complete</v>
      </c>
      <c r="I690" s="46" t="s">
        <v>1156</v>
      </c>
    </row>
    <row r="691" spans="2:9" ht="14.45" customHeight="1" x14ac:dyDescent="0.25">
      <c r="B691" s="44" t="s">
        <v>340</v>
      </c>
      <c r="C691" s="28">
        <v>7</v>
      </c>
      <c r="D691" s="45" t="s">
        <v>2056</v>
      </c>
      <c r="E691" s="87"/>
      <c r="F691" s="87" t="str">
        <f>IF(INDEX(I.Production.P3C2,7)="","",INDEX(I.Production.P3C2,7))</f>
        <v/>
      </c>
      <c r="G691" s="87"/>
      <c r="H691" s="28" t="str">
        <f t="shared" si="4"/>
        <v>Complete</v>
      </c>
      <c r="I691" s="46" t="s">
        <v>1157</v>
      </c>
    </row>
    <row r="692" spans="2:9" ht="14.45" customHeight="1" x14ac:dyDescent="0.25">
      <c r="B692" s="44" t="s">
        <v>340</v>
      </c>
      <c r="C692" s="28">
        <v>8</v>
      </c>
      <c r="D692" s="45" t="s">
        <v>2056</v>
      </c>
      <c r="E692" s="87"/>
      <c r="F692" s="87" t="str">
        <f>IF(INDEX(I.Production.P3C2,8)="","",INDEX(I.Production.P3C2,8))</f>
        <v/>
      </c>
      <c r="G692" s="87"/>
      <c r="H692" s="28" t="str">
        <f t="shared" si="4"/>
        <v>Complete</v>
      </c>
      <c r="I692" s="46" t="s">
        <v>1158</v>
      </c>
    </row>
    <row r="693" spans="2:9" ht="14.45" customHeight="1" x14ac:dyDescent="0.25">
      <c r="B693" s="44" t="s">
        <v>340</v>
      </c>
      <c r="C693" s="28">
        <v>9</v>
      </c>
      <c r="D693" s="45" t="s">
        <v>2056</v>
      </c>
      <c r="E693" s="87"/>
      <c r="F693" s="87" t="str">
        <f>IF(INDEX(I.Production.P3C2,9)="","",INDEX(I.Production.P3C2,9))</f>
        <v/>
      </c>
      <c r="G693" s="87"/>
      <c r="H693" s="28" t="str">
        <f t="shared" si="4"/>
        <v>Complete</v>
      </c>
      <c r="I693" s="46" t="s">
        <v>1159</v>
      </c>
    </row>
    <row r="694" spans="2:9" ht="14.45" customHeight="1" x14ac:dyDescent="0.25">
      <c r="B694" s="44" t="s">
        <v>340</v>
      </c>
      <c r="C694" s="28">
        <v>10</v>
      </c>
      <c r="D694" s="45" t="s">
        <v>2056</v>
      </c>
      <c r="E694" s="87"/>
      <c r="F694" s="87" t="str">
        <f>IF(INDEX(I.Production.P3C2,10)="","",INDEX(I.Production.P3C2,10))</f>
        <v/>
      </c>
      <c r="G694" s="87"/>
      <c r="H694" s="28" t="str">
        <f t="shared" si="4"/>
        <v>Complete</v>
      </c>
      <c r="I694" s="46" t="s">
        <v>1160</v>
      </c>
    </row>
    <row r="695" spans="2:9" ht="14.45" customHeight="1" x14ac:dyDescent="0.25">
      <c r="B695" s="44" t="s">
        <v>340</v>
      </c>
      <c r="C695" s="28">
        <v>11</v>
      </c>
      <c r="D695" s="45" t="s">
        <v>2056</v>
      </c>
      <c r="E695" s="87"/>
      <c r="F695" s="87" t="str">
        <f>IF(INDEX(I.Production.P3C2,11)="","",INDEX(I.Production.P3C2,11))</f>
        <v/>
      </c>
      <c r="G695" s="87"/>
      <c r="H695" s="28" t="str">
        <f t="shared" si="4"/>
        <v>Complete</v>
      </c>
      <c r="I695" s="46" t="s">
        <v>1161</v>
      </c>
    </row>
    <row r="696" spans="2:9" ht="14.45" customHeight="1" x14ac:dyDescent="0.25">
      <c r="B696" s="44" t="s">
        <v>340</v>
      </c>
      <c r="C696" s="28">
        <v>12</v>
      </c>
      <c r="D696" s="45" t="s">
        <v>2056</v>
      </c>
      <c r="E696" s="87"/>
      <c r="F696" s="87" t="str">
        <f>IF(INDEX(I.Production.P3C2,12)="","",INDEX(I.Production.P3C2,12))</f>
        <v/>
      </c>
      <c r="G696" s="87"/>
      <c r="H696" s="28" t="str">
        <f t="shared" si="4"/>
        <v>Complete</v>
      </c>
      <c r="I696" s="46" t="s">
        <v>1162</v>
      </c>
    </row>
    <row r="697" spans="2:9" ht="14.45" customHeight="1" x14ac:dyDescent="0.25">
      <c r="B697" s="44" t="s">
        <v>340</v>
      </c>
      <c r="C697" s="28">
        <v>13</v>
      </c>
      <c r="D697" s="45" t="s">
        <v>2056</v>
      </c>
      <c r="E697" s="87"/>
      <c r="F697" s="87" t="str">
        <f>IF(INDEX(I.Production.P3C2,13)="","",INDEX(I.Production.P3C2,13))</f>
        <v/>
      </c>
      <c r="G697" s="87"/>
      <c r="H697" s="28" t="str">
        <f t="shared" si="4"/>
        <v>Complete</v>
      </c>
      <c r="I697" s="46" t="s">
        <v>1163</v>
      </c>
    </row>
    <row r="698" spans="2:9" ht="14.45" customHeight="1" x14ac:dyDescent="0.25">
      <c r="B698" s="44" t="s">
        <v>340</v>
      </c>
      <c r="C698" s="28">
        <v>14</v>
      </c>
      <c r="D698" s="45" t="s">
        <v>2056</v>
      </c>
      <c r="E698" s="87"/>
      <c r="F698" s="87" t="str">
        <f>IF(INDEX(I.Production.P3C2,14)="","",INDEX(I.Production.P3C2,14))</f>
        <v/>
      </c>
      <c r="G698" s="87"/>
      <c r="H698" s="28" t="str">
        <f t="shared" si="4"/>
        <v>Complete</v>
      </c>
      <c r="I698" s="46" t="s">
        <v>1164</v>
      </c>
    </row>
    <row r="699" spans="2:9" ht="14.45" customHeight="1" x14ac:dyDescent="0.25">
      <c r="B699" s="44" t="s">
        <v>340</v>
      </c>
      <c r="C699" s="28">
        <v>15</v>
      </c>
      <c r="D699" s="45" t="s">
        <v>2056</v>
      </c>
      <c r="E699" s="87"/>
      <c r="F699" s="87" t="str">
        <f>IF(INDEX(I.Production.P3C2,15)="","",INDEX(I.Production.P3C2,15))</f>
        <v/>
      </c>
      <c r="G699" s="87"/>
      <c r="H699" s="28" t="str">
        <f t="shared" si="4"/>
        <v>Complete</v>
      </c>
      <c r="I699" s="46" t="s">
        <v>1165</v>
      </c>
    </row>
    <row r="700" spans="2:9" ht="14.45" customHeight="1" x14ac:dyDescent="0.25">
      <c r="B700" s="44" t="s">
        <v>340</v>
      </c>
      <c r="C700" s="28">
        <v>16</v>
      </c>
      <c r="D700" s="45" t="s">
        <v>2056</v>
      </c>
      <c r="E700" s="87"/>
      <c r="F700" s="87" t="str">
        <f>IF(INDEX(I.Production.P3C2,16)="","",INDEX(I.Production.P3C2,16))</f>
        <v/>
      </c>
      <c r="G700" s="87"/>
      <c r="H700" s="28" t="str">
        <f t="shared" si="4"/>
        <v>Complete</v>
      </c>
      <c r="I700" s="46" t="s">
        <v>1166</v>
      </c>
    </row>
    <row r="701" spans="2:9" ht="14.45" customHeight="1" x14ac:dyDescent="0.25">
      <c r="B701" s="44" t="s">
        <v>340</v>
      </c>
      <c r="C701" s="28">
        <v>17</v>
      </c>
      <c r="D701" s="45" t="s">
        <v>2056</v>
      </c>
      <c r="E701" s="87"/>
      <c r="F701" s="87" t="str">
        <f>IF(INDEX(I.Production.P3C2,17)="","",INDEX(I.Production.P3C2,17))</f>
        <v/>
      </c>
      <c r="G701" s="87"/>
      <c r="H701" s="28" t="str">
        <f t="shared" si="4"/>
        <v>Complete</v>
      </c>
      <c r="I701" s="46" t="s">
        <v>1167</v>
      </c>
    </row>
    <row r="702" spans="2:9" ht="14.45" customHeight="1" x14ac:dyDescent="0.25">
      <c r="B702" s="44" t="s">
        <v>340</v>
      </c>
      <c r="C702" s="28">
        <v>18</v>
      </c>
      <c r="D702" s="45" t="s">
        <v>2056</v>
      </c>
      <c r="E702" s="87"/>
      <c r="F702" s="87" t="str">
        <f>IF(INDEX(I.Production.P3C2,18)="","",INDEX(I.Production.P3C2,18))</f>
        <v/>
      </c>
      <c r="G702" s="87"/>
      <c r="H702" s="28" t="str">
        <f t="shared" si="4"/>
        <v>Complete</v>
      </c>
      <c r="I702" s="46" t="s">
        <v>1168</v>
      </c>
    </row>
    <row r="703" spans="2:9" ht="14.45" customHeight="1" x14ac:dyDescent="0.25">
      <c r="B703" s="44" t="s">
        <v>340</v>
      </c>
      <c r="C703" s="28">
        <v>19</v>
      </c>
      <c r="D703" s="45" t="s">
        <v>2056</v>
      </c>
      <c r="E703" s="87"/>
      <c r="F703" s="87" t="str">
        <f>IF(INDEX(I.Production.P3C2,19)="","",INDEX(I.Production.P3C2,19))</f>
        <v/>
      </c>
      <c r="G703" s="87"/>
      <c r="H703" s="28" t="str">
        <f t="shared" si="4"/>
        <v>Complete</v>
      </c>
      <c r="I703" s="46" t="s">
        <v>1169</v>
      </c>
    </row>
    <row r="704" spans="2:9" ht="14.45" customHeight="1" x14ac:dyDescent="0.25">
      <c r="B704" s="44" t="s">
        <v>340</v>
      </c>
      <c r="C704" s="28">
        <v>20</v>
      </c>
      <c r="D704" s="45" t="s">
        <v>2056</v>
      </c>
      <c r="E704" s="87"/>
      <c r="F704" s="87" t="str">
        <f>IF(INDEX(I.Production.P3C2,20)="","",INDEX(I.Production.P3C2,20))</f>
        <v/>
      </c>
      <c r="G704" s="87"/>
      <c r="H704" s="28" t="str">
        <f t="shared" si="4"/>
        <v>Complete</v>
      </c>
      <c r="I704" s="46" t="s">
        <v>1170</v>
      </c>
    </row>
    <row r="705" spans="2:9" ht="14.45" customHeight="1" x14ac:dyDescent="0.25">
      <c r="B705" s="44" t="s">
        <v>340</v>
      </c>
      <c r="C705" s="28">
        <v>21</v>
      </c>
      <c r="D705" s="45" t="s">
        <v>2056</v>
      </c>
      <c r="E705" s="87"/>
      <c r="F705" s="87" t="str">
        <f>IF(INDEX(I.Production.P3C2,21)="","",INDEX(I.Production.P3C2,21))</f>
        <v/>
      </c>
      <c r="G705" s="87"/>
      <c r="H705" s="28" t="str">
        <f t="shared" si="4"/>
        <v>Complete</v>
      </c>
      <c r="I705" s="46" t="s">
        <v>1171</v>
      </c>
    </row>
    <row r="706" spans="2:9" ht="14.45" customHeight="1" x14ac:dyDescent="0.25">
      <c r="B706" s="44" t="s">
        <v>340</v>
      </c>
      <c r="C706" s="28">
        <v>22</v>
      </c>
      <c r="D706" s="45" t="s">
        <v>2056</v>
      </c>
      <c r="E706" s="87"/>
      <c r="F706" s="87" t="str">
        <f>IF(INDEX(I.Production.P3C2,22)="","",INDEX(I.Production.P3C2,22))</f>
        <v/>
      </c>
      <c r="G706" s="87"/>
      <c r="H706" s="28" t="str">
        <f t="shared" si="4"/>
        <v>Complete</v>
      </c>
      <c r="I706" s="46" t="s">
        <v>1172</v>
      </c>
    </row>
    <row r="707" spans="2:9" ht="14.45" customHeight="1" x14ac:dyDescent="0.25">
      <c r="B707" s="44" t="s">
        <v>340</v>
      </c>
      <c r="C707" s="28">
        <v>23</v>
      </c>
      <c r="D707" s="45" t="s">
        <v>2056</v>
      </c>
      <c r="E707" s="87"/>
      <c r="F707" s="87" t="str">
        <f>IF(INDEX(I.Production.P3C2,23)="","",INDEX(I.Production.P3C2,23))</f>
        <v/>
      </c>
      <c r="G707" s="87"/>
      <c r="H707" s="28" t="str">
        <f t="shared" si="4"/>
        <v>Complete</v>
      </c>
      <c r="I707" s="46" t="s">
        <v>1173</v>
      </c>
    </row>
    <row r="708" spans="2:9" ht="14.45" customHeight="1" x14ac:dyDescent="0.25">
      <c r="B708" s="53" t="s">
        <v>340</v>
      </c>
      <c r="C708" s="66">
        <v>24</v>
      </c>
      <c r="D708" s="54" t="s">
        <v>2056</v>
      </c>
      <c r="E708" s="88"/>
      <c r="F708" s="88" t="str">
        <f>IF(INDEX(I.Production.P3C2,24)="","",INDEX(I.Production.P3C2,24))</f>
        <v/>
      </c>
      <c r="G708" s="88"/>
      <c r="H708" s="66" t="str">
        <f t="shared" si="4"/>
        <v>Complete</v>
      </c>
      <c r="I708" s="68" t="s">
        <v>1174</v>
      </c>
    </row>
    <row r="709" spans="2:9" ht="14.45" customHeight="1" x14ac:dyDescent="0.25">
      <c r="B709" s="44" t="s">
        <v>341</v>
      </c>
      <c r="C709" s="28">
        <v>1</v>
      </c>
      <c r="D709" s="45" t="s">
        <v>2057</v>
      </c>
      <c r="E709" s="87"/>
      <c r="F709" s="87" t="str">
        <f>IF(INDEX(I.Production.P3C3,1)="","",INDEX(I.Production.P3C3,1))</f>
        <v/>
      </c>
      <c r="G709" s="87"/>
      <c r="H709" s="28" t="str">
        <f t="shared" ref="H709:H729" si="5">IF(AND(I.Facility.ProductCount&gt;=3,I.Developer.P3C3=TRUE,F709=""),"Incomplete","Complete")</f>
        <v>Complete</v>
      </c>
      <c r="I709" s="46" t="s">
        <v>1175</v>
      </c>
    </row>
    <row r="710" spans="2:9" ht="14.45" customHeight="1" x14ac:dyDescent="0.25">
      <c r="B710" s="44" t="s">
        <v>341</v>
      </c>
      <c r="C710" s="28">
        <v>2</v>
      </c>
      <c r="D710" s="45" t="s">
        <v>2057</v>
      </c>
      <c r="E710" s="87"/>
      <c r="F710" s="87" t="str">
        <f>IF(INDEX(I.Production.P3C3,2)="","",INDEX(I.Production.P3C3,2))</f>
        <v/>
      </c>
      <c r="G710" s="87"/>
      <c r="H710" s="28" t="str">
        <f t="shared" si="5"/>
        <v>Complete</v>
      </c>
      <c r="I710" s="46" t="s">
        <v>1176</v>
      </c>
    </row>
    <row r="711" spans="2:9" ht="14.45" customHeight="1" x14ac:dyDescent="0.25">
      <c r="B711" s="44" t="s">
        <v>341</v>
      </c>
      <c r="C711" s="28">
        <v>3</v>
      </c>
      <c r="D711" s="45" t="s">
        <v>2057</v>
      </c>
      <c r="E711" s="87"/>
      <c r="F711" s="87" t="str">
        <f>IF(INDEX(I.Production.P3C3,3)="","",INDEX(I.Production.P3C3,3))</f>
        <v/>
      </c>
      <c r="G711" s="87"/>
      <c r="H711" s="28" t="str">
        <f t="shared" si="5"/>
        <v>Complete</v>
      </c>
      <c r="I711" s="46" t="s">
        <v>1177</v>
      </c>
    </row>
    <row r="712" spans="2:9" ht="14.45" customHeight="1" x14ac:dyDescent="0.25">
      <c r="B712" s="44" t="s">
        <v>341</v>
      </c>
      <c r="C712" s="28">
        <v>4</v>
      </c>
      <c r="D712" s="45" t="s">
        <v>2057</v>
      </c>
      <c r="E712" s="87"/>
      <c r="F712" s="87" t="str">
        <f>IF(INDEX(I.Production.P3C3,4)="","",INDEX(I.Production.P3C3,4))</f>
        <v/>
      </c>
      <c r="G712" s="87"/>
      <c r="H712" s="28" t="str">
        <f t="shared" si="5"/>
        <v>Complete</v>
      </c>
      <c r="I712" s="46" t="s">
        <v>1178</v>
      </c>
    </row>
    <row r="713" spans="2:9" ht="14.45" customHeight="1" x14ac:dyDescent="0.25">
      <c r="B713" s="44" t="s">
        <v>341</v>
      </c>
      <c r="C713" s="28">
        <v>5</v>
      </c>
      <c r="D713" s="45" t="s">
        <v>2057</v>
      </c>
      <c r="E713" s="87"/>
      <c r="F713" s="87" t="str">
        <f>IF(INDEX(I.Production.P3C3,5)="","",INDEX(I.Production.P3C3,5))</f>
        <v/>
      </c>
      <c r="G713" s="87"/>
      <c r="H713" s="28" t="str">
        <f t="shared" si="5"/>
        <v>Complete</v>
      </c>
      <c r="I713" s="46" t="s">
        <v>1179</v>
      </c>
    </row>
    <row r="714" spans="2:9" ht="14.45" customHeight="1" x14ac:dyDescent="0.25">
      <c r="B714" s="44" t="s">
        <v>341</v>
      </c>
      <c r="C714" s="28">
        <v>6</v>
      </c>
      <c r="D714" s="45" t="s">
        <v>2057</v>
      </c>
      <c r="E714" s="87"/>
      <c r="F714" s="87" t="str">
        <f>IF(INDEX(I.Production.P3C3,6)="","",INDEX(I.Production.P3C3,6))</f>
        <v/>
      </c>
      <c r="G714" s="87"/>
      <c r="H714" s="28" t="str">
        <f t="shared" si="5"/>
        <v>Complete</v>
      </c>
      <c r="I714" s="46" t="s">
        <v>1180</v>
      </c>
    </row>
    <row r="715" spans="2:9" ht="14.45" customHeight="1" x14ac:dyDescent="0.25">
      <c r="B715" s="44" t="s">
        <v>341</v>
      </c>
      <c r="C715" s="28">
        <v>7</v>
      </c>
      <c r="D715" s="45" t="s">
        <v>2057</v>
      </c>
      <c r="E715" s="87"/>
      <c r="F715" s="87" t="str">
        <f>IF(INDEX(I.Production.P3C3,7)="","",INDEX(I.Production.P3C3,7))</f>
        <v/>
      </c>
      <c r="G715" s="87"/>
      <c r="H715" s="28" t="str">
        <f t="shared" si="5"/>
        <v>Complete</v>
      </c>
      <c r="I715" s="46" t="s">
        <v>1181</v>
      </c>
    </row>
    <row r="716" spans="2:9" ht="14.45" customHeight="1" x14ac:dyDescent="0.25">
      <c r="B716" s="44" t="s">
        <v>341</v>
      </c>
      <c r="C716" s="28">
        <v>8</v>
      </c>
      <c r="D716" s="45" t="s">
        <v>2057</v>
      </c>
      <c r="E716" s="87"/>
      <c r="F716" s="87" t="str">
        <f>IF(INDEX(I.Production.P3C3,8)="","",INDEX(I.Production.P3C3,8))</f>
        <v/>
      </c>
      <c r="G716" s="87"/>
      <c r="H716" s="28" t="str">
        <f t="shared" si="5"/>
        <v>Complete</v>
      </c>
      <c r="I716" s="46" t="s">
        <v>1182</v>
      </c>
    </row>
    <row r="717" spans="2:9" ht="14.45" customHeight="1" x14ac:dyDescent="0.25">
      <c r="B717" s="44" t="s">
        <v>341</v>
      </c>
      <c r="C717" s="28">
        <v>9</v>
      </c>
      <c r="D717" s="45" t="s">
        <v>2057</v>
      </c>
      <c r="E717" s="87"/>
      <c r="F717" s="87" t="str">
        <f>IF(INDEX(I.Production.P3C3,9)="","",INDEX(I.Production.P3C3,9))</f>
        <v/>
      </c>
      <c r="G717" s="87"/>
      <c r="H717" s="28" t="str">
        <f t="shared" si="5"/>
        <v>Complete</v>
      </c>
      <c r="I717" s="46" t="s">
        <v>1183</v>
      </c>
    </row>
    <row r="718" spans="2:9" ht="14.45" customHeight="1" x14ac:dyDescent="0.25">
      <c r="B718" s="44" t="s">
        <v>341</v>
      </c>
      <c r="C718" s="28">
        <v>10</v>
      </c>
      <c r="D718" s="45" t="s">
        <v>2057</v>
      </c>
      <c r="E718" s="87"/>
      <c r="F718" s="87" t="str">
        <f>IF(INDEX(I.Production.P3C3,10)="","",INDEX(I.Production.P3C3,10))</f>
        <v/>
      </c>
      <c r="G718" s="87"/>
      <c r="H718" s="28" t="str">
        <f t="shared" si="5"/>
        <v>Complete</v>
      </c>
      <c r="I718" s="46" t="s">
        <v>1184</v>
      </c>
    </row>
    <row r="719" spans="2:9" ht="14.45" customHeight="1" x14ac:dyDescent="0.25">
      <c r="B719" s="44" t="s">
        <v>341</v>
      </c>
      <c r="C719" s="28">
        <v>11</v>
      </c>
      <c r="D719" s="45" t="s">
        <v>2057</v>
      </c>
      <c r="E719" s="87"/>
      <c r="F719" s="87" t="str">
        <f>IF(INDEX(I.Production.P3C3,11)="","",INDEX(I.Production.P3C3,11))</f>
        <v/>
      </c>
      <c r="G719" s="87"/>
      <c r="H719" s="28" t="str">
        <f t="shared" si="5"/>
        <v>Complete</v>
      </c>
      <c r="I719" s="46" t="s">
        <v>1185</v>
      </c>
    </row>
    <row r="720" spans="2:9" ht="14.45" customHeight="1" x14ac:dyDescent="0.25">
      <c r="B720" s="44" t="s">
        <v>341</v>
      </c>
      <c r="C720" s="28">
        <v>12</v>
      </c>
      <c r="D720" s="45" t="s">
        <v>2057</v>
      </c>
      <c r="E720" s="87"/>
      <c r="F720" s="87" t="str">
        <f>IF(INDEX(I.Production.P3C3,12)="","",INDEX(I.Production.P3C3,12))</f>
        <v/>
      </c>
      <c r="G720" s="87"/>
      <c r="H720" s="28" t="str">
        <f t="shared" si="5"/>
        <v>Complete</v>
      </c>
      <c r="I720" s="46" t="s">
        <v>1186</v>
      </c>
    </row>
    <row r="721" spans="2:9" ht="14.45" customHeight="1" x14ac:dyDescent="0.25">
      <c r="B721" s="44" t="s">
        <v>341</v>
      </c>
      <c r="C721" s="28">
        <v>13</v>
      </c>
      <c r="D721" s="45" t="s">
        <v>2057</v>
      </c>
      <c r="E721" s="87"/>
      <c r="F721" s="87" t="str">
        <f>IF(INDEX(I.Production.P3C3,13)="","",INDEX(I.Production.P3C3,13))</f>
        <v/>
      </c>
      <c r="G721" s="87"/>
      <c r="H721" s="28" t="str">
        <f t="shared" si="5"/>
        <v>Complete</v>
      </c>
      <c r="I721" s="46" t="s">
        <v>1187</v>
      </c>
    </row>
    <row r="722" spans="2:9" ht="14.45" customHeight="1" x14ac:dyDescent="0.25">
      <c r="B722" s="44" t="s">
        <v>341</v>
      </c>
      <c r="C722" s="28">
        <v>14</v>
      </c>
      <c r="D722" s="45" t="s">
        <v>2057</v>
      </c>
      <c r="E722" s="87"/>
      <c r="F722" s="87" t="str">
        <f>IF(INDEX(I.Production.P3C3,14)="","",INDEX(I.Production.P3C3,14))</f>
        <v/>
      </c>
      <c r="G722" s="87"/>
      <c r="H722" s="28" t="str">
        <f t="shared" si="5"/>
        <v>Complete</v>
      </c>
      <c r="I722" s="46" t="s">
        <v>1188</v>
      </c>
    </row>
    <row r="723" spans="2:9" ht="14.45" customHeight="1" x14ac:dyDescent="0.25">
      <c r="B723" s="44" t="s">
        <v>341</v>
      </c>
      <c r="C723" s="28">
        <v>15</v>
      </c>
      <c r="D723" s="45" t="s">
        <v>2057</v>
      </c>
      <c r="E723" s="87"/>
      <c r="F723" s="87" t="str">
        <f>IF(INDEX(I.Production.P3C3,15)="","",INDEX(I.Production.P3C3,15))</f>
        <v/>
      </c>
      <c r="G723" s="87"/>
      <c r="H723" s="28" t="str">
        <f t="shared" si="5"/>
        <v>Complete</v>
      </c>
      <c r="I723" s="46" t="s">
        <v>1189</v>
      </c>
    </row>
    <row r="724" spans="2:9" ht="14.45" customHeight="1" x14ac:dyDescent="0.25">
      <c r="B724" s="44" t="s">
        <v>341</v>
      </c>
      <c r="C724" s="28">
        <v>16</v>
      </c>
      <c r="D724" s="45" t="s">
        <v>2057</v>
      </c>
      <c r="E724" s="87"/>
      <c r="F724" s="87" t="str">
        <f>IF(INDEX(I.Production.P3C3,16)="","",INDEX(I.Production.P3C3,16))</f>
        <v/>
      </c>
      <c r="G724" s="87"/>
      <c r="H724" s="28" t="str">
        <f t="shared" si="5"/>
        <v>Complete</v>
      </c>
      <c r="I724" s="46" t="s">
        <v>1190</v>
      </c>
    </row>
    <row r="725" spans="2:9" ht="14.45" customHeight="1" x14ac:dyDescent="0.25">
      <c r="B725" s="44" t="s">
        <v>341</v>
      </c>
      <c r="C725" s="28">
        <v>17</v>
      </c>
      <c r="D725" s="45" t="s">
        <v>2057</v>
      </c>
      <c r="E725" s="87"/>
      <c r="F725" s="87" t="str">
        <f>IF(INDEX(I.Production.P3C3,17)="","",INDEX(I.Production.P3C3,17))</f>
        <v/>
      </c>
      <c r="G725" s="87"/>
      <c r="H725" s="28" t="str">
        <f t="shared" si="5"/>
        <v>Complete</v>
      </c>
      <c r="I725" s="46" t="s">
        <v>1191</v>
      </c>
    </row>
    <row r="726" spans="2:9" ht="14.45" customHeight="1" x14ac:dyDescent="0.25">
      <c r="B726" s="44" t="s">
        <v>341</v>
      </c>
      <c r="C726" s="28">
        <v>18</v>
      </c>
      <c r="D726" s="45" t="s">
        <v>2057</v>
      </c>
      <c r="E726" s="87"/>
      <c r="F726" s="87" t="str">
        <f>IF(INDEX(I.Production.P3C3,18)="","",INDEX(I.Production.P3C3,18))</f>
        <v/>
      </c>
      <c r="G726" s="87"/>
      <c r="H726" s="28" t="str">
        <f t="shared" si="5"/>
        <v>Complete</v>
      </c>
      <c r="I726" s="46" t="s">
        <v>1192</v>
      </c>
    </row>
    <row r="727" spans="2:9" ht="14.45" customHeight="1" x14ac:dyDescent="0.25">
      <c r="B727" s="44" t="s">
        <v>341</v>
      </c>
      <c r="C727" s="28">
        <v>19</v>
      </c>
      <c r="D727" s="45" t="s">
        <v>2057</v>
      </c>
      <c r="E727" s="87"/>
      <c r="F727" s="87" t="str">
        <f>IF(INDEX(I.Production.P3C3,19)="","",INDEX(I.Production.P3C3,19))</f>
        <v/>
      </c>
      <c r="G727" s="87"/>
      <c r="H727" s="28" t="str">
        <f t="shared" si="5"/>
        <v>Complete</v>
      </c>
      <c r="I727" s="46" t="s">
        <v>1193</v>
      </c>
    </row>
    <row r="728" spans="2:9" ht="14.45" customHeight="1" x14ac:dyDescent="0.25">
      <c r="B728" s="44" t="s">
        <v>341</v>
      </c>
      <c r="C728" s="28">
        <v>20</v>
      </c>
      <c r="D728" s="45" t="s">
        <v>2057</v>
      </c>
      <c r="E728" s="87"/>
      <c r="F728" s="87" t="str">
        <f>IF(INDEX(I.Production.P3C3,20)="","",INDEX(I.Production.P3C3,20))</f>
        <v/>
      </c>
      <c r="G728" s="87"/>
      <c r="H728" s="28" t="str">
        <f t="shared" si="5"/>
        <v>Complete</v>
      </c>
      <c r="I728" s="46" t="s">
        <v>1194</v>
      </c>
    </row>
    <row r="729" spans="2:9" ht="14.45" customHeight="1" x14ac:dyDescent="0.25">
      <c r="B729" s="53" t="s">
        <v>341</v>
      </c>
      <c r="C729" s="66">
        <v>21</v>
      </c>
      <c r="D729" s="54" t="s">
        <v>2057</v>
      </c>
      <c r="E729" s="88"/>
      <c r="F729" s="88" t="str">
        <f>IF(INDEX(I.Production.P3C3,21)="","",INDEX(I.Production.P3C3,21))</f>
        <v/>
      </c>
      <c r="G729" s="88"/>
      <c r="H729" s="66" t="str">
        <f t="shared" si="5"/>
        <v>Complete</v>
      </c>
      <c r="I729" s="68" t="s">
        <v>1195</v>
      </c>
    </row>
    <row r="730" spans="2:9" ht="14.45" customHeight="1" x14ac:dyDescent="0.25">
      <c r="B730" s="44" t="s">
        <v>342</v>
      </c>
      <c r="C730" s="28">
        <v>1</v>
      </c>
      <c r="D730" s="45" t="s">
        <v>2058</v>
      </c>
      <c r="E730" s="87"/>
      <c r="F730" s="87" t="str">
        <f>IF(INDEX(I.Production.P3C4,1)="","",INDEX(I.Production.P3C4,1))</f>
        <v/>
      </c>
      <c r="G730" s="87"/>
      <c r="H730" s="28" t="str">
        <f>IF(AND(I.Facility.ProductCount&gt;=3,I.Developer.P3C4=TRUE,F730=""),"Incomplete","Complete")</f>
        <v>Complete</v>
      </c>
      <c r="I730" s="46" t="s">
        <v>1196</v>
      </c>
    </row>
    <row r="731" spans="2:9" ht="14.45" customHeight="1" x14ac:dyDescent="0.25">
      <c r="B731" s="44" t="s">
        <v>342</v>
      </c>
      <c r="C731" s="28">
        <v>2</v>
      </c>
      <c r="D731" s="45" t="s">
        <v>2058</v>
      </c>
      <c r="E731" s="87"/>
      <c r="F731" s="87" t="str">
        <f>IF(INDEX(I.Production.P3C4,2)="","",INDEX(I.Production.P3C4,2))</f>
        <v/>
      </c>
      <c r="G731" s="87"/>
      <c r="H731" s="28" t="str">
        <f>IF(AND(I.Facility.ProductCount&gt;=3,I.Developer.P3C4=TRUE,F731=""),"Incomplete","Complete")</f>
        <v>Complete</v>
      </c>
      <c r="I731" s="46" t="s">
        <v>1197</v>
      </c>
    </row>
    <row r="732" spans="2:9" ht="14.45" customHeight="1" x14ac:dyDescent="0.25">
      <c r="B732" s="53" t="s">
        <v>342</v>
      </c>
      <c r="C732" s="66">
        <v>3</v>
      </c>
      <c r="D732" s="54" t="s">
        <v>2058</v>
      </c>
      <c r="E732" s="88"/>
      <c r="F732" s="88" t="str">
        <f>IF(INDEX(I.Production.P3C4,3)="","",INDEX(I.Production.P3C4,3))</f>
        <v/>
      </c>
      <c r="G732" s="88"/>
      <c r="H732" s="66" t="str">
        <f>IF(AND(I.Facility.ProductCount&gt;=3,I.Developer.P3C4=TRUE,F732=""),"Incomplete","Complete")</f>
        <v>Complete</v>
      </c>
      <c r="I732" s="68" t="s">
        <v>1198</v>
      </c>
    </row>
    <row r="733" spans="2:9" ht="14.45" customHeight="1" x14ac:dyDescent="0.25">
      <c r="B733" s="44" t="s">
        <v>343</v>
      </c>
      <c r="C733" s="28">
        <v>1</v>
      </c>
      <c r="D733" s="45" t="s">
        <v>2059</v>
      </c>
      <c r="E733" s="87"/>
      <c r="F733" s="87" t="str">
        <f>IF(INDEX(I.Production.P3C5,1)="","",INDEX(I.Production.P3C5,1))</f>
        <v/>
      </c>
      <c r="G733" s="87"/>
      <c r="H733" s="28" t="str">
        <f>IF(AND(I.Facility.ProductCount&gt;=3,I.Developer.P3C5=TRUE,F733=""),"Incomplete","Complete")</f>
        <v>Complete</v>
      </c>
      <c r="I733" s="46" t="s">
        <v>1199</v>
      </c>
    </row>
    <row r="734" spans="2:9" ht="14.45" customHeight="1" x14ac:dyDescent="0.25">
      <c r="B734" s="44" t="s">
        <v>343</v>
      </c>
      <c r="C734" s="28">
        <v>2</v>
      </c>
      <c r="D734" s="45" t="s">
        <v>2059</v>
      </c>
      <c r="E734" s="87"/>
      <c r="F734" s="87" t="str">
        <f>IF(INDEX(I.Production.P3C5,2)="","",INDEX(I.Production.P3C5,2))</f>
        <v/>
      </c>
      <c r="G734" s="87"/>
      <c r="H734" s="28" t="str">
        <f>IF(AND(I.Facility.ProductCount&gt;=3,I.Developer.P3C5=TRUE,F734=""),"Incomplete","Complete")</f>
        <v>Complete</v>
      </c>
      <c r="I734" s="46" t="s">
        <v>1200</v>
      </c>
    </row>
    <row r="735" spans="2:9" ht="14.45" customHeight="1" x14ac:dyDescent="0.25">
      <c r="B735" s="53" t="s">
        <v>343</v>
      </c>
      <c r="C735" s="66">
        <v>3</v>
      </c>
      <c r="D735" s="54" t="s">
        <v>2059</v>
      </c>
      <c r="E735" s="88"/>
      <c r="F735" s="88" t="str">
        <f>IF(INDEX(I.Production.P3C5,3)="","",INDEX(I.Production.P3C5,3))</f>
        <v/>
      </c>
      <c r="G735" s="88"/>
      <c r="H735" s="66" t="str">
        <f>IF(AND(I.Facility.ProductCount&gt;=3,I.Developer.P3C5=TRUE,F735=""),"Incomplete","Complete")</f>
        <v>Complete</v>
      </c>
      <c r="I735" s="68" t="s">
        <v>1201</v>
      </c>
    </row>
    <row r="736" spans="2:9" ht="14.45" customHeight="1" x14ac:dyDescent="0.25">
      <c r="B736" s="44" t="s">
        <v>344</v>
      </c>
      <c r="C736" s="28">
        <v>1</v>
      </c>
      <c r="D736" s="45" t="s">
        <v>2060</v>
      </c>
      <c r="E736" s="87"/>
      <c r="F736" s="87" t="str">
        <f>IF(INDEX(I.Production.P3C6,1)="","",INDEX(I.Production.P3C6,1))</f>
        <v/>
      </c>
      <c r="G736" s="87"/>
      <c r="H736" s="28" t="str">
        <f>IF(AND(I.Facility.ProductCount&gt;=3,I.Developer.P3C6=TRUE,F736=""),"Incomplete","Complete")</f>
        <v>Complete</v>
      </c>
      <c r="I736" s="46" t="s">
        <v>1202</v>
      </c>
    </row>
    <row r="737" spans="2:9" ht="14.45" customHeight="1" x14ac:dyDescent="0.25">
      <c r="B737" s="44" t="s">
        <v>344</v>
      </c>
      <c r="C737" s="28">
        <v>2</v>
      </c>
      <c r="D737" s="45" t="s">
        <v>2060</v>
      </c>
      <c r="E737" s="87"/>
      <c r="F737" s="87" t="str">
        <f>IF(INDEX(I.Production.P3C6,2)="","",INDEX(I.Production.P3C6,2))</f>
        <v/>
      </c>
      <c r="G737" s="87"/>
      <c r="H737" s="28" t="str">
        <f>IF(AND(I.Facility.ProductCount&gt;=3,I.Developer.P3C6=TRUE,F737=""),"Incomplete","Complete")</f>
        <v>Complete</v>
      </c>
      <c r="I737" s="46" t="s">
        <v>1203</v>
      </c>
    </row>
    <row r="738" spans="2:9" ht="14.45" customHeight="1" x14ac:dyDescent="0.25">
      <c r="B738" s="53" t="s">
        <v>344</v>
      </c>
      <c r="C738" s="66">
        <v>3</v>
      </c>
      <c r="D738" s="54" t="s">
        <v>2060</v>
      </c>
      <c r="E738" s="88"/>
      <c r="F738" s="88" t="str">
        <f>IF(INDEX(I.Production.P3C6,3)="","",INDEX(I.Production.P3C6,3))</f>
        <v/>
      </c>
      <c r="G738" s="88"/>
      <c r="H738" s="66" t="str">
        <f>IF(AND(I.Facility.ProductCount&gt;=3,I.Developer.P3C6=TRUE,F738=""),"Incomplete","Complete")</f>
        <v>Complete</v>
      </c>
      <c r="I738" s="68" t="s">
        <v>1204</v>
      </c>
    </row>
    <row r="739" spans="2:9" ht="14.45" customHeight="1" x14ac:dyDescent="0.25">
      <c r="B739" s="44" t="s">
        <v>345</v>
      </c>
      <c r="C739" s="28">
        <v>1</v>
      </c>
      <c r="D739" s="45" t="s">
        <v>2061</v>
      </c>
      <c r="E739" s="87"/>
      <c r="F739" s="87" t="str">
        <f>IF(INDEX(I.Production.P3C7,1)="","",INDEX(I.Production.P3C7,1))</f>
        <v/>
      </c>
      <c r="G739" s="87"/>
      <c r="H739" s="28" t="str">
        <f>IF(AND(I.Facility.ProductCount&gt;=3,I.Developer.P3C7=TRUE,F739=""),"Incomplete","Complete")</f>
        <v>Complete</v>
      </c>
      <c r="I739" s="46" t="s">
        <v>1205</v>
      </c>
    </row>
    <row r="740" spans="2:9" ht="14.45" customHeight="1" x14ac:dyDescent="0.25">
      <c r="B740" s="44" t="s">
        <v>345</v>
      </c>
      <c r="C740" s="28">
        <v>2</v>
      </c>
      <c r="D740" s="45" t="s">
        <v>2061</v>
      </c>
      <c r="E740" s="87"/>
      <c r="F740" s="87" t="str">
        <f>IF(INDEX(I.Production.P3C7,2)="","",INDEX(I.Production.P3C7,2))</f>
        <v/>
      </c>
      <c r="G740" s="87"/>
      <c r="H740" s="28" t="str">
        <f>IF(AND(I.Facility.ProductCount&gt;=3,I.Developer.P3C7=TRUE,F740=""),"Incomplete","Complete")</f>
        <v>Complete</v>
      </c>
      <c r="I740" s="46" t="s">
        <v>1206</v>
      </c>
    </row>
    <row r="741" spans="2:9" ht="14.45" customHeight="1" x14ac:dyDescent="0.25">
      <c r="B741" s="53" t="s">
        <v>345</v>
      </c>
      <c r="C741" s="66">
        <v>3</v>
      </c>
      <c r="D741" s="54" t="s">
        <v>2061</v>
      </c>
      <c r="E741" s="88"/>
      <c r="F741" s="88" t="str">
        <f>IF(INDEX(I.Production.P3C7,3)="","",INDEX(I.Production.P3C7,3))</f>
        <v/>
      </c>
      <c r="G741" s="88"/>
      <c r="H741" s="66" t="str">
        <f>IF(AND(I.Facility.ProductCount&gt;=3,I.Developer.P3C7=TRUE,F741=""),"Incomplete","Complete")</f>
        <v>Complete</v>
      </c>
      <c r="I741" s="68" t="s">
        <v>1207</v>
      </c>
    </row>
    <row r="742" spans="2:9" ht="14.45" customHeight="1" x14ac:dyDescent="0.25">
      <c r="B742" s="44" t="s">
        <v>346</v>
      </c>
      <c r="C742" s="28">
        <v>1</v>
      </c>
      <c r="D742" s="45" t="s">
        <v>2062</v>
      </c>
      <c r="E742" s="87"/>
      <c r="F742" s="87" t="str">
        <f>IF(INDEX(I.Production.P3C8,1)="","",INDEX(I.Production.P3C8,1))</f>
        <v/>
      </c>
      <c r="G742" s="87"/>
      <c r="H742" s="28" t="str">
        <f>IF(AND(I.Facility.ProductCount&gt;=3,I.Developer.P3C8=TRUE,F742=""),"Incomplete","Complete")</f>
        <v>Complete</v>
      </c>
      <c r="I742" s="46" t="s">
        <v>1208</v>
      </c>
    </row>
    <row r="743" spans="2:9" ht="14.45" customHeight="1" x14ac:dyDescent="0.25">
      <c r="B743" s="44" t="s">
        <v>346</v>
      </c>
      <c r="C743" s="28">
        <v>2</v>
      </c>
      <c r="D743" s="45" t="s">
        <v>2062</v>
      </c>
      <c r="E743" s="87"/>
      <c r="F743" s="87" t="str">
        <f>IF(INDEX(I.Production.P3C8,2)="","",INDEX(I.Production.P3C8,2))</f>
        <v/>
      </c>
      <c r="G743" s="87"/>
      <c r="H743" s="28" t="str">
        <f>IF(AND(I.Facility.ProductCount&gt;=3,I.Developer.P3C8=TRUE,F743=""),"Incomplete","Complete")</f>
        <v>Complete</v>
      </c>
      <c r="I743" s="46" t="s">
        <v>1209</v>
      </c>
    </row>
    <row r="744" spans="2:9" ht="14.45" customHeight="1" x14ac:dyDescent="0.25">
      <c r="B744" s="53" t="s">
        <v>346</v>
      </c>
      <c r="C744" s="66">
        <v>3</v>
      </c>
      <c r="D744" s="54" t="s">
        <v>2062</v>
      </c>
      <c r="E744" s="88"/>
      <c r="F744" s="88" t="str">
        <f>IF(INDEX(I.Production.P3C8,3)="","",INDEX(I.Production.P3C8,3))</f>
        <v/>
      </c>
      <c r="G744" s="88"/>
      <c r="H744" s="66" t="str">
        <f>IF(AND(I.Facility.ProductCount&gt;=3,I.Developer.P3C8=TRUE,F744=""),"Incomplete","Complete")</f>
        <v>Complete</v>
      </c>
      <c r="I744" s="68" t="s">
        <v>1210</v>
      </c>
    </row>
    <row r="745" spans="2:9" ht="14.45" customHeight="1" x14ac:dyDescent="0.25">
      <c r="B745" s="44" t="s">
        <v>347</v>
      </c>
      <c r="C745" s="28">
        <v>1</v>
      </c>
      <c r="D745" s="45" t="s">
        <v>2063</v>
      </c>
      <c r="E745" s="87"/>
      <c r="F745" s="87" t="str">
        <f>IF(INDEX(I.Production.P3C9,1)="","",INDEX(I.Production.P3C9,1))</f>
        <v/>
      </c>
      <c r="G745" s="87"/>
      <c r="H745" s="28" t="str">
        <f>IF(AND(I.Facility.ProductCount&gt;=3,I.Developer.P3C9=TRUE,F745=""),"Incomplete","Complete")</f>
        <v>Complete</v>
      </c>
      <c r="I745" s="46" t="s">
        <v>1211</v>
      </c>
    </row>
    <row r="746" spans="2:9" ht="14.45" customHeight="1" x14ac:dyDescent="0.25">
      <c r="B746" s="44" t="s">
        <v>347</v>
      </c>
      <c r="C746" s="28">
        <v>2</v>
      </c>
      <c r="D746" s="45" t="s">
        <v>2063</v>
      </c>
      <c r="E746" s="87"/>
      <c r="F746" s="87" t="str">
        <f>IF(INDEX(I.Production.P3C9,2)="","",INDEX(I.Production.P3C9,2))</f>
        <v/>
      </c>
      <c r="G746" s="87"/>
      <c r="H746" s="28" t="str">
        <f>IF(AND(I.Facility.ProductCount&gt;=3,I.Developer.P3C9=TRUE,F746=""),"Incomplete","Complete")</f>
        <v>Complete</v>
      </c>
      <c r="I746" s="46" t="s">
        <v>1212</v>
      </c>
    </row>
    <row r="747" spans="2:9" ht="14.45" customHeight="1" x14ac:dyDescent="0.25">
      <c r="B747" s="53" t="s">
        <v>347</v>
      </c>
      <c r="C747" s="66">
        <v>3</v>
      </c>
      <c r="D747" s="54" t="s">
        <v>2063</v>
      </c>
      <c r="E747" s="88"/>
      <c r="F747" s="88" t="str">
        <f>IF(INDEX(I.Production.P3C9,3)="","",INDEX(I.Production.P3C9,3))</f>
        <v/>
      </c>
      <c r="G747" s="88"/>
      <c r="H747" s="66" t="str">
        <f>IF(AND(I.Facility.ProductCount&gt;=3,I.Developer.P3C9=TRUE,F747=""),"Incomplete","Complete")</f>
        <v>Complete</v>
      </c>
      <c r="I747" s="68" t="s">
        <v>1213</v>
      </c>
    </row>
    <row r="748" spans="2:9" ht="14.45" customHeight="1" x14ac:dyDescent="0.25">
      <c r="B748" s="44" t="s">
        <v>348</v>
      </c>
      <c r="C748" s="28">
        <v>1</v>
      </c>
      <c r="D748" s="45" t="s">
        <v>2064</v>
      </c>
      <c r="E748" s="87"/>
      <c r="F748" s="87" t="str">
        <f>IF(I.Production.P4Quantity="","",I.Production.P4Quantity)</f>
        <v/>
      </c>
      <c r="G748" s="87"/>
      <c r="H748" s="28" t="str">
        <f>IF(AND(I.Facility.ProductCount&gt;=4,I.Production.P4Quantity=""),"Incomplete","Complete")</f>
        <v>Complete</v>
      </c>
      <c r="I748" s="46" t="s">
        <v>1214</v>
      </c>
    </row>
    <row r="749" spans="2:9" ht="14.45" customHeight="1" x14ac:dyDescent="0.25">
      <c r="B749" s="53" t="s">
        <v>349</v>
      </c>
      <c r="C749" s="66">
        <v>1</v>
      </c>
      <c r="D749" s="54" t="s">
        <v>2065</v>
      </c>
      <c r="E749" s="54"/>
      <c r="F749" s="66" t="str">
        <f>IF(I.Production.P4Units="","",I.Production.P4Units)</f>
        <v/>
      </c>
      <c r="G749" s="54"/>
      <c r="H749" s="66" t="str">
        <f>IF(AND(I.Facility.ProductCount&gt;=4,I.Production.P4Units=""),"Incomplete","Complete")</f>
        <v>Complete</v>
      </c>
      <c r="I749" s="68" t="s">
        <v>1215</v>
      </c>
    </row>
    <row r="750" spans="2:9" ht="14.45" customHeight="1" x14ac:dyDescent="0.25">
      <c r="B750" s="44" t="s">
        <v>350</v>
      </c>
      <c r="C750" s="28">
        <v>1</v>
      </c>
      <c r="D750" s="45" t="s">
        <v>2066</v>
      </c>
      <c r="E750" s="87"/>
      <c r="F750" s="87" t="str">
        <f>IF(INDEX(I.Production.P4C1,1)="","",INDEX(I.Production.P4C1,1))</f>
        <v/>
      </c>
      <c r="G750" s="87"/>
      <c r="H750" s="28" t="str">
        <f>IF(AND(I.Facility.ProductCount&gt;=4,I.Developer.P4C1=TRUE,F750=""),"Incomplete","Complete")</f>
        <v>Complete</v>
      </c>
      <c r="I750" s="46" t="s">
        <v>1216</v>
      </c>
    </row>
    <row r="751" spans="2:9" ht="14.45" customHeight="1" x14ac:dyDescent="0.25">
      <c r="B751" s="44" t="s">
        <v>350</v>
      </c>
      <c r="C751" s="28">
        <v>2</v>
      </c>
      <c r="D751" s="45" t="s">
        <v>2066</v>
      </c>
      <c r="E751" s="87"/>
      <c r="F751" s="87" t="str">
        <f>IF(INDEX(I.Production.P4C1,2)="","",INDEX(I.Production.P4C1,2))</f>
        <v/>
      </c>
      <c r="G751" s="87"/>
      <c r="H751" s="28" t="str">
        <f>IF(AND(I.Facility.ProductCount&gt;=4,I.Developer.P4C1=TRUE,F751=""),"Incomplete","Complete")</f>
        <v>Complete</v>
      </c>
      <c r="I751" s="46" t="s">
        <v>1217</v>
      </c>
    </row>
    <row r="752" spans="2:9" ht="14.45" customHeight="1" x14ac:dyDescent="0.25">
      <c r="B752" s="53" t="s">
        <v>350</v>
      </c>
      <c r="C752" s="66">
        <v>3</v>
      </c>
      <c r="D752" s="54" t="s">
        <v>2066</v>
      </c>
      <c r="E752" s="88"/>
      <c r="F752" s="88" t="str">
        <f>IF(INDEX(I.Production.P4C1,3)="","",INDEX(I.Production.P4C1,3))</f>
        <v/>
      </c>
      <c r="G752" s="88"/>
      <c r="H752" s="66" t="str">
        <f>IF(AND(I.Facility.ProductCount&gt;=4,I.Developer.P4C1=TRUE,F752=""),"Incomplete","Complete")</f>
        <v>Complete</v>
      </c>
      <c r="I752" s="68" t="s">
        <v>1218</v>
      </c>
    </row>
    <row r="753" spans="2:9" ht="14.45" customHeight="1" x14ac:dyDescent="0.25">
      <c r="B753" s="44" t="s">
        <v>351</v>
      </c>
      <c r="C753" s="28">
        <v>1</v>
      </c>
      <c r="D753" s="45" t="s">
        <v>2067</v>
      </c>
      <c r="E753" s="87"/>
      <c r="F753" s="87" t="str">
        <f>IF(INDEX(I.Production.P4C2,1)="","",INDEX(I.Production.P4C2,1))</f>
        <v/>
      </c>
      <c r="G753" s="87"/>
      <c r="H753" s="28" t="str">
        <f t="shared" ref="H753:H776" si="6">IF(AND(I.Facility.ProductCount&gt;=4,I.Developer.P4C2=TRUE,F753=""),"Incomplete","Complete")</f>
        <v>Complete</v>
      </c>
      <c r="I753" s="46" t="s">
        <v>1219</v>
      </c>
    </row>
    <row r="754" spans="2:9" ht="14.45" customHeight="1" x14ac:dyDescent="0.25">
      <c r="B754" s="44" t="s">
        <v>351</v>
      </c>
      <c r="C754" s="28">
        <v>2</v>
      </c>
      <c r="D754" s="45" t="s">
        <v>2067</v>
      </c>
      <c r="E754" s="87"/>
      <c r="F754" s="87" t="str">
        <f>IF(INDEX(I.Production.P4C2,2)="","",INDEX(I.Production.P4C2,2))</f>
        <v/>
      </c>
      <c r="G754" s="87"/>
      <c r="H754" s="28" t="str">
        <f t="shared" si="6"/>
        <v>Complete</v>
      </c>
      <c r="I754" s="46" t="s">
        <v>1220</v>
      </c>
    </row>
    <row r="755" spans="2:9" ht="14.45" customHeight="1" x14ac:dyDescent="0.25">
      <c r="B755" s="44" t="s">
        <v>351</v>
      </c>
      <c r="C755" s="28">
        <v>3</v>
      </c>
      <c r="D755" s="45" t="s">
        <v>2067</v>
      </c>
      <c r="E755" s="87"/>
      <c r="F755" s="87" t="str">
        <f>IF(INDEX(I.Production.P4C2,3)="","",INDEX(I.Production.P4C2,3))</f>
        <v/>
      </c>
      <c r="G755" s="87"/>
      <c r="H755" s="28" t="str">
        <f t="shared" si="6"/>
        <v>Complete</v>
      </c>
      <c r="I755" s="46" t="s">
        <v>1221</v>
      </c>
    </row>
    <row r="756" spans="2:9" ht="14.45" customHeight="1" x14ac:dyDescent="0.25">
      <c r="B756" s="44" t="s">
        <v>351</v>
      </c>
      <c r="C756" s="28">
        <v>4</v>
      </c>
      <c r="D756" s="45" t="s">
        <v>2067</v>
      </c>
      <c r="E756" s="87"/>
      <c r="F756" s="87" t="str">
        <f>IF(INDEX(I.Production.P4C2,4)="","",INDEX(I.Production.P4C2,4))</f>
        <v/>
      </c>
      <c r="G756" s="87"/>
      <c r="H756" s="28" t="str">
        <f t="shared" si="6"/>
        <v>Complete</v>
      </c>
      <c r="I756" s="46" t="s">
        <v>1222</v>
      </c>
    </row>
    <row r="757" spans="2:9" ht="14.45" customHeight="1" x14ac:dyDescent="0.25">
      <c r="B757" s="44" t="s">
        <v>351</v>
      </c>
      <c r="C757" s="28">
        <v>5</v>
      </c>
      <c r="D757" s="45" t="s">
        <v>2067</v>
      </c>
      <c r="E757" s="87"/>
      <c r="F757" s="87" t="str">
        <f>IF(INDEX(I.Production.P4C2,5)="","",INDEX(I.Production.P4C2,5))</f>
        <v/>
      </c>
      <c r="G757" s="87"/>
      <c r="H757" s="28" t="str">
        <f t="shared" si="6"/>
        <v>Complete</v>
      </c>
      <c r="I757" s="46" t="s">
        <v>1223</v>
      </c>
    </row>
    <row r="758" spans="2:9" ht="14.45" customHeight="1" x14ac:dyDescent="0.25">
      <c r="B758" s="44" t="s">
        <v>351</v>
      </c>
      <c r="C758" s="28">
        <v>6</v>
      </c>
      <c r="D758" s="45" t="s">
        <v>2067</v>
      </c>
      <c r="E758" s="87"/>
      <c r="F758" s="87" t="str">
        <f>IF(INDEX(I.Production.P4C2,6)="","",INDEX(I.Production.P4C2,6))</f>
        <v/>
      </c>
      <c r="G758" s="87"/>
      <c r="H758" s="28" t="str">
        <f t="shared" si="6"/>
        <v>Complete</v>
      </c>
      <c r="I758" s="46" t="s">
        <v>1224</v>
      </c>
    </row>
    <row r="759" spans="2:9" ht="14.45" customHeight="1" x14ac:dyDescent="0.25">
      <c r="B759" s="44" t="s">
        <v>351</v>
      </c>
      <c r="C759" s="28">
        <v>7</v>
      </c>
      <c r="D759" s="45" t="s">
        <v>2067</v>
      </c>
      <c r="E759" s="87"/>
      <c r="F759" s="87" t="str">
        <f>IF(INDEX(I.Production.P4C2,7)="","",INDEX(I.Production.P4C2,7))</f>
        <v/>
      </c>
      <c r="G759" s="87"/>
      <c r="H759" s="28" t="str">
        <f t="shared" si="6"/>
        <v>Complete</v>
      </c>
      <c r="I759" s="46" t="s">
        <v>1225</v>
      </c>
    </row>
    <row r="760" spans="2:9" ht="14.45" customHeight="1" x14ac:dyDescent="0.25">
      <c r="B760" s="44" t="s">
        <v>351</v>
      </c>
      <c r="C760" s="28">
        <v>8</v>
      </c>
      <c r="D760" s="45" t="s">
        <v>2067</v>
      </c>
      <c r="E760" s="87"/>
      <c r="F760" s="87" t="str">
        <f>IF(INDEX(I.Production.P4C2,8)="","",INDEX(I.Production.P4C2,8))</f>
        <v/>
      </c>
      <c r="G760" s="87"/>
      <c r="H760" s="28" t="str">
        <f t="shared" si="6"/>
        <v>Complete</v>
      </c>
      <c r="I760" s="46" t="s">
        <v>1226</v>
      </c>
    </row>
    <row r="761" spans="2:9" ht="14.45" customHeight="1" x14ac:dyDescent="0.25">
      <c r="B761" s="44" t="s">
        <v>351</v>
      </c>
      <c r="C761" s="28">
        <v>9</v>
      </c>
      <c r="D761" s="45" t="s">
        <v>2067</v>
      </c>
      <c r="E761" s="87"/>
      <c r="F761" s="87" t="str">
        <f>IF(INDEX(I.Production.P4C2,9)="","",INDEX(I.Production.P4C2,9))</f>
        <v/>
      </c>
      <c r="G761" s="87"/>
      <c r="H761" s="28" t="str">
        <f t="shared" si="6"/>
        <v>Complete</v>
      </c>
      <c r="I761" s="46" t="s">
        <v>1227</v>
      </c>
    </row>
    <row r="762" spans="2:9" ht="14.45" customHeight="1" x14ac:dyDescent="0.25">
      <c r="B762" s="44" t="s">
        <v>351</v>
      </c>
      <c r="C762" s="28">
        <v>10</v>
      </c>
      <c r="D762" s="45" t="s">
        <v>2067</v>
      </c>
      <c r="E762" s="87"/>
      <c r="F762" s="87" t="str">
        <f>IF(INDEX(I.Production.P4C2,10)="","",INDEX(I.Production.P4C2,10))</f>
        <v/>
      </c>
      <c r="G762" s="87"/>
      <c r="H762" s="28" t="str">
        <f t="shared" si="6"/>
        <v>Complete</v>
      </c>
      <c r="I762" s="46" t="s">
        <v>1228</v>
      </c>
    </row>
    <row r="763" spans="2:9" ht="14.45" customHeight="1" x14ac:dyDescent="0.25">
      <c r="B763" s="44" t="s">
        <v>351</v>
      </c>
      <c r="C763" s="28">
        <v>11</v>
      </c>
      <c r="D763" s="45" t="s">
        <v>2067</v>
      </c>
      <c r="E763" s="87"/>
      <c r="F763" s="87" t="str">
        <f>IF(INDEX(I.Production.P4C2,11)="","",INDEX(I.Production.P4C2,11))</f>
        <v/>
      </c>
      <c r="G763" s="87"/>
      <c r="H763" s="28" t="str">
        <f t="shared" si="6"/>
        <v>Complete</v>
      </c>
      <c r="I763" s="46" t="s">
        <v>1229</v>
      </c>
    </row>
    <row r="764" spans="2:9" ht="14.45" customHeight="1" x14ac:dyDescent="0.25">
      <c r="B764" s="44" t="s">
        <v>351</v>
      </c>
      <c r="C764" s="28">
        <v>12</v>
      </c>
      <c r="D764" s="45" t="s">
        <v>2067</v>
      </c>
      <c r="E764" s="87"/>
      <c r="F764" s="87" t="str">
        <f>IF(INDEX(I.Production.P4C2,12)="","",INDEX(I.Production.P4C2,12))</f>
        <v/>
      </c>
      <c r="G764" s="87"/>
      <c r="H764" s="28" t="str">
        <f t="shared" si="6"/>
        <v>Complete</v>
      </c>
      <c r="I764" s="46" t="s">
        <v>1230</v>
      </c>
    </row>
    <row r="765" spans="2:9" ht="14.45" customHeight="1" x14ac:dyDescent="0.25">
      <c r="B765" s="44" t="s">
        <v>351</v>
      </c>
      <c r="C765" s="28">
        <v>13</v>
      </c>
      <c r="D765" s="45" t="s">
        <v>2067</v>
      </c>
      <c r="E765" s="87"/>
      <c r="F765" s="87" t="str">
        <f>IF(INDEX(I.Production.P4C2,13)="","",INDEX(I.Production.P4C2,13))</f>
        <v/>
      </c>
      <c r="G765" s="87"/>
      <c r="H765" s="28" t="str">
        <f t="shared" si="6"/>
        <v>Complete</v>
      </c>
      <c r="I765" s="46" t="s">
        <v>1231</v>
      </c>
    </row>
    <row r="766" spans="2:9" ht="14.45" customHeight="1" x14ac:dyDescent="0.25">
      <c r="B766" s="44" t="s">
        <v>351</v>
      </c>
      <c r="C766" s="28">
        <v>14</v>
      </c>
      <c r="D766" s="45" t="s">
        <v>2067</v>
      </c>
      <c r="E766" s="87"/>
      <c r="F766" s="87" t="str">
        <f>IF(INDEX(I.Production.P4C2,14)="","",INDEX(I.Production.P4C2,14))</f>
        <v/>
      </c>
      <c r="G766" s="87"/>
      <c r="H766" s="28" t="str">
        <f t="shared" si="6"/>
        <v>Complete</v>
      </c>
      <c r="I766" s="46" t="s">
        <v>1232</v>
      </c>
    </row>
    <row r="767" spans="2:9" ht="14.45" customHeight="1" x14ac:dyDescent="0.25">
      <c r="B767" s="44" t="s">
        <v>351</v>
      </c>
      <c r="C767" s="28">
        <v>15</v>
      </c>
      <c r="D767" s="45" t="s">
        <v>2067</v>
      </c>
      <c r="E767" s="87"/>
      <c r="F767" s="87" t="str">
        <f>IF(INDEX(I.Production.P4C2,15)="","",INDEX(I.Production.P4C2,15))</f>
        <v/>
      </c>
      <c r="G767" s="87"/>
      <c r="H767" s="28" t="str">
        <f t="shared" si="6"/>
        <v>Complete</v>
      </c>
      <c r="I767" s="46" t="s">
        <v>1233</v>
      </c>
    </row>
    <row r="768" spans="2:9" ht="14.45" customHeight="1" x14ac:dyDescent="0.25">
      <c r="B768" s="44" t="s">
        <v>351</v>
      </c>
      <c r="C768" s="28">
        <v>16</v>
      </c>
      <c r="D768" s="45" t="s">
        <v>2067</v>
      </c>
      <c r="E768" s="87"/>
      <c r="F768" s="87" t="str">
        <f>IF(INDEX(I.Production.P4C2,16)="","",INDEX(I.Production.P4C2,16))</f>
        <v/>
      </c>
      <c r="G768" s="87"/>
      <c r="H768" s="28" t="str">
        <f t="shared" si="6"/>
        <v>Complete</v>
      </c>
      <c r="I768" s="46" t="s">
        <v>1234</v>
      </c>
    </row>
    <row r="769" spans="2:9" ht="14.45" customHeight="1" x14ac:dyDescent="0.25">
      <c r="B769" s="44" t="s">
        <v>351</v>
      </c>
      <c r="C769" s="28">
        <v>17</v>
      </c>
      <c r="D769" s="45" t="s">
        <v>2067</v>
      </c>
      <c r="E769" s="87"/>
      <c r="F769" s="87" t="str">
        <f>IF(INDEX(I.Production.P4C2,17)="","",INDEX(I.Production.P4C2,17))</f>
        <v/>
      </c>
      <c r="G769" s="87"/>
      <c r="H769" s="28" t="str">
        <f t="shared" si="6"/>
        <v>Complete</v>
      </c>
      <c r="I769" s="46" t="s">
        <v>1235</v>
      </c>
    </row>
    <row r="770" spans="2:9" ht="14.45" customHeight="1" x14ac:dyDescent="0.25">
      <c r="B770" s="44" t="s">
        <v>351</v>
      </c>
      <c r="C770" s="28">
        <v>18</v>
      </c>
      <c r="D770" s="45" t="s">
        <v>2067</v>
      </c>
      <c r="E770" s="87"/>
      <c r="F770" s="87" t="str">
        <f>IF(INDEX(I.Production.P4C2,18)="","",INDEX(I.Production.P4C2,18))</f>
        <v/>
      </c>
      <c r="G770" s="87"/>
      <c r="H770" s="28" t="str">
        <f t="shared" si="6"/>
        <v>Complete</v>
      </c>
      <c r="I770" s="46" t="s">
        <v>1236</v>
      </c>
    </row>
    <row r="771" spans="2:9" ht="14.45" customHeight="1" x14ac:dyDescent="0.25">
      <c r="B771" s="44" t="s">
        <v>351</v>
      </c>
      <c r="C771" s="28">
        <v>19</v>
      </c>
      <c r="D771" s="45" t="s">
        <v>2067</v>
      </c>
      <c r="E771" s="87"/>
      <c r="F771" s="87" t="str">
        <f>IF(INDEX(I.Production.P4C2,19)="","",INDEX(I.Production.P4C2,19))</f>
        <v/>
      </c>
      <c r="G771" s="87"/>
      <c r="H771" s="28" t="str">
        <f t="shared" si="6"/>
        <v>Complete</v>
      </c>
      <c r="I771" s="46" t="s">
        <v>1237</v>
      </c>
    </row>
    <row r="772" spans="2:9" ht="14.45" customHeight="1" x14ac:dyDescent="0.25">
      <c r="B772" s="44" t="s">
        <v>351</v>
      </c>
      <c r="C772" s="28">
        <v>20</v>
      </c>
      <c r="D772" s="45" t="s">
        <v>2067</v>
      </c>
      <c r="E772" s="87"/>
      <c r="F772" s="87" t="str">
        <f>IF(INDEX(I.Production.P4C2,20)="","",INDEX(I.Production.P4C2,20))</f>
        <v/>
      </c>
      <c r="G772" s="87"/>
      <c r="H772" s="28" t="str">
        <f t="shared" si="6"/>
        <v>Complete</v>
      </c>
      <c r="I772" s="46" t="s">
        <v>1238</v>
      </c>
    </row>
    <row r="773" spans="2:9" ht="14.45" customHeight="1" x14ac:dyDescent="0.25">
      <c r="B773" s="44" t="s">
        <v>351</v>
      </c>
      <c r="C773" s="28">
        <v>21</v>
      </c>
      <c r="D773" s="45" t="s">
        <v>2067</v>
      </c>
      <c r="E773" s="87"/>
      <c r="F773" s="87" t="str">
        <f>IF(INDEX(I.Production.P4C2,21)="","",INDEX(I.Production.P4C2,21))</f>
        <v/>
      </c>
      <c r="G773" s="87"/>
      <c r="H773" s="28" t="str">
        <f t="shared" si="6"/>
        <v>Complete</v>
      </c>
      <c r="I773" s="46" t="s">
        <v>1239</v>
      </c>
    </row>
    <row r="774" spans="2:9" ht="14.45" customHeight="1" x14ac:dyDescent="0.25">
      <c r="B774" s="44" t="s">
        <v>351</v>
      </c>
      <c r="C774" s="28">
        <v>22</v>
      </c>
      <c r="D774" s="45" t="s">
        <v>2067</v>
      </c>
      <c r="E774" s="87"/>
      <c r="F774" s="87" t="str">
        <f>IF(INDEX(I.Production.P4C2,22)="","",INDEX(I.Production.P4C2,22))</f>
        <v/>
      </c>
      <c r="G774" s="87"/>
      <c r="H774" s="28" t="str">
        <f t="shared" si="6"/>
        <v>Complete</v>
      </c>
      <c r="I774" s="46" t="s">
        <v>1240</v>
      </c>
    </row>
    <row r="775" spans="2:9" ht="14.45" customHeight="1" x14ac:dyDescent="0.25">
      <c r="B775" s="44" t="s">
        <v>351</v>
      </c>
      <c r="C775" s="28">
        <v>23</v>
      </c>
      <c r="D775" s="45" t="s">
        <v>2067</v>
      </c>
      <c r="E775" s="87"/>
      <c r="F775" s="87" t="str">
        <f>IF(INDEX(I.Production.P4C2,23)="","",INDEX(I.Production.P4C2,23))</f>
        <v/>
      </c>
      <c r="G775" s="87"/>
      <c r="H775" s="28" t="str">
        <f t="shared" si="6"/>
        <v>Complete</v>
      </c>
      <c r="I775" s="46" t="s">
        <v>1241</v>
      </c>
    </row>
    <row r="776" spans="2:9" ht="14.45" customHeight="1" x14ac:dyDescent="0.25">
      <c r="B776" s="53" t="s">
        <v>351</v>
      </c>
      <c r="C776" s="66">
        <v>24</v>
      </c>
      <c r="D776" s="54" t="s">
        <v>2067</v>
      </c>
      <c r="E776" s="88"/>
      <c r="F776" s="88" t="str">
        <f>IF(INDEX(I.Production.P4C2,24)="","",INDEX(I.Production.P4C2,24))</f>
        <v/>
      </c>
      <c r="G776" s="88"/>
      <c r="H776" s="66" t="str">
        <f t="shared" si="6"/>
        <v>Complete</v>
      </c>
      <c r="I776" s="68" t="s">
        <v>1242</v>
      </c>
    </row>
    <row r="777" spans="2:9" ht="14.45" customHeight="1" x14ac:dyDescent="0.25">
      <c r="B777" s="44" t="s">
        <v>352</v>
      </c>
      <c r="C777" s="28">
        <v>1</v>
      </c>
      <c r="D777" s="45" t="s">
        <v>2068</v>
      </c>
      <c r="E777" s="87"/>
      <c r="F777" s="87" t="str">
        <f>IF(INDEX(I.Production.P4C3,1)="","",INDEX(I.Production.P4C3,1))</f>
        <v/>
      </c>
      <c r="G777" s="87"/>
      <c r="H777" s="28" t="str">
        <f t="shared" ref="H777:H797" si="7">IF(AND(I.Facility.ProductCount&gt;=4,I.Developer.P4C3=TRUE,F777=""),"Incomplete","Complete")</f>
        <v>Complete</v>
      </c>
      <c r="I777" s="46" t="s">
        <v>1243</v>
      </c>
    </row>
    <row r="778" spans="2:9" ht="14.45" customHeight="1" x14ac:dyDescent="0.25">
      <c r="B778" s="44" t="s">
        <v>352</v>
      </c>
      <c r="C778" s="28">
        <v>2</v>
      </c>
      <c r="D778" s="45" t="s">
        <v>2068</v>
      </c>
      <c r="E778" s="87"/>
      <c r="F778" s="87" t="str">
        <f>IF(INDEX(I.Production.P4C3,2)="","",INDEX(I.Production.P4C3,2))</f>
        <v/>
      </c>
      <c r="G778" s="87"/>
      <c r="H778" s="28" t="str">
        <f t="shared" si="7"/>
        <v>Complete</v>
      </c>
      <c r="I778" s="46" t="s">
        <v>1244</v>
      </c>
    </row>
    <row r="779" spans="2:9" ht="14.45" customHeight="1" x14ac:dyDescent="0.25">
      <c r="B779" s="44" t="s">
        <v>352</v>
      </c>
      <c r="C779" s="28">
        <v>3</v>
      </c>
      <c r="D779" s="45" t="s">
        <v>2068</v>
      </c>
      <c r="E779" s="87"/>
      <c r="F779" s="87" t="str">
        <f>IF(INDEX(I.Production.P4C3,3)="","",INDEX(I.Production.P4C3,3))</f>
        <v/>
      </c>
      <c r="G779" s="87"/>
      <c r="H779" s="28" t="str">
        <f t="shared" si="7"/>
        <v>Complete</v>
      </c>
      <c r="I779" s="46" t="s">
        <v>1245</v>
      </c>
    </row>
    <row r="780" spans="2:9" ht="14.45" customHeight="1" x14ac:dyDescent="0.25">
      <c r="B780" s="44" t="s">
        <v>352</v>
      </c>
      <c r="C780" s="28">
        <v>4</v>
      </c>
      <c r="D780" s="45" t="s">
        <v>2068</v>
      </c>
      <c r="E780" s="87"/>
      <c r="F780" s="87" t="str">
        <f>IF(INDEX(I.Production.P4C3,4)="","",INDEX(I.Production.P4C3,4))</f>
        <v/>
      </c>
      <c r="G780" s="87"/>
      <c r="H780" s="28" t="str">
        <f t="shared" si="7"/>
        <v>Complete</v>
      </c>
      <c r="I780" s="46" t="s">
        <v>1246</v>
      </c>
    </row>
    <row r="781" spans="2:9" ht="14.45" customHeight="1" x14ac:dyDescent="0.25">
      <c r="B781" s="44" t="s">
        <v>352</v>
      </c>
      <c r="C781" s="28">
        <v>5</v>
      </c>
      <c r="D781" s="45" t="s">
        <v>2068</v>
      </c>
      <c r="E781" s="87"/>
      <c r="F781" s="87" t="str">
        <f>IF(INDEX(I.Production.P4C3,5)="","",INDEX(I.Production.P4C3,5))</f>
        <v/>
      </c>
      <c r="G781" s="87"/>
      <c r="H781" s="28" t="str">
        <f t="shared" si="7"/>
        <v>Complete</v>
      </c>
      <c r="I781" s="46" t="s">
        <v>1247</v>
      </c>
    </row>
    <row r="782" spans="2:9" ht="14.45" customHeight="1" x14ac:dyDescent="0.25">
      <c r="B782" s="44" t="s">
        <v>352</v>
      </c>
      <c r="C782" s="28">
        <v>6</v>
      </c>
      <c r="D782" s="45" t="s">
        <v>2068</v>
      </c>
      <c r="E782" s="87"/>
      <c r="F782" s="87" t="str">
        <f>IF(INDEX(I.Production.P4C3,6)="","",INDEX(I.Production.P4C3,6))</f>
        <v/>
      </c>
      <c r="G782" s="87"/>
      <c r="H782" s="28" t="str">
        <f t="shared" si="7"/>
        <v>Complete</v>
      </c>
      <c r="I782" s="46" t="s">
        <v>1248</v>
      </c>
    </row>
    <row r="783" spans="2:9" ht="14.45" customHeight="1" x14ac:dyDescent="0.25">
      <c r="B783" s="44" t="s">
        <v>352</v>
      </c>
      <c r="C783" s="28">
        <v>7</v>
      </c>
      <c r="D783" s="45" t="s">
        <v>2068</v>
      </c>
      <c r="E783" s="87"/>
      <c r="F783" s="87" t="str">
        <f>IF(INDEX(I.Production.P4C3,7)="","",INDEX(I.Production.P4C3,7))</f>
        <v/>
      </c>
      <c r="G783" s="87"/>
      <c r="H783" s="28" t="str">
        <f t="shared" si="7"/>
        <v>Complete</v>
      </c>
      <c r="I783" s="46" t="s">
        <v>1249</v>
      </c>
    </row>
    <row r="784" spans="2:9" ht="14.45" customHeight="1" x14ac:dyDescent="0.25">
      <c r="B784" s="44" t="s">
        <v>352</v>
      </c>
      <c r="C784" s="28">
        <v>8</v>
      </c>
      <c r="D784" s="45" t="s">
        <v>2068</v>
      </c>
      <c r="E784" s="87"/>
      <c r="F784" s="87" t="str">
        <f>IF(INDEX(I.Production.P4C3,8)="","",INDEX(I.Production.P4C3,8))</f>
        <v/>
      </c>
      <c r="G784" s="87"/>
      <c r="H784" s="28" t="str">
        <f t="shared" si="7"/>
        <v>Complete</v>
      </c>
      <c r="I784" s="46" t="s">
        <v>1250</v>
      </c>
    </row>
    <row r="785" spans="2:9" ht="14.45" customHeight="1" x14ac:dyDescent="0.25">
      <c r="B785" s="44" t="s">
        <v>352</v>
      </c>
      <c r="C785" s="28">
        <v>9</v>
      </c>
      <c r="D785" s="45" t="s">
        <v>2068</v>
      </c>
      <c r="E785" s="87"/>
      <c r="F785" s="87" t="str">
        <f>IF(INDEX(I.Production.P4C3,9)="","",INDEX(I.Production.P4C3,9))</f>
        <v/>
      </c>
      <c r="G785" s="87"/>
      <c r="H785" s="28" t="str">
        <f t="shared" si="7"/>
        <v>Complete</v>
      </c>
      <c r="I785" s="46" t="s">
        <v>1251</v>
      </c>
    </row>
    <row r="786" spans="2:9" ht="14.45" customHeight="1" x14ac:dyDescent="0.25">
      <c r="B786" s="44" t="s">
        <v>352</v>
      </c>
      <c r="C786" s="28">
        <v>10</v>
      </c>
      <c r="D786" s="45" t="s">
        <v>2068</v>
      </c>
      <c r="E786" s="87"/>
      <c r="F786" s="87" t="str">
        <f>IF(INDEX(I.Production.P4C3,10)="","",INDEX(I.Production.P4C3,10))</f>
        <v/>
      </c>
      <c r="G786" s="87"/>
      <c r="H786" s="28" t="str">
        <f t="shared" si="7"/>
        <v>Complete</v>
      </c>
      <c r="I786" s="46" t="s">
        <v>1252</v>
      </c>
    </row>
    <row r="787" spans="2:9" ht="14.45" customHeight="1" x14ac:dyDescent="0.25">
      <c r="B787" s="44" t="s">
        <v>352</v>
      </c>
      <c r="C787" s="28">
        <v>11</v>
      </c>
      <c r="D787" s="45" t="s">
        <v>2068</v>
      </c>
      <c r="E787" s="87"/>
      <c r="F787" s="87" t="str">
        <f>IF(INDEX(I.Production.P4C3,11)="","",INDEX(I.Production.P4C3,11))</f>
        <v/>
      </c>
      <c r="G787" s="87"/>
      <c r="H787" s="28" t="str">
        <f t="shared" si="7"/>
        <v>Complete</v>
      </c>
      <c r="I787" s="46" t="s">
        <v>1253</v>
      </c>
    </row>
    <row r="788" spans="2:9" ht="14.45" customHeight="1" x14ac:dyDescent="0.25">
      <c r="B788" s="44" t="s">
        <v>352</v>
      </c>
      <c r="C788" s="28">
        <v>12</v>
      </c>
      <c r="D788" s="45" t="s">
        <v>2068</v>
      </c>
      <c r="E788" s="87"/>
      <c r="F788" s="87" t="str">
        <f>IF(INDEX(I.Production.P4C3,12)="","",INDEX(I.Production.P4C3,12))</f>
        <v/>
      </c>
      <c r="G788" s="87"/>
      <c r="H788" s="28" t="str">
        <f t="shared" si="7"/>
        <v>Complete</v>
      </c>
      <c r="I788" s="46" t="s">
        <v>1254</v>
      </c>
    </row>
    <row r="789" spans="2:9" ht="14.45" customHeight="1" x14ac:dyDescent="0.25">
      <c r="B789" s="44" t="s">
        <v>352</v>
      </c>
      <c r="C789" s="28">
        <v>13</v>
      </c>
      <c r="D789" s="45" t="s">
        <v>2068</v>
      </c>
      <c r="E789" s="87"/>
      <c r="F789" s="87" t="str">
        <f>IF(INDEX(I.Production.P4C3,13)="","",INDEX(I.Production.P4C3,13))</f>
        <v/>
      </c>
      <c r="G789" s="87"/>
      <c r="H789" s="28" t="str">
        <f t="shared" si="7"/>
        <v>Complete</v>
      </c>
      <c r="I789" s="46" t="s">
        <v>1255</v>
      </c>
    </row>
    <row r="790" spans="2:9" ht="14.45" customHeight="1" x14ac:dyDescent="0.25">
      <c r="B790" s="44" t="s">
        <v>352</v>
      </c>
      <c r="C790" s="28">
        <v>14</v>
      </c>
      <c r="D790" s="45" t="s">
        <v>2068</v>
      </c>
      <c r="E790" s="87"/>
      <c r="F790" s="87" t="str">
        <f>IF(INDEX(I.Production.P4C3,14)="","",INDEX(I.Production.P4C3,14))</f>
        <v/>
      </c>
      <c r="G790" s="87"/>
      <c r="H790" s="28" t="str">
        <f t="shared" si="7"/>
        <v>Complete</v>
      </c>
      <c r="I790" s="46" t="s">
        <v>1256</v>
      </c>
    </row>
    <row r="791" spans="2:9" ht="14.45" customHeight="1" x14ac:dyDescent="0.25">
      <c r="B791" s="44" t="s">
        <v>352</v>
      </c>
      <c r="C791" s="28">
        <v>15</v>
      </c>
      <c r="D791" s="45" t="s">
        <v>2068</v>
      </c>
      <c r="E791" s="87"/>
      <c r="F791" s="87" t="str">
        <f>IF(INDEX(I.Production.P4C3,15)="","",INDEX(I.Production.P4C3,15))</f>
        <v/>
      </c>
      <c r="G791" s="87"/>
      <c r="H791" s="28" t="str">
        <f t="shared" si="7"/>
        <v>Complete</v>
      </c>
      <c r="I791" s="46" t="s">
        <v>1257</v>
      </c>
    </row>
    <row r="792" spans="2:9" ht="14.45" customHeight="1" x14ac:dyDescent="0.25">
      <c r="B792" s="44" t="s">
        <v>352</v>
      </c>
      <c r="C792" s="28">
        <v>16</v>
      </c>
      <c r="D792" s="45" t="s">
        <v>2068</v>
      </c>
      <c r="E792" s="87"/>
      <c r="F792" s="87" t="str">
        <f>IF(INDEX(I.Production.P4C3,16)="","",INDEX(I.Production.P4C3,16))</f>
        <v/>
      </c>
      <c r="G792" s="87"/>
      <c r="H792" s="28" t="str">
        <f t="shared" si="7"/>
        <v>Complete</v>
      </c>
      <c r="I792" s="46" t="s">
        <v>1258</v>
      </c>
    </row>
    <row r="793" spans="2:9" ht="14.45" customHeight="1" x14ac:dyDescent="0.25">
      <c r="B793" s="44" t="s">
        <v>352</v>
      </c>
      <c r="C793" s="28">
        <v>17</v>
      </c>
      <c r="D793" s="45" t="s">
        <v>2068</v>
      </c>
      <c r="E793" s="87"/>
      <c r="F793" s="87" t="str">
        <f>IF(INDEX(I.Production.P4C3,17)="","",INDEX(I.Production.P4C3,17))</f>
        <v/>
      </c>
      <c r="G793" s="87"/>
      <c r="H793" s="28" t="str">
        <f t="shared" si="7"/>
        <v>Complete</v>
      </c>
      <c r="I793" s="46" t="s">
        <v>1259</v>
      </c>
    </row>
    <row r="794" spans="2:9" ht="14.45" customHeight="1" x14ac:dyDescent="0.25">
      <c r="B794" s="44" t="s">
        <v>352</v>
      </c>
      <c r="C794" s="28">
        <v>18</v>
      </c>
      <c r="D794" s="45" t="s">
        <v>2068</v>
      </c>
      <c r="E794" s="87"/>
      <c r="F794" s="87" t="str">
        <f>IF(INDEX(I.Production.P4C3,18)="","",INDEX(I.Production.P4C3,18))</f>
        <v/>
      </c>
      <c r="G794" s="87"/>
      <c r="H794" s="28" t="str">
        <f t="shared" si="7"/>
        <v>Complete</v>
      </c>
      <c r="I794" s="46" t="s">
        <v>1260</v>
      </c>
    </row>
    <row r="795" spans="2:9" ht="14.45" customHeight="1" x14ac:dyDescent="0.25">
      <c r="B795" s="44" t="s">
        <v>352</v>
      </c>
      <c r="C795" s="28">
        <v>19</v>
      </c>
      <c r="D795" s="45" t="s">
        <v>2068</v>
      </c>
      <c r="E795" s="87"/>
      <c r="F795" s="87" t="str">
        <f>IF(INDEX(I.Production.P4C3,19)="","",INDEX(I.Production.P4C3,19))</f>
        <v/>
      </c>
      <c r="G795" s="87"/>
      <c r="H795" s="28" t="str">
        <f t="shared" si="7"/>
        <v>Complete</v>
      </c>
      <c r="I795" s="46" t="s">
        <v>1261</v>
      </c>
    </row>
    <row r="796" spans="2:9" ht="14.45" customHeight="1" x14ac:dyDescent="0.25">
      <c r="B796" s="44" t="s">
        <v>352</v>
      </c>
      <c r="C796" s="28">
        <v>20</v>
      </c>
      <c r="D796" s="45" t="s">
        <v>2068</v>
      </c>
      <c r="E796" s="87"/>
      <c r="F796" s="87" t="str">
        <f>IF(INDEX(I.Production.P4C3,20)="","",INDEX(I.Production.P4C3,20))</f>
        <v/>
      </c>
      <c r="G796" s="87"/>
      <c r="H796" s="28" t="str">
        <f t="shared" si="7"/>
        <v>Complete</v>
      </c>
      <c r="I796" s="46" t="s">
        <v>1262</v>
      </c>
    </row>
    <row r="797" spans="2:9" ht="14.45" customHeight="1" x14ac:dyDescent="0.25">
      <c r="B797" s="53" t="s">
        <v>352</v>
      </c>
      <c r="C797" s="66">
        <v>21</v>
      </c>
      <c r="D797" s="54" t="s">
        <v>2068</v>
      </c>
      <c r="E797" s="88"/>
      <c r="F797" s="88" t="str">
        <f>IF(INDEX(I.Production.P4C3,21)="","",INDEX(I.Production.P4C3,21))</f>
        <v/>
      </c>
      <c r="G797" s="88"/>
      <c r="H797" s="66" t="str">
        <f t="shared" si="7"/>
        <v>Complete</v>
      </c>
      <c r="I797" s="68" t="s">
        <v>1263</v>
      </c>
    </row>
    <row r="798" spans="2:9" ht="14.45" customHeight="1" x14ac:dyDescent="0.25">
      <c r="B798" s="44" t="s">
        <v>353</v>
      </c>
      <c r="C798" s="28">
        <v>1</v>
      </c>
      <c r="D798" s="45" t="s">
        <v>2069</v>
      </c>
      <c r="E798" s="87"/>
      <c r="F798" s="87" t="str">
        <f>IF(INDEX(I.Production.P4C4,1)="","",INDEX(I.Production.P4C4,1))</f>
        <v/>
      </c>
      <c r="G798" s="87"/>
      <c r="H798" s="28" t="str">
        <f>IF(AND(I.Facility.ProductCount&gt;=4,I.Developer.P4C4=TRUE,F798=""),"Incomplete","Complete")</f>
        <v>Complete</v>
      </c>
      <c r="I798" s="46" t="s">
        <v>1264</v>
      </c>
    </row>
    <row r="799" spans="2:9" ht="14.45" customHeight="1" x14ac:dyDescent="0.25">
      <c r="B799" s="44" t="s">
        <v>353</v>
      </c>
      <c r="C799" s="28">
        <v>2</v>
      </c>
      <c r="D799" s="45" t="s">
        <v>2069</v>
      </c>
      <c r="E799" s="87"/>
      <c r="F799" s="87" t="str">
        <f>IF(INDEX(I.Production.P4C4,2)="","",INDEX(I.Production.P4C4,2))</f>
        <v/>
      </c>
      <c r="G799" s="87"/>
      <c r="H799" s="28" t="str">
        <f>IF(AND(I.Facility.ProductCount&gt;=4,I.Developer.P4C4=TRUE,F799=""),"Incomplete","Complete")</f>
        <v>Complete</v>
      </c>
      <c r="I799" s="46" t="s">
        <v>1265</v>
      </c>
    </row>
    <row r="800" spans="2:9" ht="14.45" customHeight="1" x14ac:dyDescent="0.25">
      <c r="B800" s="53" t="s">
        <v>353</v>
      </c>
      <c r="C800" s="66">
        <v>3</v>
      </c>
      <c r="D800" s="54" t="s">
        <v>2069</v>
      </c>
      <c r="E800" s="88"/>
      <c r="F800" s="88" t="str">
        <f>IF(INDEX(I.Production.P4C4,3)="","",INDEX(I.Production.P4C4,3))</f>
        <v/>
      </c>
      <c r="G800" s="88"/>
      <c r="H800" s="66" t="str">
        <f>IF(AND(I.Facility.ProductCount&gt;=4,I.Developer.P4C4=TRUE,F800=""),"Incomplete","Complete")</f>
        <v>Complete</v>
      </c>
      <c r="I800" s="68" t="s">
        <v>1266</v>
      </c>
    </row>
    <row r="801" spans="2:9" ht="14.45" customHeight="1" x14ac:dyDescent="0.25">
      <c r="B801" s="44" t="s">
        <v>354</v>
      </c>
      <c r="C801" s="28">
        <v>1</v>
      </c>
      <c r="D801" s="45" t="s">
        <v>2070</v>
      </c>
      <c r="E801" s="87"/>
      <c r="F801" s="87" t="str">
        <f>IF(INDEX(I.Production.P4C5,1)="","",INDEX(I.Production.P4C5,1))</f>
        <v/>
      </c>
      <c r="G801" s="87"/>
      <c r="H801" s="28" t="str">
        <f>IF(AND(I.Facility.ProductCount&gt;=4,I.Developer.P4C5=TRUE,F801=""),"Incomplete","Complete")</f>
        <v>Complete</v>
      </c>
      <c r="I801" s="46" t="s">
        <v>1267</v>
      </c>
    </row>
    <row r="802" spans="2:9" ht="14.45" customHeight="1" x14ac:dyDescent="0.25">
      <c r="B802" s="44" t="s">
        <v>354</v>
      </c>
      <c r="C802" s="28">
        <v>2</v>
      </c>
      <c r="D802" s="45" t="s">
        <v>2070</v>
      </c>
      <c r="E802" s="87"/>
      <c r="F802" s="87" t="str">
        <f>IF(INDEX(I.Production.P4C5,2)="","",INDEX(I.Production.P4C5,2))</f>
        <v/>
      </c>
      <c r="G802" s="87"/>
      <c r="H802" s="28" t="str">
        <f>IF(AND(I.Facility.ProductCount&gt;=4,I.Developer.P4C5=TRUE,F802=""),"Incomplete","Complete")</f>
        <v>Complete</v>
      </c>
      <c r="I802" s="46" t="s">
        <v>1268</v>
      </c>
    </row>
    <row r="803" spans="2:9" ht="14.45" customHeight="1" x14ac:dyDescent="0.25">
      <c r="B803" s="53" t="s">
        <v>354</v>
      </c>
      <c r="C803" s="66">
        <v>3</v>
      </c>
      <c r="D803" s="54" t="s">
        <v>2070</v>
      </c>
      <c r="E803" s="88"/>
      <c r="F803" s="88" t="str">
        <f>IF(INDEX(I.Production.P4C5,3)="","",INDEX(I.Production.P4C5,3))</f>
        <v/>
      </c>
      <c r="G803" s="88"/>
      <c r="H803" s="66" t="str">
        <f>IF(AND(I.Facility.ProductCount&gt;=4,I.Developer.P4C5=TRUE,F803=""),"Incomplete","Complete")</f>
        <v>Complete</v>
      </c>
      <c r="I803" s="68" t="s">
        <v>1269</v>
      </c>
    </row>
    <row r="804" spans="2:9" ht="14.45" customHeight="1" x14ac:dyDescent="0.25">
      <c r="B804" s="44" t="s">
        <v>355</v>
      </c>
      <c r="C804" s="28">
        <v>1</v>
      </c>
      <c r="D804" s="45" t="s">
        <v>2071</v>
      </c>
      <c r="E804" s="87"/>
      <c r="F804" s="87" t="str">
        <f>IF(INDEX(I.Production.P4C6,1)="","",INDEX(I.Production.P4C6,1))</f>
        <v/>
      </c>
      <c r="G804" s="87"/>
      <c r="H804" s="28" t="str">
        <f>IF(AND(I.Facility.ProductCount&gt;=4,I.Developer.P4C6=TRUE,F804=""),"Incomplete","Complete")</f>
        <v>Complete</v>
      </c>
      <c r="I804" s="46" t="s">
        <v>1270</v>
      </c>
    </row>
    <row r="805" spans="2:9" ht="14.45" customHeight="1" x14ac:dyDescent="0.25">
      <c r="B805" s="44" t="s">
        <v>355</v>
      </c>
      <c r="C805" s="28">
        <v>2</v>
      </c>
      <c r="D805" s="45" t="s">
        <v>2071</v>
      </c>
      <c r="E805" s="87"/>
      <c r="F805" s="87" t="str">
        <f>IF(INDEX(I.Production.P4C6,2)="","",INDEX(I.Production.P4C6,2))</f>
        <v/>
      </c>
      <c r="G805" s="87"/>
      <c r="H805" s="28" t="str">
        <f>IF(AND(I.Facility.ProductCount&gt;=4,I.Developer.P4C6=TRUE,F805=""),"Incomplete","Complete")</f>
        <v>Complete</v>
      </c>
      <c r="I805" s="46" t="s">
        <v>1271</v>
      </c>
    </row>
    <row r="806" spans="2:9" ht="14.45" customHeight="1" x14ac:dyDescent="0.25">
      <c r="B806" s="53" t="s">
        <v>355</v>
      </c>
      <c r="C806" s="66">
        <v>3</v>
      </c>
      <c r="D806" s="54" t="s">
        <v>2071</v>
      </c>
      <c r="E806" s="88"/>
      <c r="F806" s="88" t="str">
        <f>IF(INDEX(I.Production.P4C6,3)="","",INDEX(I.Production.P4C6,3))</f>
        <v/>
      </c>
      <c r="G806" s="88"/>
      <c r="H806" s="66" t="str">
        <f>IF(AND(I.Facility.ProductCount&gt;=4,I.Developer.P4C6=TRUE,F806=""),"Incomplete","Complete")</f>
        <v>Complete</v>
      </c>
      <c r="I806" s="68" t="s">
        <v>1272</v>
      </c>
    </row>
    <row r="807" spans="2:9" ht="14.45" customHeight="1" x14ac:dyDescent="0.25">
      <c r="B807" s="44" t="s">
        <v>356</v>
      </c>
      <c r="C807" s="28">
        <v>1</v>
      </c>
      <c r="D807" s="45" t="s">
        <v>2072</v>
      </c>
      <c r="E807" s="87"/>
      <c r="F807" s="87" t="str">
        <f>IF(INDEX(I.Production.P4C7,1)="","",INDEX(I.Production.P4C7,1))</f>
        <v/>
      </c>
      <c r="G807" s="87"/>
      <c r="H807" s="28" t="str">
        <f>IF(AND(I.Facility.ProductCount&gt;=4,I.Developer.P4C7=TRUE,F807=""),"Incomplete","Complete")</f>
        <v>Complete</v>
      </c>
      <c r="I807" s="46" t="s">
        <v>1273</v>
      </c>
    </row>
    <row r="808" spans="2:9" ht="14.45" customHeight="1" x14ac:dyDescent="0.25">
      <c r="B808" s="44" t="s">
        <v>356</v>
      </c>
      <c r="C808" s="28">
        <v>2</v>
      </c>
      <c r="D808" s="45" t="s">
        <v>2072</v>
      </c>
      <c r="E808" s="87"/>
      <c r="F808" s="87" t="str">
        <f>IF(INDEX(I.Production.P4C7,2)="","",INDEX(I.Production.P4C7,2))</f>
        <v/>
      </c>
      <c r="G808" s="87"/>
      <c r="H808" s="28" t="str">
        <f>IF(AND(I.Facility.ProductCount&gt;=4,I.Developer.P4C7=TRUE,F808=""),"Incomplete","Complete")</f>
        <v>Complete</v>
      </c>
      <c r="I808" s="46" t="s">
        <v>1274</v>
      </c>
    </row>
    <row r="809" spans="2:9" ht="14.45" customHeight="1" x14ac:dyDescent="0.25">
      <c r="B809" s="53" t="s">
        <v>356</v>
      </c>
      <c r="C809" s="66">
        <v>3</v>
      </c>
      <c r="D809" s="54" t="s">
        <v>2072</v>
      </c>
      <c r="E809" s="88"/>
      <c r="F809" s="88" t="str">
        <f>IF(INDEX(I.Production.P4C7,3)="","",INDEX(I.Production.P4C7,3))</f>
        <v/>
      </c>
      <c r="G809" s="88"/>
      <c r="H809" s="66" t="str">
        <f>IF(AND(I.Facility.ProductCount&gt;=4,I.Developer.P4C7=TRUE,F809=""),"Incomplete","Complete")</f>
        <v>Complete</v>
      </c>
      <c r="I809" s="68" t="s">
        <v>1275</v>
      </c>
    </row>
    <row r="810" spans="2:9" ht="14.45" customHeight="1" x14ac:dyDescent="0.25">
      <c r="B810" s="44" t="s">
        <v>357</v>
      </c>
      <c r="C810" s="28">
        <v>1</v>
      </c>
      <c r="D810" s="45" t="s">
        <v>2073</v>
      </c>
      <c r="E810" s="87"/>
      <c r="F810" s="87" t="str">
        <f>IF(INDEX(I.Production.P4C8,1)="","",INDEX(I.Production.P4C8,1))</f>
        <v/>
      </c>
      <c r="G810" s="87"/>
      <c r="H810" s="28" t="str">
        <f>IF(AND(I.Facility.ProductCount&gt;=4,I.Developer.P4C8=TRUE,F810=""),"Incomplete","Complete")</f>
        <v>Complete</v>
      </c>
      <c r="I810" s="46" t="s">
        <v>1276</v>
      </c>
    </row>
    <row r="811" spans="2:9" ht="14.45" customHeight="1" x14ac:dyDescent="0.25">
      <c r="B811" s="44" t="s">
        <v>357</v>
      </c>
      <c r="C811" s="28">
        <v>2</v>
      </c>
      <c r="D811" s="45" t="s">
        <v>2073</v>
      </c>
      <c r="E811" s="87"/>
      <c r="F811" s="87" t="str">
        <f>IF(INDEX(I.Production.P4C8,2)="","",INDEX(I.Production.P4C8,2))</f>
        <v/>
      </c>
      <c r="G811" s="87"/>
      <c r="H811" s="28" t="str">
        <f>IF(AND(I.Facility.ProductCount&gt;=4,I.Developer.P4C8=TRUE,F811=""),"Incomplete","Complete")</f>
        <v>Complete</v>
      </c>
      <c r="I811" s="46" t="s">
        <v>1277</v>
      </c>
    </row>
    <row r="812" spans="2:9" ht="14.45" customHeight="1" x14ac:dyDescent="0.25">
      <c r="B812" s="53" t="s">
        <v>357</v>
      </c>
      <c r="C812" s="66">
        <v>3</v>
      </c>
      <c r="D812" s="54" t="s">
        <v>2073</v>
      </c>
      <c r="E812" s="88"/>
      <c r="F812" s="88" t="str">
        <f>IF(INDEX(I.Production.P4C8,3)="","",INDEX(I.Production.P4C8,3))</f>
        <v/>
      </c>
      <c r="G812" s="88"/>
      <c r="H812" s="66" t="str">
        <f>IF(AND(I.Facility.ProductCount&gt;=4,I.Developer.P4C8=TRUE,F812=""),"Incomplete","Complete")</f>
        <v>Complete</v>
      </c>
      <c r="I812" s="68" t="s">
        <v>1278</v>
      </c>
    </row>
    <row r="813" spans="2:9" ht="14.45" customHeight="1" x14ac:dyDescent="0.25">
      <c r="B813" s="44" t="s">
        <v>358</v>
      </c>
      <c r="C813" s="28">
        <v>1</v>
      </c>
      <c r="D813" s="45" t="s">
        <v>2074</v>
      </c>
      <c r="E813" s="87"/>
      <c r="F813" s="87" t="str">
        <f>IF(INDEX(I.Production.P4C9,1)="","",INDEX(I.Production.P4C9,1))</f>
        <v/>
      </c>
      <c r="G813" s="87"/>
      <c r="H813" s="28" t="str">
        <f>IF(AND(I.Facility.ProductCount&gt;=4,I.Developer.P4C9=TRUE,F813=""),"Incomplete","Complete")</f>
        <v>Complete</v>
      </c>
      <c r="I813" s="46" t="s">
        <v>1279</v>
      </c>
    </row>
    <row r="814" spans="2:9" ht="14.45" customHeight="1" x14ac:dyDescent="0.25">
      <c r="B814" s="44" t="s">
        <v>358</v>
      </c>
      <c r="C814" s="28">
        <v>2</v>
      </c>
      <c r="D814" s="45" t="s">
        <v>2074</v>
      </c>
      <c r="E814" s="87"/>
      <c r="F814" s="87" t="str">
        <f>IF(INDEX(I.Production.P4C9,2)="","",INDEX(I.Production.P4C9,2))</f>
        <v/>
      </c>
      <c r="G814" s="87"/>
      <c r="H814" s="28" t="str">
        <f>IF(AND(I.Facility.ProductCount&gt;=4,I.Developer.P4C9=TRUE,F814=""),"Incomplete","Complete")</f>
        <v>Complete</v>
      </c>
      <c r="I814" s="46" t="s">
        <v>1280</v>
      </c>
    </row>
    <row r="815" spans="2:9" ht="14.45" customHeight="1" x14ac:dyDescent="0.25">
      <c r="B815" s="53" t="s">
        <v>358</v>
      </c>
      <c r="C815" s="66">
        <v>3</v>
      </c>
      <c r="D815" s="54" t="s">
        <v>2074</v>
      </c>
      <c r="E815" s="88"/>
      <c r="F815" s="88" t="str">
        <f>IF(INDEX(I.Production.P4C9,3)="","",INDEX(I.Production.P4C9,3))</f>
        <v/>
      </c>
      <c r="G815" s="88"/>
      <c r="H815" s="66" t="str">
        <f>IF(AND(I.Facility.ProductCount&gt;=4,I.Developer.P4C9=TRUE,F815=""),"Incomplete","Complete")</f>
        <v>Complete</v>
      </c>
      <c r="I815" s="68" t="s">
        <v>1281</v>
      </c>
    </row>
    <row r="816" spans="2:9" ht="14.45" customHeight="1" x14ac:dyDescent="0.25">
      <c r="B816" s="44" t="s">
        <v>359</v>
      </c>
      <c r="C816" s="28">
        <v>1</v>
      </c>
      <c r="D816" s="45" t="s">
        <v>2075</v>
      </c>
      <c r="E816" s="87"/>
      <c r="F816" s="87" t="str">
        <f>IF(I.Production.P5Quantity="","",I.Production.P5Quantity)</f>
        <v/>
      </c>
      <c r="G816" s="87"/>
      <c r="H816" s="28" t="str">
        <f>IF(AND(I.Facility.ProductCount&gt;=5,I.Production.P5Quantity=""),"Incomplete","Complete")</f>
        <v>Complete</v>
      </c>
      <c r="I816" s="46" t="s">
        <v>1282</v>
      </c>
    </row>
    <row r="817" spans="2:9" ht="14.45" customHeight="1" x14ac:dyDescent="0.25">
      <c r="B817" s="53" t="s">
        <v>360</v>
      </c>
      <c r="C817" s="66">
        <v>1</v>
      </c>
      <c r="D817" s="54" t="s">
        <v>2076</v>
      </c>
      <c r="E817" s="54"/>
      <c r="F817" s="66" t="str">
        <f>IF(I.Production.P5Units="","",I.Production.P5Units)</f>
        <v/>
      </c>
      <c r="G817" s="54"/>
      <c r="H817" s="66" t="str">
        <f>IF(AND(I.Facility.ProductCount&gt;=5,I.Production.P5Units=""),"Incomplete","Complete")</f>
        <v>Complete</v>
      </c>
      <c r="I817" s="68" t="s">
        <v>1283</v>
      </c>
    </row>
    <row r="818" spans="2:9" ht="14.45" customHeight="1" x14ac:dyDescent="0.25">
      <c r="B818" s="44" t="s">
        <v>361</v>
      </c>
      <c r="C818" s="28">
        <v>1</v>
      </c>
      <c r="D818" s="45" t="s">
        <v>2077</v>
      </c>
      <c r="E818" s="87"/>
      <c r="F818" s="87" t="str">
        <f>IF(INDEX(I.Production.P5C1,1)="","",INDEX(I.Production.P5C1,1))</f>
        <v/>
      </c>
      <c r="G818" s="87"/>
      <c r="H818" s="28" t="str">
        <f>IF(AND(I.Facility.ProductCount&gt;=5,I.Developer.P5C1=TRUE,F818=""),"Incomplete","Complete")</f>
        <v>Complete</v>
      </c>
      <c r="I818" s="46" t="s">
        <v>1284</v>
      </c>
    </row>
    <row r="819" spans="2:9" ht="14.45" customHeight="1" x14ac:dyDescent="0.25">
      <c r="B819" s="44" t="s">
        <v>361</v>
      </c>
      <c r="C819" s="28">
        <v>2</v>
      </c>
      <c r="D819" s="45" t="s">
        <v>2077</v>
      </c>
      <c r="E819" s="87"/>
      <c r="F819" s="87" t="str">
        <f>IF(INDEX(I.Production.P5C1,2)="","",INDEX(I.Production.P5C1,2))</f>
        <v/>
      </c>
      <c r="G819" s="87"/>
      <c r="H819" s="28" t="str">
        <f>IF(AND(I.Facility.ProductCount&gt;=5,I.Developer.P5C1=TRUE,F819=""),"Incomplete","Complete")</f>
        <v>Complete</v>
      </c>
      <c r="I819" s="46" t="s">
        <v>1285</v>
      </c>
    </row>
    <row r="820" spans="2:9" ht="14.45" customHeight="1" x14ac:dyDescent="0.25">
      <c r="B820" s="53" t="s">
        <v>361</v>
      </c>
      <c r="C820" s="66">
        <v>3</v>
      </c>
      <c r="D820" s="54" t="s">
        <v>2077</v>
      </c>
      <c r="E820" s="88"/>
      <c r="F820" s="88" t="str">
        <f>IF(INDEX(I.Production.P5C1,3)="","",INDEX(I.Production.P5C1,3))</f>
        <v/>
      </c>
      <c r="G820" s="88"/>
      <c r="H820" s="66" t="str">
        <f>IF(AND(I.Facility.ProductCount&gt;=5,I.Developer.P5C1=TRUE,F820=""),"Incomplete","Complete")</f>
        <v>Complete</v>
      </c>
      <c r="I820" s="68" t="s">
        <v>1286</v>
      </c>
    </row>
    <row r="821" spans="2:9" ht="14.45" customHeight="1" x14ac:dyDescent="0.25">
      <c r="B821" s="44" t="s">
        <v>362</v>
      </c>
      <c r="C821" s="28">
        <v>1</v>
      </c>
      <c r="D821" s="45" t="s">
        <v>2078</v>
      </c>
      <c r="E821" s="87"/>
      <c r="F821" s="87" t="str">
        <f>IF(INDEX(I.Production.P5C2,1)="","",INDEX(I.Production.P5C2,1))</f>
        <v/>
      </c>
      <c r="G821" s="87"/>
      <c r="H821" s="28" t="str">
        <f t="shared" ref="H821:H844" si="8">IF(AND(I.Facility.ProductCount&gt;=5,I.Developer.P5C2=TRUE,F821=""),"Incomplete","Complete")</f>
        <v>Complete</v>
      </c>
      <c r="I821" s="46" t="s">
        <v>1287</v>
      </c>
    </row>
    <row r="822" spans="2:9" ht="14.45" customHeight="1" x14ac:dyDescent="0.25">
      <c r="B822" s="44" t="s">
        <v>362</v>
      </c>
      <c r="C822" s="28">
        <v>2</v>
      </c>
      <c r="D822" s="45" t="s">
        <v>2078</v>
      </c>
      <c r="E822" s="87"/>
      <c r="F822" s="87" t="str">
        <f>IF(INDEX(I.Production.P5C2,2)="","",INDEX(I.Production.P5C2,2))</f>
        <v/>
      </c>
      <c r="G822" s="87"/>
      <c r="H822" s="28" t="str">
        <f t="shared" si="8"/>
        <v>Complete</v>
      </c>
      <c r="I822" s="46" t="s">
        <v>1288</v>
      </c>
    </row>
    <row r="823" spans="2:9" ht="14.45" customHeight="1" x14ac:dyDescent="0.25">
      <c r="B823" s="44" t="s">
        <v>362</v>
      </c>
      <c r="C823" s="28">
        <v>3</v>
      </c>
      <c r="D823" s="45" t="s">
        <v>2078</v>
      </c>
      <c r="E823" s="87"/>
      <c r="F823" s="87" t="str">
        <f>IF(INDEX(I.Production.P5C2,3)="","",INDEX(I.Production.P5C2,3))</f>
        <v/>
      </c>
      <c r="G823" s="87"/>
      <c r="H823" s="28" t="str">
        <f t="shared" si="8"/>
        <v>Complete</v>
      </c>
      <c r="I823" s="46" t="s">
        <v>1289</v>
      </c>
    </row>
    <row r="824" spans="2:9" ht="14.45" customHeight="1" x14ac:dyDescent="0.25">
      <c r="B824" s="44" t="s">
        <v>362</v>
      </c>
      <c r="C824" s="28">
        <v>4</v>
      </c>
      <c r="D824" s="45" t="s">
        <v>2078</v>
      </c>
      <c r="E824" s="87"/>
      <c r="F824" s="87" t="str">
        <f>IF(INDEX(I.Production.P5C2,4)="","",INDEX(I.Production.P5C2,4))</f>
        <v/>
      </c>
      <c r="G824" s="87"/>
      <c r="H824" s="28" t="str">
        <f t="shared" si="8"/>
        <v>Complete</v>
      </c>
      <c r="I824" s="46" t="s">
        <v>1290</v>
      </c>
    </row>
    <row r="825" spans="2:9" ht="14.45" customHeight="1" x14ac:dyDescent="0.25">
      <c r="B825" s="44" t="s">
        <v>362</v>
      </c>
      <c r="C825" s="28">
        <v>5</v>
      </c>
      <c r="D825" s="45" t="s">
        <v>2078</v>
      </c>
      <c r="E825" s="87"/>
      <c r="F825" s="87" t="str">
        <f>IF(INDEX(I.Production.P5C2,5)="","",INDEX(I.Production.P5C2,5))</f>
        <v/>
      </c>
      <c r="G825" s="87"/>
      <c r="H825" s="28" t="str">
        <f t="shared" si="8"/>
        <v>Complete</v>
      </c>
      <c r="I825" s="46" t="s">
        <v>1291</v>
      </c>
    </row>
    <row r="826" spans="2:9" ht="14.45" customHeight="1" x14ac:dyDescent="0.25">
      <c r="B826" s="44" t="s">
        <v>362</v>
      </c>
      <c r="C826" s="28">
        <v>6</v>
      </c>
      <c r="D826" s="45" t="s">
        <v>2078</v>
      </c>
      <c r="E826" s="87"/>
      <c r="F826" s="87" t="str">
        <f>IF(INDEX(I.Production.P5C2,6)="","",INDEX(I.Production.P5C2,6))</f>
        <v/>
      </c>
      <c r="G826" s="87"/>
      <c r="H826" s="28" t="str">
        <f t="shared" si="8"/>
        <v>Complete</v>
      </c>
      <c r="I826" s="46" t="s">
        <v>1292</v>
      </c>
    </row>
    <row r="827" spans="2:9" ht="14.45" customHeight="1" x14ac:dyDescent="0.25">
      <c r="B827" s="44" t="s">
        <v>362</v>
      </c>
      <c r="C827" s="28">
        <v>7</v>
      </c>
      <c r="D827" s="45" t="s">
        <v>2078</v>
      </c>
      <c r="E827" s="87"/>
      <c r="F827" s="87" t="str">
        <f>IF(INDEX(I.Production.P5C2,7)="","",INDEX(I.Production.P5C2,7))</f>
        <v/>
      </c>
      <c r="G827" s="87"/>
      <c r="H827" s="28" t="str">
        <f t="shared" si="8"/>
        <v>Complete</v>
      </c>
      <c r="I827" s="46" t="s">
        <v>1293</v>
      </c>
    </row>
    <row r="828" spans="2:9" ht="14.45" customHeight="1" x14ac:dyDescent="0.25">
      <c r="B828" s="44" t="s">
        <v>362</v>
      </c>
      <c r="C828" s="28">
        <v>8</v>
      </c>
      <c r="D828" s="45" t="s">
        <v>2078</v>
      </c>
      <c r="E828" s="87"/>
      <c r="F828" s="87" t="str">
        <f>IF(INDEX(I.Production.P5C2,8)="","",INDEX(I.Production.P5C2,8))</f>
        <v/>
      </c>
      <c r="G828" s="87"/>
      <c r="H828" s="28" t="str">
        <f t="shared" si="8"/>
        <v>Complete</v>
      </c>
      <c r="I828" s="46" t="s">
        <v>1294</v>
      </c>
    </row>
    <row r="829" spans="2:9" ht="14.45" customHeight="1" x14ac:dyDescent="0.25">
      <c r="B829" s="44" t="s">
        <v>362</v>
      </c>
      <c r="C829" s="28">
        <v>9</v>
      </c>
      <c r="D829" s="45" t="s">
        <v>2078</v>
      </c>
      <c r="E829" s="87"/>
      <c r="F829" s="87" t="str">
        <f>IF(INDEX(I.Production.P5C2,9)="","",INDEX(I.Production.P5C2,9))</f>
        <v/>
      </c>
      <c r="G829" s="87"/>
      <c r="H829" s="28" t="str">
        <f t="shared" si="8"/>
        <v>Complete</v>
      </c>
      <c r="I829" s="46" t="s">
        <v>1295</v>
      </c>
    </row>
    <row r="830" spans="2:9" ht="14.45" customHeight="1" x14ac:dyDescent="0.25">
      <c r="B830" s="44" t="s">
        <v>362</v>
      </c>
      <c r="C830" s="28">
        <v>10</v>
      </c>
      <c r="D830" s="45" t="s">
        <v>2078</v>
      </c>
      <c r="E830" s="87"/>
      <c r="F830" s="87" t="str">
        <f>IF(INDEX(I.Production.P5C2,10)="","",INDEX(I.Production.P5C2,10))</f>
        <v/>
      </c>
      <c r="G830" s="87"/>
      <c r="H830" s="28" t="str">
        <f t="shared" si="8"/>
        <v>Complete</v>
      </c>
      <c r="I830" s="46" t="s">
        <v>1296</v>
      </c>
    </row>
    <row r="831" spans="2:9" ht="14.45" customHeight="1" x14ac:dyDescent="0.25">
      <c r="B831" s="44" t="s">
        <v>362</v>
      </c>
      <c r="C831" s="28">
        <v>11</v>
      </c>
      <c r="D831" s="45" t="s">
        <v>2078</v>
      </c>
      <c r="E831" s="87"/>
      <c r="F831" s="87" t="str">
        <f>IF(INDEX(I.Production.P5C2,11)="","",INDEX(I.Production.P5C2,11))</f>
        <v/>
      </c>
      <c r="G831" s="87"/>
      <c r="H831" s="28" t="str">
        <f t="shared" si="8"/>
        <v>Complete</v>
      </c>
      <c r="I831" s="46" t="s">
        <v>1297</v>
      </c>
    </row>
    <row r="832" spans="2:9" ht="14.45" customHeight="1" x14ac:dyDescent="0.25">
      <c r="B832" s="44" t="s">
        <v>362</v>
      </c>
      <c r="C832" s="28">
        <v>12</v>
      </c>
      <c r="D832" s="45" t="s">
        <v>2078</v>
      </c>
      <c r="E832" s="87"/>
      <c r="F832" s="87" t="str">
        <f>IF(INDEX(I.Production.P5C2,12)="","",INDEX(I.Production.P5C2,12))</f>
        <v/>
      </c>
      <c r="G832" s="87"/>
      <c r="H832" s="28" t="str">
        <f t="shared" si="8"/>
        <v>Complete</v>
      </c>
      <c r="I832" s="46" t="s">
        <v>1298</v>
      </c>
    </row>
    <row r="833" spans="2:9" ht="14.45" customHeight="1" x14ac:dyDescent="0.25">
      <c r="B833" s="44" t="s">
        <v>362</v>
      </c>
      <c r="C833" s="28">
        <v>13</v>
      </c>
      <c r="D833" s="45" t="s">
        <v>2078</v>
      </c>
      <c r="E833" s="87"/>
      <c r="F833" s="87" t="str">
        <f>IF(INDEX(I.Production.P5C2,13)="","",INDEX(I.Production.P5C2,13))</f>
        <v/>
      </c>
      <c r="G833" s="87"/>
      <c r="H833" s="28" t="str">
        <f t="shared" si="8"/>
        <v>Complete</v>
      </c>
      <c r="I833" s="46" t="s">
        <v>1299</v>
      </c>
    </row>
    <row r="834" spans="2:9" ht="14.45" customHeight="1" x14ac:dyDescent="0.25">
      <c r="B834" s="44" t="s">
        <v>362</v>
      </c>
      <c r="C834" s="28">
        <v>14</v>
      </c>
      <c r="D834" s="45" t="s">
        <v>2078</v>
      </c>
      <c r="E834" s="87"/>
      <c r="F834" s="87" t="str">
        <f>IF(INDEX(I.Production.P5C2,14)="","",INDEX(I.Production.P5C2,14))</f>
        <v/>
      </c>
      <c r="G834" s="87"/>
      <c r="H834" s="28" t="str">
        <f t="shared" si="8"/>
        <v>Complete</v>
      </c>
      <c r="I834" s="46" t="s">
        <v>1300</v>
      </c>
    </row>
    <row r="835" spans="2:9" ht="14.45" customHeight="1" x14ac:dyDescent="0.25">
      <c r="B835" s="44" t="s">
        <v>362</v>
      </c>
      <c r="C835" s="28">
        <v>15</v>
      </c>
      <c r="D835" s="45" t="s">
        <v>2078</v>
      </c>
      <c r="E835" s="87"/>
      <c r="F835" s="87" t="str">
        <f>IF(INDEX(I.Production.P5C2,15)="","",INDEX(I.Production.P5C2,15))</f>
        <v/>
      </c>
      <c r="G835" s="87"/>
      <c r="H835" s="28" t="str">
        <f t="shared" si="8"/>
        <v>Complete</v>
      </c>
      <c r="I835" s="46" t="s">
        <v>1301</v>
      </c>
    </row>
    <row r="836" spans="2:9" ht="14.45" customHeight="1" x14ac:dyDescent="0.25">
      <c r="B836" s="44" t="s">
        <v>362</v>
      </c>
      <c r="C836" s="28">
        <v>16</v>
      </c>
      <c r="D836" s="45" t="s">
        <v>2078</v>
      </c>
      <c r="E836" s="87"/>
      <c r="F836" s="87" t="str">
        <f>IF(INDEX(I.Production.P5C2,16)="","",INDEX(I.Production.P5C2,16))</f>
        <v/>
      </c>
      <c r="G836" s="87"/>
      <c r="H836" s="28" t="str">
        <f t="shared" si="8"/>
        <v>Complete</v>
      </c>
      <c r="I836" s="46" t="s">
        <v>1302</v>
      </c>
    </row>
    <row r="837" spans="2:9" ht="14.45" customHeight="1" x14ac:dyDescent="0.25">
      <c r="B837" s="44" t="s">
        <v>362</v>
      </c>
      <c r="C837" s="28">
        <v>17</v>
      </c>
      <c r="D837" s="45" t="s">
        <v>2078</v>
      </c>
      <c r="E837" s="87"/>
      <c r="F837" s="87" t="str">
        <f>IF(INDEX(I.Production.P5C2,17)="","",INDEX(I.Production.P5C2,17))</f>
        <v/>
      </c>
      <c r="G837" s="87"/>
      <c r="H837" s="28" t="str">
        <f t="shared" si="8"/>
        <v>Complete</v>
      </c>
      <c r="I837" s="46" t="s">
        <v>1303</v>
      </c>
    </row>
    <row r="838" spans="2:9" ht="14.45" customHeight="1" x14ac:dyDescent="0.25">
      <c r="B838" s="44" t="s">
        <v>362</v>
      </c>
      <c r="C838" s="28">
        <v>18</v>
      </c>
      <c r="D838" s="45" t="s">
        <v>2078</v>
      </c>
      <c r="E838" s="87"/>
      <c r="F838" s="87" t="str">
        <f>IF(INDEX(I.Production.P5C2,18)="","",INDEX(I.Production.P5C2,18))</f>
        <v/>
      </c>
      <c r="G838" s="87"/>
      <c r="H838" s="28" t="str">
        <f t="shared" si="8"/>
        <v>Complete</v>
      </c>
      <c r="I838" s="46" t="s">
        <v>1304</v>
      </c>
    </row>
    <row r="839" spans="2:9" ht="14.45" customHeight="1" x14ac:dyDescent="0.25">
      <c r="B839" s="44" t="s">
        <v>362</v>
      </c>
      <c r="C839" s="28">
        <v>19</v>
      </c>
      <c r="D839" s="45" t="s">
        <v>2078</v>
      </c>
      <c r="E839" s="87"/>
      <c r="F839" s="87" t="str">
        <f>IF(INDEX(I.Production.P5C2,19)="","",INDEX(I.Production.P5C2,19))</f>
        <v/>
      </c>
      <c r="G839" s="87"/>
      <c r="H839" s="28" t="str">
        <f t="shared" si="8"/>
        <v>Complete</v>
      </c>
      <c r="I839" s="46" t="s">
        <v>1305</v>
      </c>
    </row>
    <row r="840" spans="2:9" ht="14.45" customHeight="1" x14ac:dyDescent="0.25">
      <c r="B840" s="44" t="s">
        <v>362</v>
      </c>
      <c r="C840" s="28">
        <v>20</v>
      </c>
      <c r="D840" s="45" t="s">
        <v>2078</v>
      </c>
      <c r="E840" s="87"/>
      <c r="F840" s="87" t="str">
        <f>IF(INDEX(I.Production.P5C2,20)="","",INDEX(I.Production.P5C2,20))</f>
        <v/>
      </c>
      <c r="G840" s="87"/>
      <c r="H840" s="28" t="str">
        <f t="shared" si="8"/>
        <v>Complete</v>
      </c>
      <c r="I840" s="46" t="s">
        <v>1306</v>
      </c>
    </row>
    <row r="841" spans="2:9" ht="14.45" customHeight="1" x14ac:dyDescent="0.25">
      <c r="B841" s="44" t="s">
        <v>362</v>
      </c>
      <c r="C841" s="28">
        <v>21</v>
      </c>
      <c r="D841" s="45" t="s">
        <v>2078</v>
      </c>
      <c r="E841" s="87"/>
      <c r="F841" s="87" t="str">
        <f>IF(INDEX(I.Production.P5C2,21)="","",INDEX(I.Production.P5C2,21))</f>
        <v/>
      </c>
      <c r="G841" s="87"/>
      <c r="H841" s="28" t="str">
        <f t="shared" si="8"/>
        <v>Complete</v>
      </c>
      <c r="I841" s="46" t="s">
        <v>1307</v>
      </c>
    </row>
    <row r="842" spans="2:9" ht="14.45" customHeight="1" x14ac:dyDescent="0.25">
      <c r="B842" s="44" t="s">
        <v>362</v>
      </c>
      <c r="C842" s="28">
        <v>22</v>
      </c>
      <c r="D842" s="45" t="s">
        <v>2078</v>
      </c>
      <c r="E842" s="87"/>
      <c r="F842" s="87" t="str">
        <f>IF(INDEX(I.Production.P5C2,22)="","",INDEX(I.Production.P5C2,22))</f>
        <v/>
      </c>
      <c r="G842" s="87"/>
      <c r="H842" s="28" t="str">
        <f t="shared" si="8"/>
        <v>Complete</v>
      </c>
      <c r="I842" s="46" t="s">
        <v>1308</v>
      </c>
    </row>
    <row r="843" spans="2:9" ht="14.45" customHeight="1" x14ac:dyDescent="0.25">
      <c r="B843" s="44" t="s">
        <v>362</v>
      </c>
      <c r="C843" s="28">
        <v>23</v>
      </c>
      <c r="D843" s="45" t="s">
        <v>2078</v>
      </c>
      <c r="E843" s="87"/>
      <c r="F843" s="87" t="str">
        <f>IF(INDEX(I.Production.P5C2,23)="","",INDEX(I.Production.P5C2,23))</f>
        <v/>
      </c>
      <c r="G843" s="87"/>
      <c r="H843" s="28" t="str">
        <f t="shared" si="8"/>
        <v>Complete</v>
      </c>
      <c r="I843" s="46" t="s">
        <v>1309</v>
      </c>
    </row>
    <row r="844" spans="2:9" ht="14.45" customHeight="1" x14ac:dyDescent="0.25">
      <c r="B844" s="53" t="s">
        <v>362</v>
      </c>
      <c r="C844" s="66">
        <v>24</v>
      </c>
      <c r="D844" s="54" t="s">
        <v>2078</v>
      </c>
      <c r="E844" s="88"/>
      <c r="F844" s="88" t="str">
        <f>IF(INDEX(I.Production.P5C2,24)="","",INDEX(I.Production.P5C2,24))</f>
        <v/>
      </c>
      <c r="G844" s="88"/>
      <c r="H844" s="66" t="str">
        <f t="shared" si="8"/>
        <v>Complete</v>
      </c>
      <c r="I844" s="68" t="s">
        <v>1310</v>
      </c>
    </row>
    <row r="845" spans="2:9" ht="14.45" customHeight="1" x14ac:dyDescent="0.25">
      <c r="B845" s="44" t="s">
        <v>363</v>
      </c>
      <c r="C845" s="28">
        <v>1</v>
      </c>
      <c r="D845" s="45" t="s">
        <v>2079</v>
      </c>
      <c r="E845" s="87"/>
      <c r="F845" s="87" t="str">
        <f>IF(INDEX(I.Production.P5C3,1)="","",INDEX(I.Production.P5C3,1))</f>
        <v/>
      </c>
      <c r="G845" s="87"/>
      <c r="H845" s="28" t="str">
        <f t="shared" ref="H845:H865" si="9">IF(AND(I.Facility.ProductCount&gt;=5,I.Developer.P5C3=TRUE,F845=""),"Incomplete","Complete")</f>
        <v>Complete</v>
      </c>
      <c r="I845" s="46" t="s">
        <v>1311</v>
      </c>
    </row>
    <row r="846" spans="2:9" ht="14.45" customHeight="1" x14ac:dyDescent="0.25">
      <c r="B846" s="44" t="s">
        <v>363</v>
      </c>
      <c r="C846" s="28">
        <v>2</v>
      </c>
      <c r="D846" s="45" t="s">
        <v>2079</v>
      </c>
      <c r="E846" s="87"/>
      <c r="F846" s="87" t="str">
        <f>IF(INDEX(I.Production.P5C3,2)="","",INDEX(I.Production.P5C3,2))</f>
        <v/>
      </c>
      <c r="G846" s="87"/>
      <c r="H846" s="28" t="str">
        <f t="shared" si="9"/>
        <v>Complete</v>
      </c>
      <c r="I846" s="46" t="s">
        <v>1312</v>
      </c>
    </row>
    <row r="847" spans="2:9" ht="14.45" customHeight="1" x14ac:dyDescent="0.25">
      <c r="B847" s="44" t="s">
        <v>363</v>
      </c>
      <c r="C847" s="28">
        <v>3</v>
      </c>
      <c r="D847" s="45" t="s">
        <v>2079</v>
      </c>
      <c r="E847" s="87"/>
      <c r="F847" s="87" t="str">
        <f>IF(INDEX(I.Production.P5C3,3)="","",INDEX(I.Production.P5C3,3))</f>
        <v/>
      </c>
      <c r="G847" s="87"/>
      <c r="H847" s="28" t="str">
        <f t="shared" si="9"/>
        <v>Complete</v>
      </c>
      <c r="I847" s="46" t="s">
        <v>1313</v>
      </c>
    </row>
    <row r="848" spans="2:9" ht="14.45" customHeight="1" x14ac:dyDescent="0.25">
      <c r="B848" s="44" t="s">
        <v>363</v>
      </c>
      <c r="C848" s="28">
        <v>4</v>
      </c>
      <c r="D848" s="45" t="s">
        <v>2079</v>
      </c>
      <c r="E848" s="87"/>
      <c r="F848" s="87" t="str">
        <f>IF(INDEX(I.Production.P5C3,4)="","",INDEX(I.Production.P5C3,4))</f>
        <v/>
      </c>
      <c r="G848" s="87"/>
      <c r="H848" s="28" t="str">
        <f t="shared" si="9"/>
        <v>Complete</v>
      </c>
      <c r="I848" s="46" t="s">
        <v>1314</v>
      </c>
    </row>
    <row r="849" spans="2:9" ht="14.45" customHeight="1" x14ac:dyDescent="0.25">
      <c r="B849" s="44" t="s">
        <v>363</v>
      </c>
      <c r="C849" s="28">
        <v>5</v>
      </c>
      <c r="D849" s="45" t="s">
        <v>2079</v>
      </c>
      <c r="E849" s="87"/>
      <c r="F849" s="87" t="str">
        <f>IF(INDEX(I.Production.P5C3,5)="","",INDEX(I.Production.P5C3,5))</f>
        <v/>
      </c>
      <c r="G849" s="87"/>
      <c r="H849" s="28" t="str">
        <f t="shared" si="9"/>
        <v>Complete</v>
      </c>
      <c r="I849" s="46" t="s">
        <v>1315</v>
      </c>
    </row>
    <row r="850" spans="2:9" ht="14.45" customHeight="1" x14ac:dyDescent="0.25">
      <c r="B850" s="44" t="s">
        <v>363</v>
      </c>
      <c r="C850" s="28">
        <v>6</v>
      </c>
      <c r="D850" s="45" t="s">
        <v>2079</v>
      </c>
      <c r="E850" s="87"/>
      <c r="F850" s="87" t="str">
        <f>IF(INDEX(I.Production.P5C3,6)="","",INDEX(I.Production.P5C3,6))</f>
        <v/>
      </c>
      <c r="G850" s="87"/>
      <c r="H850" s="28" t="str">
        <f t="shared" si="9"/>
        <v>Complete</v>
      </c>
      <c r="I850" s="46" t="s">
        <v>1316</v>
      </c>
    </row>
    <row r="851" spans="2:9" ht="14.45" customHeight="1" x14ac:dyDescent="0.25">
      <c r="B851" s="44" t="s">
        <v>363</v>
      </c>
      <c r="C851" s="28">
        <v>7</v>
      </c>
      <c r="D851" s="45" t="s">
        <v>2079</v>
      </c>
      <c r="E851" s="87"/>
      <c r="F851" s="87" t="str">
        <f>IF(INDEX(I.Production.P5C3,7)="","",INDEX(I.Production.P5C3,7))</f>
        <v/>
      </c>
      <c r="G851" s="87"/>
      <c r="H851" s="28" t="str">
        <f t="shared" si="9"/>
        <v>Complete</v>
      </c>
      <c r="I851" s="46" t="s">
        <v>1317</v>
      </c>
    </row>
    <row r="852" spans="2:9" ht="14.45" customHeight="1" x14ac:dyDescent="0.25">
      <c r="B852" s="44" t="s">
        <v>363</v>
      </c>
      <c r="C852" s="28">
        <v>8</v>
      </c>
      <c r="D852" s="45" t="s">
        <v>2079</v>
      </c>
      <c r="E852" s="87"/>
      <c r="F852" s="87" t="str">
        <f>IF(INDEX(I.Production.P5C3,8)="","",INDEX(I.Production.P5C3,8))</f>
        <v/>
      </c>
      <c r="G852" s="87"/>
      <c r="H852" s="28" t="str">
        <f t="shared" si="9"/>
        <v>Complete</v>
      </c>
      <c r="I852" s="46" t="s">
        <v>1318</v>
      </c>
    </row>
    <row r="853" spans="2:9" ht="14.45" customHeight="1" x14ac:dyDescent="0.25">
      <c r="B853" s="44" t="s">
        <v>363</v>
      </c>
      <c r="C853" s="28">
        <v>9</v>
      </c>
      <c r="D853" s="45" t="s">
        <v>2079</v>
      </c>
      <c r="E853" s="87"/>
      <c r="F853" s="87" t="str">
        <f>IF(INDEX(I.Production.P5C3,9)="","",INDEX(I.Production.P5C3,9))</f>
        <v/>
      </c>
      <c r="G853" s="87"/>
      <c r="H853" s="28" t="str">
        <f t="shared" si="9"/>
        <v>Complete</v>
      </c>
      <c r="I853" s="46" t="s">
        <v>1319</v>
      </c>
    </row>
    <row r="854" spans="2:9" ht="14.45" customHeight="1" x14ac:dyDescent="0.25">
      <c r="B854" s="44" t="s">
        <v>363</v>
      </c>
      <c r="C854" s="28">
        <v>10</v>
      </c>
      <c r="D854" s="45" t="s">
        <v>2079</v>
      </c>
      <c r="E854" s="87"/>
      <c r="F854" s="87" t="str">
        <f>IF(INDEX(I.Production.P5C3,10)="","",INDEX(I.Production.P5C3,10))</f>
        <v/>
      </c>
      <c r="G854" s="87"/>
      <c r="H854" s="28" t="str">
        <f t="shared" si="9"/>
        <v>Complete</v>
      </c>
      <c r="I854" s="46" t="s">
        <v>1320</v>
      </c>
    </row>
    <row r="855" spans="2:9" ht="14.45" customHeight="1" x14ac:dyDescent="0.25">
      <c r="B855" s="44" t="s">
        <v>363</v>
      </c>
      <c r="C855" s="28">
        <v>11</v>
      </c>
      <c r="D855" s="45" t="s">
        <v>2079</v>
      </c>
      <c r="E855" s="87"/>
      <c r="F855" s="87" t="str">
        <f>IF(INDEX(I.Production.P5C3,11)="","",INDEX(I.Production.P5C3,11))</f>
        <v/>
      </c>
      <c r="G855" s="87"/>
      <c r="H855" s="28" t="str">
        <f t="shared" si="9"/>
        <v>Complete</v>
      </c>
      <c r="I855" s="46" t="s">
        <v>1321</v>
      </c>
    </row>
    <row r="856" spans="2:9" ht="14.45" customHeight="1" x14ac:dyDescent="0.25">
      <c r="B856" s="44" t="s">
        <v>363</v>
      </c>
      <c r="C856" s="28">
        <v>12</v>
      </c>
      <c r="D856" s="45" t="s">
        <v>2079</v>
      </c>
      <c r="E856" s="87"/>
      <c r="F856" s="87" t="str">
        <f>IF(INDEX(I.Production.P5C3,12)="","",INDEX(I.Production.P5C3,12))</f>
        <v/>
      </c>
      <c r="G856" s="87"/>
      <c r="H856" s="28" t="str">
        <f t="shared" si="9"/>
        <v>Complete</v>
      </c>
      <c r="I856" s="46" t="s">
        <v>1322</v>
      </c>
    </row>
    <row r="857" spans="2:9" ht="14.45" customHeight="1" x14ac:dyDescent="0.25">
      <c r="B857" s="44" t="s">
        <v>363</v>
      </c>
      <c r="C857" s="28">
        <v>13</v>
      </c>
      <c r="D857" s="45" t="s">
        <v>2079</v>
      </c>
      <c r="E857" s="87"/>
      <c r="F857" s="87" t="str">
        <f>IF(INDEX(I.Production.P5C3,13)="","",INDEX(I.Production.P5C3,13))</f>
        <v/>
      </c>
      <c r="G857" s="87"/>
      <c r="H857" s="28" t="str">
        <f t="shared" si="9"/>
        <v>Complete</v>
      </c>
      <c r="I857" s="46" t="s">
        <v>1323</v>
      </c>
    </row>
    <row r="858" spans="2:9" ht="14.45" customHeight="1" x14ac:dyDescent="0.25">
      <c r="B858" s="44" t="s">
        <v>363</v>
      </c>
      <c r="C858" s="28">
        <v>14</v>
      </c>
      <c r="D858" s="45" t="s">
        <v>2079</v>
      </c>
      <c r="E858" s="87"/>
      <c r="F858" s="87" t="str">
        <f>IF(INDEX(I.Production.P5C3,14)="","",INDEX(I.Production.P5C3,14))</f>
        <v/>
      </c>
      <c r="G858" s="87"/>
      <c r="H858" s="28" t="str">
        <f t="shared" si="9"/>
        <v>Complete</v>
      </c>
      <c r="I858" s="46" t="s">
        <v>1324</v>
      </c>
    </row>
    <row r="859" spans="2:9" ht="14.45" customHeight="1" x14ac:dyDescent="0.25">
      <c r="B859" s="44" t="s">
        <v>363</v>
      </c>
      <c r="C859" s="28">
        <v>15</v>
      </c>
      <c r="D859" s="45" t="s">
        <v>2079</v>
      </c>
      <c r="E859" s="87"/>
      <c r="F859" s="87" t="str">
        <f>IF(INDEX(I.Production.P5C3,15)="","",INDEX(I.Production.P5C3,15))</f>
        <v/>
      </c>
      <c r="G859" s="87"/>
      <c r="H859" s="28" t="str">
        <f t="shared" si="9"/>
        <v>Complete</v>
      </c>
      <c r="I859" s="46" t="s">
        <v>1325</v>
      </c>
    </row>
    <row r="860" spans="2:9" ht="14.45" customHeight="1" x14ac:dyDescent="0.25">
      <c r="B860" s="44" t="s">
        <v>363</v>
      </c>
      <c r="C860" s="28">
        <v>16</v>
      </c>
      <c r="D860" s="45" t="s">
        <v>2079</v>
      </c>
      <c r="E860" s="87"/>
      <c r="F860" s="87" t="str">
        <f>IF(INDEX(I.Production.P5C3,16)="","",INDEX(I.Production.P5C3,16))</f>
        <v/>
      </c>
      <c r="G860" s="87"/>
      <c r="H860" s="28" t="str">
        <f t="shared" si="9"/>
        <v>Complete</v>
      </c>
      <c r="I860" s="46" t="s">
        <v>1326</v>
      </c>
    </row>
    <row r="861" spans="2:9" ht="14.45" customHeight="1" x14ac:dyDescent="0.25">
      <c r="B861" s="44" t="s">
        <v>363</v>
      </c>
      <c r="C861" s="28">
        <v>17</v>
      </c>
      <c r="D861" s="45" t="s">
        <v>2079</v>
      </c>
      <c r="E861" s="87"/>
      <c r="F861" s="87" t="str">
        <f>IF(INDEX(I.Production.P5C3,17)="","",INDEX(I.Production.P5C3,17))</f>
        <v/>
      </c>
      <c r="G861" s="87"/>
      <c r="H861" s="28" t="str">
        <f t="shared" si="9"/>
        <v>Complete</v>
      </c>
      <c r="I861" s="46" t="s">
        <v>1327</v>
      </c>
    </row>
    <row r="862" spans="2:9" ht="14.45" customHeight="1" x14ac:dyDescent="0.25">
      <c r="B862" s="44" t="s">
        <v>363</v>
      </c>
      <c r="C862" s="28">
        <v>18</v>
      </c>
      <c r="D862" s="45" t="s">
        <v>2079</v>
      </c>
      <c r="E862" s="87"/>
      <c r="F862" s="87" t="str">
        <f>IF(INDEX(I.Production.P5C3,18)="","",INDEX(I.Production.P5C3,18))</f>
        <v/>
      </c>
      <c r="G862" s="87"/>
      <c r="H862" s="28" t="str">
        <f t="shared" si="9"/>
        <v>Complete</v>
      </c>
      <c r="I862" s="46" t="s">
        <v>1328</v>
      </c>
    </row>
    <row r="863" spans="2:9" ht="14.45" customHeight="1" x14ac:dyDescent="0.25">
      <c r="B863" s="44" t="s">
        <v>363</v>
      </c>
      <c r="C863" s="28">
        <v>19</v>
      </c>
      <c r="D863" s="45" t="s">
        <v>2079</v>
      </c>
      <c r="E863" s="87"/>
      <c r="F863" s="87" t="str">
        <f>IF(INDEX(I.Production.P5C3,19)="","",INDEX(I.Production.P5C3,19))</f>
        <v/>
      </c>
      <c r="G863" s="87"/>
      <c r="H863" s="28" t="str">
        <f t="shared" si="9"/>
        <v>Complete</v>
      </c>
      <c r="I863" s="46" t="s">
        <v>1329</v>
      </c>
    </row>
    <row r="864" spans="2:9" ht="14.45" customHeight="1" x14ac:dyDescent="0.25">
      <c r="B864" s="44" t="s">
        <v>363</v>
      </c>
      <c r="C864" s="28">
        <v>20</v>
      </c>
      <c r="D864" s="45" t="s">
        <v>2079</v>
      </c>
      <c r="E864" s="87"/>
      <c r="F864" s="87" t="str">
        <f>IF(INDEX(I.Production.P5C3,20)="","",INDEX(I.Production.P5C3,20))</f>
        <v/>
      </c>
      <c r="G864" s="87"/>
      <c r="H864" s="28" t="str">
        <f t="shared" si="9"/>
        <v>Complete</v>
      </c>
      <c r="I864" s="46" t="s">
        <v>1330</v>
      </c>
    </row>
    <row r="865" spans="2:9" ht="14.45" customHeight="1" x14ac:dyDescent="0.25">
      <c r="B865" s="53" t="s">
        <v>363</v>
      </c>
      <c r="C865" s="66">
        <v>21</v>
      </c>
      <c r="D865" s="54" t="s">
        <v>2079</v>
      </c>
      <c r="E865" s="88"/>
      <c r="F865" s="88" t="str">
        <f>IF(INDEX(I.Production.P5C3,21)="","",INDEX(I.Production.P5C3,21))</f>
        <v/>
      </c>
      <c r="G865" s="88"/>
      <c r="H865" s="66" t="str">
        <f t="shared" si="9"/>
        <v>Complete</v>
      </c>
      <c r="I865" s="68" t="s">
        <v>1331</v>
      </c>
    </row>
    <row r="866" spans="2:9" ht="14.45" customHeight="1" x14ac:dyDescent="0.25">
      <c r="B866" s="44" t="s">
        <v>364</v>
      </c>
      <c r="C866" s="28">
        <v>1</v>
      </c>
      <c r="D866" s="45" t="s">
        <v>2080</v>
      </c>
      <c r="E866" s="87"/>
      <c r="F866" s="87" t="str">
        <f>IF(INDEX(I.Production.P5C4,1)="","",INDEX(I.Production.P5C4,1))</f>
        <v/>
      </c>
      <c r="G866" s="87"/>
      <c r="H866" s="28" t="str">
        <f>IF(AND(I.Facility.ProductCount&gt;=5,I.Developer.P5C4=TRUE,F866=""),"Incomplete","Complete")</f>
        <v>Complete</v>
      </c>
      <c r="I866" s="46" t="s">
        <v>1332</v>
      </c>
    </row>
    <row r="867" spans="2:9" ht="14.45" customHeight="1" x14ac:dyDescent="0.25">
      <c r="B867" s="44" t="s">
        <v>364</v>
      </c>
      <c r="C867" s="28">
        <v>2</v>
      </c>
      <c r="D867" s="45" t="s">
        <v>2080</v>
      </c>
      <c r="E867" s="87"/>
      <c r="F867" s="87" t="str">
        <f>IF(INDEX(I.Production.P5C4,2)="","",INDEX(I.Production.P5C4,2))</f>
        <v/>
      </c>
      <c r="G867" s="87"/>
      <c r="H867" s="28" t="str">
        <f>IF(AND(I.Facility.ProductCount&gt;=5,I.Developer.P5C4=TRUE,F867=""),"Incomplete","Complete")</f>
        <v>Complete</v>
      </c>
      <c r="I867" s="46" t="s">
        <v>1333</v>
      </c>
    </row>
    <row r="868" spans="2:9" ht="14.45" customHeight="1" x14ac:dyDescent="0.25">
      <c r="B868" s="53" t="s">
        <v>364</v>
      </c>
      <c r="C868" s="66">
        <v>3</v>
      </c>
      <c r="D868" s="54" t="s">
        <v>2080</v>
      </c>
      <c r="E868" s="88"/>
      <c r="F868" s="88" t="str">
        <f>IF(INDEX(I.Production.P5C4,3)="","",INDEX(I.Production.P5C4,3))</f>
        <v/>
      </c>
      <c r="G868" s="88"/>
      <c r="H868" s="66" t="str">
        <f>IF(AND(I.Facility.ProductCount&gt;=5,I.Developer.P5C4=TRUE,F868=""),"Incomplete","Complete")</f>
        <v>Complete</v>
      </c>
      <c r="I868" s="68" t="s">
        <v>1334</v>
      </c>
    </row>
    <row r="869" spans="2:9" ht="14.45" customHeight="1" x14ac:dyDescent="0.25">
      <c r="B869" s="44" t="s">
        <v>365</v>
      </c>
      <c r="C869" s="28">
        <v>1</v>
      </c>
      <c r="D869" s="45" t="s">
        <v>2081</v>
      </c>
      <c r="E869" s="87"/>
      <c r="F869" s="87" t="str">
        <f>IF(INDEX(I.Production.P5C5,1)="","",INDEX(I.Production.P5C5,1))</f>
        <v/>
      </c>
      <c r="G869" s="87"/>
      <c r="H869" s="28" t="str">
        <f>IF(AND(I.Facility.ProductCount&gt;=5,I.Developer.P5C5=TRUE,F869=""),"Incomplete","Complete")</f>
        <v>Complete</v>
      </c>
      <c r="I869" s="46" t="s">
        <v>1335</v>
      </c>
    </row>
    <row r="870" spans="2:9" ht="14.45" customHeight="1" x14ac:dyDescent="0.25">
      <c r="B870" s="44" t="s">
        <v>365</v>
      </c>
      <c r="C870" s="28">
        <v>2</v>
      </c>
      <c r="D870" s="45" t="s">
        <v>2081</v>
      </c>
      <c r="E870" s="87"/>
      <c r="F870" s="87" t="str">
        <f>IF(INDEX(I.Production.P5C5,2)="","",INDEX(I.Production.P5C5,2))</f>
        <v/>
      </c>
      <c r="G870" s="87"/>
      <c r="H870" s="28" t="str">
        <f>IF(AND(I.Facility.ProductCount&gt;=5,I.Developer.P5C5=TRUE,F870=""),"Incomplete","Complete")</f>
        <v>Complete</v>
      </c>
      <c r="I870" s="46" t="s">
        <v>1336</v>
      </c>
    </row>
    <row r="871" spans="2:9" ht="14.45" customHeight="1" x14ac:dyDescent="0.25">
      <c r="B871" s="53" t="s">
        <v>365</v>
      </c>
      <c r="C871" s="66">
        <v>3</v>
      </c>
      <c r="D871" s="54" t="s">
        <v>2081</v>
      </c>
      <c r="E871" s="88"/>
      <c r="F871" s="88" t="str">
        <f>IF(INDEX(I.Production.P5C5,3)="","",INDEX(I.Production.P5C5,3))</f>
        <v/>
      </c>
      <c r="G871" s="88"/>
      <c r="H871" s="66" t="str">
        <f>IF(AND(I.Facility.ProductCount&gt;=5,I.Developer.P5C5=TRUE,F871=""),"Incomplete","Complete")</f>
        <v>Complete</v>
      </c>
      <c r="I871" s="68" t="s">
        <v>1337</v>
      </c>
    </row>
    <row r="872" spans="2:9" ht="14.45" customHeight="1" x14ac:dyDescent="0.25">
      <c r="B872" s="44" t="s">
        <v>366</v>
      </c>
      <c r="C872" s="28">
        <v>1</v>
      </c>
      <c r="D872" s="45" t="s">
        <v>2082</v>
      </c>
      <c r="E872" s="87"/>
      <c r="F872" s="87" t="str">
        <f>IF(INDEX(I.Production.P5C6,1)="","",INDEX(I.Production.P5C6,1))</f>
        <v/>
      </c>
      <c r="G872" s="87"/>
      <c r="H872" s="28" t="str">
        <f>IF(AND(I.Facility.ProductCount&gt;=5,I.Developer.P5C6=TRUE,F872=""),"Incomplete","Complete")</f>
        <v>Complete</v>
      </c>
      <c r="I872" s="46" t="s">
        <v>1338</v>
      </c>
    </row>
    <row r="873" spans="2:9" ht="14.45" customHeight="1" x14ac:dyDescent="0.25">
      <c r="B873" s="44" t="s">
        <v>366</v>
      </c>
      <c r="C873" s="28">
        <v>2</v>
      </c>
      <c r="D873" s="45" t="s">
        <v>2082</v>
      </c>
      <c r="E873" s="87"/>
      <c r="F873" s="87" t="str">
        <f>IF(INDEX(I.Production.P5C6,2)="","",INDEX(I.Production.P5C6,2))</f>
        <v/>
      </c>
      <c r="G873" s="87"/>
      <c r="H873" s="28" t="str">
        <f>IF(AND(I.Facility.ProductCount&gt;=5,I.Developer.P5C6=TRUE,F873=""),"Incomplete","Complete")</f>
        <v>Complete</v>
      </c>
      <c r="I873" s="46" t="s">
        <v>1339</v>
      </c>
    </row>
    <row r="874" spans="2:9" ht="14.45" customHeight="1" x14ac:dyDescent="0.25">
      <c r="B874" s="53" t="s">
        <v>366</v>
      </c>
      <c r="C874" s="66">
        <v>3</v>
      </c>
      <c r="D874" s="54" t="s">
        <v>2082</v>
      </c>
      <c r="E874" s="88"/>
      <c r="F874" s="88" t="str">
        <f>IF(INDEX(I.Production.P5C6,3)="","",INDEX(I.Production.P5C6,3))</f>
        <v/>
      </c>
      <c r="G874" s="88"/>
      <c r="H874" s="66" t="str">
        <f>IF(AND(I.Facility.ProductCount&gt;=5,I.Developer.P5C6=TRUE,F874=""),"Incomplete","Complete")</f>
        <v>Complete</v>
      </c>
      <c r="I874" s="68" t="s">
        <v>1340</v>
      </c>
    </row>
    <row r="875" spans="2:9" ht="14.45" customHeight="1" x14ac:dyDescent="0.25">
      <c r="B875" s="44" t="s">
        <v>367</v>
      </c>
      <c r="C875" s="28">
        <v>1</v>
      </c>
      <c r="D875" s="45" t="s">
        <v>2083</v>
      </c>
      <c r="E875" s="87"/>
      <c r="F875" s="87" t="str">
        <f>IF(INDEX(I.Production.P5C7,1)="","",INDEX(I.Production.P5C7,1))</f>
        <v/>
      </c>
      <c r="G875" s="87"/>
      <c r="H875" s="28" t="str">
        <f>IF(AND(I.Facility.ProductCount&gt;=5,I.Developer.P5C7=TRUE,F875=""),"Incomplete","Complete")</f>
        <v>Complete</v>
      </c>
      <c r="I875" s="46" t="s">
        <v>1341</v>
      </c>
    </row>
    <row r="876" spans="2:9" ht="14.45" customHeight="1" x14ac:dyDescent="0.25">
      <c r="B876" s="44" t="s">
        <v>367</v>
      </c>
      <c r="C876" s="28">
        <v>2</v>
      </c>
      <c r="D876" s="45" t="s">
        <v>2083</v>
      </c>
      <c r="E876" s="87"/>
      <c r="F876" s="87" t="str">
        <f>IF(INDEX(I.Production.P5C7,2)="","",INDEX(I.Production.P5C7,2))</f>
        <v/>
      </c>
      <c r="G876" s="87"/>
      <c r="H876" s="28" t="str">
        <f>IF(AND(I.Facility.ProductCount&gt;=5,I.Developer.P5C7=TRUE,F876=""),"Incomplete","Complete")</f>
        <v>Complete</v>
      </c>
      <c r="I876" s="46" t="s">
        <v>1342</v>
      </c>
    </row>
    <row r="877" spans="2:9" ht="14.45" customHeight="1" x14ac:dyDescent="0.25">
      <c r="B877" s="53" t="s">
        <v>367</v>
      </c>
      <c r="C877" s="66">
        <v>3</v>
      </c>
      <c r="D877" s="54" t="s">
        <v>2083</v>
      </c>
      <c r="E877" s="88"/>
      <c r="F877" s="88" t="str">
        <f>IF(INDEX(I.Production.P5C7,3)="","",INDEX(I.Production.P5C7,3))</f>
        <v/>
      </c>
      <c r="G877" s="88"/>
      <c r="H877" s="66" t="str">
        <f>IF(AND(I.Facility.ProductCount&gt;=5,I.Developer.P5C7=TRUE,F877=""),"Incomplete","Complete")</f>
        <v>Complete</v>
      </c>
      <c r="I877" s="68" t="s">
        <v>1343</v>
      </c>
    </row>
    <row r="878" spans="2:9" ht="14.45" customHeight="1" x14ac:dyDescent="0.25">
      <c r="B878" s="44" t="s">
        <v>368</v>
      </c>
      <c r="C878" s="28">
        <v>1</v>
      </c>
      <c r="D878" s="45" t="s">
        <v>2084</v>
      </c>
      <c r="E878" s="87"/>
      <c r="F878" s="87" t="str">
        <f>IF(INDEX(I.Production.P5C8,1)="","",INDEX(I.Production.P5C8,1))</f>
        <v/>
      </c>
      <c r="G878" s="87"/>
      <c r="H878" s="28" t="str">
        <f>IF(AND(I.Facility.ProductCount&gt;=5,I.Developer.P5C8=TRUE,F878=""),"Incomplete","Complete")</f>
        <v>Complete</v>
      </c>
      <c r="I878" s="46" t="s">
        <v>1344</v>
      </c>
    </row>
    <row r="879" spans="2:9" ht="14.45" customHeight="1" x14ac:dyDescent="0.25">
      <c r="B879" s="44" t="s">
        <v>368</v>
      </c>
      <c r="C879" s="28">
        <v>2</v>
      </c>
      <c r="D879" s="45" t="s">
        <v>2084</v>
      </c>
      <c r="E879" s="87"/>
      <c r="F879" s="87" t="str">
        <f>IF(INDEX(I.Production.P5C8,2)="","",INDEX(I.Production.P5C8,2))</f>
        <v/>
      </c>
      <c r="G879" s="87"/>
      <c r="H879" s="28" t="str">
        <f>IF(AND(I.Facility.ProductCount&gt;=5,I.Developer.P5C8=TRUE,F879=""),"Incomplete","Complete")</f>
        <v>Complete</v>
      </c>
      <c r="I879" s="46" t="s">
        <v>1345</v>
      </c>
    </row>
    <row r="880" spans="2:9" ht="14.45" customHeight="1" x14ac:dyDescent="0.25">
      <c r="B880" s="53" t="s">
        <v>368</v>
      </c>
      <c r="C880" s="66">
        <v>3</v>
      </c>
      <c r="D880" s="54" t="s">
        <v>2084</v>
      </c>
      <c r="E880" s="88"/>
      <c r="F880" s="88" t="str">
        <f>IF(INDEX(I.Production.P5C8,3)="","",INDEX(I.Production.P5C8,3))</f>
        <v/>
      </c>
      <c r="G880" s="88"/>
      <c r="H880" s="66" t="str">
        <f>IF(AND(I.Facility.ProductCount&gt;=5,I.Developer.P5C8=TRUE,F880=""),"Incomplete","Complete")</f>
        <v>Complete</v>
      </c>
      <c r="I880" s="68" t="s">
        <v>1346</v>
      </c>
    </row>
    <row r="881" spans="2:9" ht="14.45" customHeight="1" x14ac:dyDescent="0.25">
      <c r="B881" s="44" t="s">
        <v>369</v>
      </c>
      <c r="C881" s="28">
        <v>1</v>
      </c>
      <c r="D881" s="45" t="s">
        <v>2085</v>
      </c>
      <c r="E881" s="87"/>
      <c r="F881" s="87" t="str">
        <f>IF(INDEX(I.Production.P5C9,1)="","",INDEX(I.Production.P5C9,1))</f>
        <v/>
      </c>
      <c r="G881" s="87"/>
      <c r="H881" s="28" t="str">
        <f>IF(AND(I.Facility.ProductCount&gt;=5,I.Developer.P5C9=TRUE,F881=""),"Incomplete","Complete")</f>
        <v>Complete</v>
      </c>
      <c r="I881" s="46" t="s">
        <v>1347</v>
      </c>
    </row>
    <row r="882" spans="2:9" ht="14.45" customHeight="1" x14ac:dyDescent="0.25">
      <c r="B882" s="44" t="s">
        <v>369</v>
      </c>
      <c r="C882" s="28">
        <v>2</v>
      </c>
      <c r="D882" s="45" t="s">
        <v>2085</v>
      </c>
      <c r="E882" s="87"/>
      <c r="F882" s="87" t="str">
        <f>IF(INDEX(I.Production.P5C9,2)="","",INDEX(I.Production.P5C9,2))</f>
        <v/>
      </c>
      <c r="G882" s="87"/>
      <c r="H882" s="28" t="str">
        <f>IF(AND(I.Facility.ProductCount&gt;=5,I.Developer.P5C9=TRUE,F882=""),"Incomplete","Complete")</f>
        <v>Complete</v>
      </c>
      <c r="I882" s="46" t="s">
        <v>1348</v>
      </c>
    </row>
    <row r="883" spans="2:9" ht="14.45" customHeight="1" x14ac:dyDescent="0.25">
      <c r="B883" s="53" t="s">
        <v>369</v>
      </c>
      <c r="C883" s="66">
        <v>3</v>
      </c>
      <c r="D883" s="54" t="s">
        <v>2085</v>
      </c>
      <c r="E883" s="88"/>
      <c r="F883" s="88" t="str">
        <f>IF(INDEX(I.Production.P5C9,3)="","",INDEX(I.Production.P5C9,3))</f>
        <v/>
      </c>
      <c r="G883" s="88"/>
      <c r="H883" s="66" t="str">
        <f>IF(AND(I.Facility.ProductCount&gt;=5,I.Developer.P5C9=TRUE,F883=""),"Incomplete","Complete")</f>
        <v>Complete</v>
      </c>
      <c r="I883" s="68" t="s">
        <v>1349</v>
      </c>
    </row>
    <row r="884" spans="2:9" ht="14.45" customHeight="1" x14ac:dyDescent="0.25">
      <c r="B884" s="44" t="s">
        <v>370</v>
      </c>
      <c r="C884" s="28">
        <v>1</v>
      </c>
      <c r="D884" s="45" t="s">
        <v>2086</v>
      </c>
      <c r="E884" s="87"/>
      <c r="F884" s="87" t="str">
        <f>IF(INDEX(I.Electricity.P1C1,1)="","",INDEX(I.Electricity.P1C1,1))</f>
        <v/>
      </c>
      <c r="G884" s="87"/>
      <c r="H884" s="28" t="str">
        <f>IF(AND(I.Facility.ProductCount&gt;=1,I.Product.P1Electricity="Yes",I.Developer.P1C1=TRUE,F884=""),"Incomplete","Complete")</f>
        <v>Complete</v>
      </c>
      <c r="I884" s="46" t="s">
        <v>1012</v>
      </c>
    </row>
    <row r="885" spans="2:9" ht="14.45" customHeight="1" x14ac:dyDescent="0.25">
      <c r="B885" s="44" t="s">
        <v>370</v>
      </c>
      <c r="C885" s="28">
        <v>2</v>
      </c>
      <c r="D885" s="45" t="s">
        <v>2086</v>
      </c>
      <c r="E885" s="87"/>
      <c r="F885" s="87" t="str">
        <f>IF(INDEX(I.Electricity.P1C1,2)="","",INDEX(I.Electricity.P1C1,2))</f>
        <v/>
      </c>
      <c r="G885" s="87"/>
      <c r="H885" s="28" t="str">
        <f>IF(AND(I.Facility.ProductCount&gt;=1,I.Product.P1Electricity="Yes",I.Developer.P1C1=TRUE,F885=""),"Incomplete","Complete")</f>
        <v>Complete</v>
      </c>
      <c r="I885" s="46" t="s">
        <v>1013</v>
      </c>
    </row>
    <row r="886" spans="2:9" ht="14.45" customHeight="1" x14ac:dyDescent="0.25">
      <c r="B886" s="53" t="s">
        <v>370</v>
      </c>
      <c r="C886" s="66">
        <v>3</v>
      </c>
      <c r="D886" s="54" t="s">
        <v>2086</v>
      </c>
      <c r="E886" s="88"/>
      <c r="F886" s="88" t="str">
        <f>IF(INDEX(I.Electricity.P1C1,3)="","",INDEX(I.Electricity.P1C1,3))</f>
        <v/>
      </c>
      <c r="G886" s="88"/>
      <c r="H886" s="66" t="str">
        <f>IF(AND(I.Facility.ProductCount&gt;=1,I.Product.P1Electricity="Yes",I.Developer.P1C1=TRUE,F886=""),"Incomplete","Complete")</f>
        <v>Complete</v>
      </c>
      <c r="I886" s="68" t="s">
        <v>1014</v>
      </c>
    </row>
    <row r="887" spans="2:9" ht="14.45" customHeight="1" x14ac:dyDescent="0.25">
      <c r="B887" s="44" t="s">
        <v>371</v>
      </c>
      <c r="C887" s="28">
        <v>1</v>
      </c>
      <c r="D887" s="45" t="s">
        <v>2087</v>
      </c>
      <c r="E887" s="87"/>
      <c r="F887" s="87" t="str">
        <f>IF(INDEX(I.Electricity.P1C2,1)="","",INDEX(I.Electricity.P1C2,1))</f>
        <v/>
      </c>
      <c r="G887" s="87"/>
      <c r="H887" s="28" t="str">
        <f t="shared" ref="H887:H910" si="10">IF(AND(I.Facility.ProductCount&gt;=1,I.Product.P1Electricity="Yes",I.Developer.P1C2=TRUE,F887=""),"Incomplete","Complete")</f>
        <v>Complete</v>
      </c>
      <c r="I887" s="46" t="s">
        <v>1015</v>
      </c>
    </row>
    <row r="888" spans="2:9" ht="14.45" customHeight="1" x14ac:dyDescent="0.25">
      <c r="B888" s="44" t="s">
        <v>371</v>
      </c>
      <c r="C888" s="28">
        <v>2</v>
      </c>
      <c r="D888" s="45" t="s">
        <v>2087</v>
      </c>
      <c r="E888" s="87"/>
      <c r="F888" s="87" t="str">
        <f>IF(INDEX(I.Electricity.P1C2,2)="","",INDEX(I.Electricity.P1C2,2))</f>
        <v/>
      </c>
      <c r="G888" s="87"/>
      <c r="H888" s="28" t="str">
        <f t="shared" si="10"/>
        <v>Complete</v>
      </c>
      <c r="I888" s="46" t="s">
        <v>1016</v>
      </c>
    </row>
    <row r="889" spans="2:9" ht="14.45" customHeight="1" x14ac:dyDescent="0.25">
      <c r="B889" s="44" t="s">
        <v>371</v>
      </c>
      <c r="C889" s="28">
        <v>3</v>
      </c>
      <c r="D889" s="45" t="s">
        <v>2087</v>
      </c>
      <c r="E889" s="87"/>
      <c r="F889" s="87" t="str">
        <f>IF(INDEX(I.Electricity.P1C2,3)="","",INDEX(I.Electricity.P1C2,3))</f>
        <v/>
      </c>
      <c r="G889" s="87"/>
      <c r="H889" s="28" t="str">
        <f t="shared" si="10"/>
        <v>Complete</v>
      </c>
      <c r="I889" s="46" t="s">
        <v>1017</v>
      </c>
    </row>
    <row r="890" spans="2:9" ht="14.45" customHeight="1" x14ac:dyDescent="0.25">
      <c r="B890" s="44" t="s">
        <v>371</v>
      </c>
      <c r="C890" s="28">
        <v>4</v>
      </c>
      <c r="D890" s="45" t="s">
        <v>2087</v>
      </c>
      <c r="E890" s="87"/>
      <c r="F890" s="87" t="str">
        <f>IF(INDEX(I.Electricity.P1C2,4)="","",INDEX(I.Electricity.P1C2,4))</f>
        <v/>
      </c>
      <c r="G890" s="87"/>
      <c r="H890" s="28" t="str">
        <f t="shared" si="10"/>
        <v>Complete</v>
      </c>
      <c r="I890" s="46" t="s">
        <v>1018</v>
      </c>
    </row>
    <row r="891" spans="2:9" ht="14.45" customHeight="1" x14ac:dyDescent="0.25">
      <c r="B891" s="44" t="s">
        <v>371</v>
      </c>
      <c r="C891" s="28">
        <v>5</v>
      </c>
      <c r="D891" s="45" t="s">
        <v>2087</v>
      </c>
      <c r="E891" s="87"/>
      <c r="F891" s="87" t="str">
        <f>IF(INDEX(I.Electricity.P1C2,5)="","",INDEX(I.Electricity.P1C2,5))</f>
        <v/>
      </c>
      <c r="G891" s="87"/>
      <c r="H891" s="28" t="str">
        <f t="shared" si="10"/>
        <v>Complete</v>
      </c>
      <c r="I891" s="46" t="s">
        <v>1019</v>
      </c>
    </row>
    <row r="892" spans="2:9" ht="14.45" customHeight="1" x14ac:dyDescent="0.25">
      <c r="B892" s="44" t="s">
        <v>371</v>
      </c>
      <c r="C892" s="28">
        <v>6</v>
      </c>
      <c r="D892" s="45" t="s">
        <v>2087</v>
      </c>
      <c r="E892" s="87"/>
      <c r="F892" s="87" t="str">
        <f>IF(INDEX(I.Electricity.P1C2,6)="","",INDEX(I.Electricity.P1C2,6))</f>
        <v/>
      </c>
      <c r="G892" s="87"/>
      <c r="H892" s="28" t="str">
        <f t="shared" si="10"/>
        <v>Complete</v>
      </c>
      <c r="I892" s="46" t="s">
        <v>1020</v>
      </c>
    </row>
    <row r="893" spans="2:9" ht="14.45" customHeight="1" x14ac:dyDescent="0.25">
      <c r="B893" s="44" t="s">
        <v>371</v>
      </c>
      <c r="C893" s="28">
        <v>7</v>
      </c>
      <c r="D893" s="45" t="s">
        <v>2087</v>
      </c>
      <c r="E893" s="87"/>
      <c r="F893" s="87" t="str">
        <f>IF(INDEX(I.Electricity.P1C2,7)="","",INDEX(I.Electricity.P1C2,7))</f>
        <v/>
      </c>
      <c r="G893" s="87"/>
      <c r="H893" s="28" t="str">
        <f t="shared" si="10"/>
        <v>Complete</v>
      </c>
      <c r="I893" s="46" t="s">
        <v>1021</v>
      </c>
    </row>
    <row r="894" spans="2:9" ht="14.45" customHeight="1" x14ac:dyDescent="0.25">
      <c r="B894" s="44" t="s">
        <v>371</v>
      </c>
      <c r="C894" s="28">
        <v>8</v>
      </c>
      <c r="D894" s="45" t="s">
        <v>2087</v>
      </c>
      <c r="E894" s="87"/>
      <c r="F894" s="87" t="str">
        <f>IF(INDEX(I.Electricity.P1C2,8)="","",INDEX(I.Electricity.P1C2,8))</f>
        <v/>
      </c>
      <c r="G894" s="87"/>
      <c r="H894" s="28" t="str">
        <f t="shared" si="10"/>
        <v>Complete</v>
      </c>
      <c r="I894" s="46" t="s">
        <v>1022</v>
      </c>
    </row>
    <row r="895" spans="2:9" ht="14.45" customHeight="1" x14ac:dyDescent="0.25">
      <c r="B895" s="44" t="s">
        <v>371</v>
      </c>
      <c r="C895" s="28">
        <v>9</v>
      </c>
      <c r="D895" s="45" t="s">
        <v>2087</v>
      </c>
      <c r="E895" s="87"/>
      <c r="F895" s="87" t="str">
        <f>IF(INDEX(I.Electricity.P1C2,9)="","",INDEX(I.Electricity.P1C2,9))</f>
        <v/>
      </c>
      <c r="G895" s="87"/>
      <c r="H895" s="28" t="str">
        <f t="shared" si="10"/>
        <v>Complete</v>
      </c>
      <c r="I895" s="46" t="s">
        <v>1023</v>
      </c>
    </row>
    <row r="896" spans="2:9" ht="14.45" customHeight="1" x14ac:dyDescent="0.25">
      <c r="B896" s="44" t="s">
        <v>371</v>
      </c>
      <c r="C896" s="28">
        <v>10</v>
      </c>
      <c r="D896" s="45" t="s">
        <v>2087</v>
      </c>
      <c r="E896" s="87"/>
      <c r="F896" s="87" t="str">
        <f>IF(INDEX(I.Electricity.P1C2,10)="","",INDEX(I.Electricity.P1C2,10))</f>
        <v/>
      </c>
      <c r="G896" s="87"/>
      <c r="H896" s="28" t="str">
        <f t="shared" si="10"/>
        <v>Complete</v>
      </c>
      <c r="I896" s="46" t="s">
        <v>1024</v>
      </c>
    </row>
    <row r="897" spans="2:9" ht="14.45" customHeight="1" x14ac:dyDescent="0.25">
      <c r="B897" s="44" t="s">
        <v>371</v>
      </c>
      <c r="C897" s="28">
        <v>11</v>
      </c>
      <c r="D897" s="45" t="s">
        <v>2087</v>
      </c>
      <c r="E897" s="87"/>
      <c r="F897" s="87" t="str">
        <f>IF(INDEX(I.Electricity.P1C2,11)="","",INDEX(I.Electricity.P1C2,11))</f>
        <v/>
      </c>
      <c r="G897" s="87"/>
      <c r="H897" s="28" t="str">
        <f t="shared" si="10"/>
        <v>Complete</v>
      </c>
      <c r="I897" s="46" t="s">
        <v>1025</v>
      </c>
    </row>
    <row r="898" spans="2:9" ht="14.45" customHeight="1" x14ac:dyDescent="0.25">
      <c r="B898" s="44" t="s">
        <v>371</v>
      </c>
      <c r="C898" s="28">
        <v>12</v>
      </c>
      <c r="D898" s="45" t="s">
        <v>2087</v>
      </c>
      <c r="E898" s="87"/>
      <c r="F898" s="87" t="str">
        <f>IF(INDEX(I.Electricity.P1C2,12)="","",INDEX(I.Electricity.P1C2,12))</f>
        <v/>
      </c>
      <c r="G898" s="87"/>
      <c r="H898" s="28" t="str">
        <f t="shared" si="10"/>
        <v>Complete</v>
      </c>
      <c r="I898" s="46" t="s">
        <v>1026</v>
      </c>
    </row>
    <row r="899" spans="2:9" ht="14.45" customHeight="1" x14ac:dyDescent="0.25">
      <c r="B899" s="44" t="s">
        <v>371</v>
      </c>
      <c r="C899" s="28">
        <v>13</v>
      </c>
      <c r="D899" s="45" t="s">
        <v>2087</v>
      </c>
      <c r="E899" s="87"/>
      <c r="F899" s="87" t="str">
        <f>IF(INDEX(I.Electricity.P1C2,13)="","",INDEX(I.Electricity.P1C2,13))</f>
        <v/>
      </c>
      <c r="G899" s="87"/>
      <c r="H899" s="28" t="str">
        <f t="shared" si="10"/>
        <v>Complete</v>
      </c>
      <c r="I899" s="46" t="s">
        <v>1027</v>
      </c>
    </row>
    <row r="900" spans="2:9" ht="14.45" customHeight="1" x14ac:dyDescent="0.25">
      <c r="B900" s="44" t="s">
        <v>371</v>
      </c>
      <c r="C900" s="28">
        <v>14</v>
      </c>
      <c r="D900" s="45" t="s">
        <v>2087</v>
      </c>
      <c r="E900" s="87"/>
      <c r="F900" s="87" t="str">
        <f>IF(INDEX(I.Electricity.P1C2,14)="","",INDEX(I.Electricity.P1C2,14))</f>
        <v/>
      </c>
      <c r="G900" s="87"/>
      <c r="H900" s="28" t="str">
        <f t="shared" si="10"/>
        <v>Complete</v>
      </c>
      <c r="I900" s="46" t="s">
        <v>1028</v>
      </c>
    </row>
    <row r="901" spans="2:9" ht="14.45" customHeight="1" x14ac:dyDescent="0.25">
      <c r="B901" s="44" t="s">
        <v>371</v>
      </c>
      <c r="C901" s="28">
        <v>15</v>
      </c>
      <c r="D901" s="45" t="s">
        <v>2087</v>
      </c>
      <c r="E901" s="87"/>
      <c r="F901" s="87" t="str">
        <f>IF(INDEX(I.Electricity.P1C2,15)="","",INDEX(I.Electricity.P1C2,15))</f>
        <v/>
      </c>
      <c r="G901" s="87"/>
      <c r="H901" s="28" t="str">
        <f t="shared" si="10"/>
        <v>Complete</v>
      </c>
      <c r="I901" s="46" t="s">
        <v>1029</v>
      </c>
    </row>
    <row r="902" spans="2:9" ht="14.45" customHeight="1" x14ac:dyDescent="0.25">
      <c r="B902" s="44" t="s">
        <v>371</v>
      </c>
      <c r="C902" s="28">
        <v>16</v>
      </c>
      <c r="D902" s="45" t="s">
        <v>2087</v>
      </c>
      <c r="E902" s="87"/>
      <c r="F902" s="87" t="str">
        <f>IF(INDEX(I.Electricity.P1C2,16)="","",INDEX(I.Electricity.P1C2,16))</f>
        <v/>
      </c>
      <c r="G902" s="87"/>
      <c r="H902" s="28" t="str">
        <f t="shared" si="10"/>
        <v>Complete</v>
      </c>
      <c r="I902" s="46" t="s">
        <v>1030</v>
      </c>
    </row>
    <row r="903" spans="2:9" ht="14.45" customHeight="1" x14ac:dyDescent="0.25">
      <c r="B903" s="44" t="s">
        <v>371</v>
      </c>
      <c r="C903" s="28">
        <v>17</v>
      </c>
      <c r="D903" s="45" t="s">
        <v>2087</v>
      </c>
      <c r="E903" s="87"/>
      <c r="F903" s="87" t="str">
        <f>IF(INDEX(I.Electricity.P1C2,17)="","",INDEX(I.Electricity.P1C2,17))</f>
        <v/>
      </c>
      <c r="G903" s="87"/>
      <c r="H903" s="28" t="str">
        <f t="shared" si="10"/>
        <v>Complete</v>
      </c>
      <c r="I903" s="46" t="s">
        <v>1031</v>
      </c>
    </row>
    <row r="904" spans="2:9" ht="14.45" customHeight="1" x14ac:dyDescent="0.25">
      <c r="B904" s="44" t="s">
        <v>371</v>
      </c>
      <c r="C904" s="28">
        <v>18</v>
      </c>
      <c r="D904" s="45" t="s">
        <v>2087</v>
      </c>
      <c r="E904" s="87"/>
      <c r="F904" s="87" t="str">
        <f>IF(INDEX(I.Electricity.P1C2,18)="","",INDEX(I.Electricity.P1C2,18))</f>
        <v/>
      </c>
      <c r="G904" s="87"/>
      <c r="H904" s="28" t="str">
        <f t="shared" si="10"/>
        <v>Complete</v>
      </c>
      <c r="I904" s="46" t="s">
        <v>1032</v>
      </c>
    </row>
    <row r="905" spans="2:9" ht="14.45" customHeight="1" x14ac:dyDescent="0.25">
      <c r="B905" s="44" t="s">
        <v>371</v>
      </c>
      <c r="C905" s="28">
        <v>19</v>
      </c>
      <c r="D905" s="45" t="s">
        <v>2087</v>
      </c>
      <c r="E905" s="87"/>
      <c r="F905" s="87" t="str">
        <f>IF(INDEX(I.Electricity.P1C2,19)="","",INDEX(I.Electricity.P1C2,19))</f>
        <v/>
      </c>
      <c r="G905" s="87"/>
      <c r="H905" s="28" t="str">
        <f t="shared" si="10"/>
        <v>Complete</v>
      </c>
      <c r="I905" s="46" t="s">
        <v>1033</v>
      </c>
    </row>
    <row r="906" spans="2:9" ht="14.45" customHeight="1" x14ac:dyDescent="0.25">
      <c r="B906" s="44" t="s">
        <v>371</v>
      </c>
      <c r="C906" s="28">
        <v>20</v>
      </c>
      <c r="D906" s="45" t="s">
        <v>2087</v>
      </c>
      <c r="E906" s="87"/>
      <c r="F906" s="87" t="str">
        <f>IF(INDEX(I.Electricity.P1C2,20)="","",INDEX(I.Electricity.P1C2,20))</f>
        <v/>
      </c>
      <c r="G906" s="87"/>
      <c r="H906" s="28" t="str">
        <f t="shared" si="10"/>
        <v>Complete</v>
      </c>
      <c r="I906" s="46" t="s">
        <v>1034</v>
      </c>
    </row>
    <row r="907" spans="2:9" ht="14.45" customHeight="1" x14ac:dyDescent="0.25">
      <c r="B907" s="44" t="s">
        <v>371</v>
      </c>
      <c r="C907" s="28">
        <v>21</v>
      </c>
      <c r="D907" s="45" t="s">
        <v>2087</v>
      </c>
      <c r="E907" s="87"/>
      <c r="F907" s="87" t="str">
        <f>IF(INDEX(I.Electricity.P1C2,21)="","",INDEX(I.Electricity.P1C2,21))</f>
        <v/>
      </c>
      <c r="G907" s="87"/>
      <c r="H907" s="28" t="str">
        <f t="shared" si="10"/>
        <v>Complete</v>
      </c>
      <c r="I907" s="46" t="s">
        <v>1035</v>
      </c>
    </row>
    <row r="908" spans="2:9" ht="14.45" customHeight="1" x14ac:dyDescent="0.25">
      <c r="B908" s="44" t="s">
        <v>371</v>
      </c>
      <c r="C908" s="28">
        <v>22</v>
      </c>
      <c r="D908" s="45" t="s">
        <v>2087</v>
      </c>
      <c r="E908" s="87"/>
      <c r="F908" s="87" t="str">
        <f>IF(INDEX(I.Electricity.P1C2,22)="","",INDEX(I.Electricity.P1C2,22))</f>
        <v/>
      </c>
      <c r="G908" s="87"/>
      <c r="H908" s="28" t="str">
        <f t="shared" si="10"/>
        <v>Complete</v>
      </c>
      <c r="I908" s="46" t="s">
        <v>1036</v>
      </c>
    </row>
    <row r="909" spans="2:9" ht="14.45" customHeight="1" x14ac:dyDescent="0.25">
      <c r="B909" s="44" t="s">
        <v>371</v>
      </c>
      <c r="C909" s="28">
        <v>23</v>
      </c>
      <c r="D909" s="45" t="s">
        <v>2087</v>
      </c>
      <c r="E909" s="87"/>
      <c r="F909" s="87" t="str">
        <f>IF(INDEX(I.Electricity.P1C2,23)="","",INDEX(I.Electricity.P1C2,23))</f>
        <v/>
      </c>
      <c r="G909" s="87"/>
      <c r="H909" s="28" t="str">
        <f t="shared" si="10"/>
        <v>Complete</v>
      </c>
      <c r="I909" s="46" t="s">
        <v>1037</v>
      </c>
    </row>
    <row r="910" spans="2:9" ht="14.45" customHeight="1" x14ac:dyDescent="0.25">
      <c r="B910" s="53" t="s">
        <v>371</v>
      </c>
      <c r="C910" s="66">
        <v>24</v>
      </c>
      <c r="D910" s="54" t="s">
        <v>2087</v>
      </c>
      <c r="E910" s="88"/>
      <c r="F910" s="88" t="str">
        <f>IF(INDEX(I.Electricity.P1C2,24)="","",INDEX(I.Electricity.P1C2,24))</f>
        <v/>
      </c>
      <c r="G910" s="88"/>
      <c r="H910" s="66" t="str">
        <f t="shared" si="10"/>
        <v>Complete</v>
      </c>
      <c r="I910" s="68" t="s">
        <v>1038</v>
      </c>
    </row>
    <row r="911" spans="2:9" ht="14.45" customHeight="1" x14ac:dyDescent="0.25">
      <c r="B911" s="44" t="s">
        <v>372</v>
      </c>
      <c r="C911" s="28">
        <v>1</v>
      </c>
      <c r="D911" s="45" t="s">
        <v>2088</v>
      </c>
      <c r="E911" s="87"/>
      <c r="F911" s="87" t="str">
        <f>IF(INDEX(I.Electricity.P1C3,1)="","",INDEX(I.Electricity.P1C3,1))</f>
        <v/>
      </c>
      <c r="G911" s="87"/>
      <c r="H911" s="28" t="str">
        <f t="shared" ref="H911:H931" si="11">IF(AND(I.Facility.ProductCount&gt;=1,I.Product.P1Electricity="Yes",I.Developer.P1C3=TRUE,F911=""),"Incomplete","Complete")</f>
        <v>Complete</v>
      </c>
      <c r="I911" s="46" t="s">
        <v>1039</v>
      </c>
    </row>
    <row r="912" spans="2:9" ht="14.45" customHeight="1" x14ac:dyDescent="0.25">
      <c r="B912" s="44" t="s">
        <v>372</v>
      </c>
      <c r="C912" s="28">
        <v>2</v>
      </c>
      <c r="D912" s="45" t="s">
        <v>2088</v>
      </c>
      <c r="E912" s="87"/>
      <c r="F912" s="87" t="str">
        <f>IF(INDEX(I.Electricity.P1C3,2)="","",INDEX(I.Electricity.P1C3,2))</f>
        <v/>
      </c>
      <c r="G912" s="87"/>
      <c r="H912" s="28" t="str">
        <f t="shared" si="11"/>
        <v>Complete</v>
      </c>
      <c r="I912" s="46" t="s">
        <v>1040</v>
      </c>
    </row>
    <row r="913" spans="2:9" ht="14.45" customHeight="1" x14ac:dyDescent="0.25">
      <c r="B913" s="44" t="s">
        <v>372</v>
      </c>
      <c r="C913" s="28">
        <v>3</v>
      </c>
      <c r="D913" s="45" t="s">
        <v>2088</v>
      </c>
      <c r="E913" s="87"/>
      <c r="F913" s="87" t="str">
        <f>IF(INDEX(I.Electricity.P1C3,3)="","",INDEX(I.Electricity.P1C3,3))</f>
        <v/>
      </c>
      <c r="G913" s="87"/>
      <c r="H913" s="28" t="str">
        <f t="shared" si="11"/>
        <v>Complete</v>
      </c>
      <c r="I913" s="46" t="s">
        <v>1041</v>
      </c>
    </row>
    <row r="914" spans="2:9" ht="14.45" customHeight="1" x14ac:dyDescent="0.25">
      <c r="B914" s="44" t="s">
        <v>372</v>
      </c>
      <c r="C914" s="28">
        <v>4</v>
      </c>
      <c r="D914" s="45" t="s">
        <v>2088</v>
      </c>
      <c r="E914" s="87"/>
      <c r="F914" s="87" t="str">
        <f>IF(INDEX(I.Electricity.P1C3,4)="","",INDEX(I.Electricity.P1C3,4))</f>
        <v/>
      </c>
      <c r="G914" s="87"/>
      <c r="H914" s="28" t="str">
        <f t="shared" si="11"/>
        <v>Complete</v>
      </c>
      <c r="I914" s="46" t="s">
        <v>1042</v>
      </c>
    </row>
    <row r="915" spans="2:9" ht="14.45" customHeight="1" x14ac:dyDescent="0.25">
      <c r="B915" s="44" t="s">
        <v>372</v>
      </c>
      <c r="C915" s="28">
        <v>5</v>
      </c>
      <c r="D915" s="45" t="s">
        <v>2088</v>
      </c>
      <c r="E915" s="87"/>
      <c r="F915" s="87" t="str">
        <f>IF(INDEX(I.Electricity.P1C3,5)="","",INDEX(I.Electricity.P1C3,5))</f>
        <v/>
      </c>
      <c r="G915" s="87"/>
      <c r="H915" s="28" t="str">
        <f t="shared" si="11"/>
        <v>Complete</v>
      </c>
      <c r="I915" s="46" t="s">
        <v>1043</v>
      </c>
    </row>
    <row r="916" spans="2:9" ht="14.45" customHeight="1" x14ac:dyDescent="0.25">
      <c r="B916" s="44" t="s">
        <v>372</v>
      </c>
      <c r="C916" s="28">
        <v>6</v>
      </c>
      <c r="D916" s="45" t="s">
        <v>2088</v>
      </c>
      <c r="E916" s="87"/>
      <c r="F916" s="87" t="str">
        <f>IF(INDEX(I.Electricity.P1C3,6)="","",INDEX(I.Electricity.P1C3,6))</f>
        <v/>
      </c>
      <c r="G916" s="87"/>
      <c r="H916" s="28" t="str">
        <f t="shared" si="11"/>
        <v>Complete</v>
      </c>
      <c r="I916" s="46" t="s">
        <v>1044</v>
      </c>
    </row>
    <row r="917" spans="2:9" ht="14.45" customHeight="1" x14ac:dyDescent="0.25">
      <c r="B917" s="44" t="s">
        <v>372</v>
      </c>
      <c r="C917" s="28">
        <v>7</v>
      </c>
      <c r="D917" s="45" t="s">
        <v>2088</v>
      </c>
      <c r="E917" s="87"/>
      <c r="F917" s="87" t="str">
        <f>IF(INDEX(I.Electricity.P1C3,7)="","",INDEX(I.Electricity.P1C3,7))</f>
        <v/>
      </c>
      <c r="G917" s="87"/>
      <c r="H917" s="28" t="str">
        <f t="shared" si="11"/>
        <v>Complete</v>
      </c>
      <c r="I917" s="46" t="s">
        <v>1045</v>
      </c>
    </row>
    <row r="918" spans="2:9" ht="14.45" customHeight="1" x14ac:dyDescent="0.25">
      <c r="B918" s="44" t="s">
        <v>372</v>
      </c>
      <c r="C918" s="28">
        <v>8</v>
      </c>
      <c r="D918" s="45" t="s">
        <v>2088</v>
      </c>
      <c r="E918" s="87"/>
      <c r="F918" s="87" t="str">
        <f>IF(INDEX(I.Electricity.P1C3,8)="","",INDEX(I.Electricity.P1C3,8))</f>
        <v/>
      </c>
      <c r="G918" s="87"/>
      <c r="H918" s="28" t="str">
        <f t="shared" si="11"/>
        <v>Complete</v>
      </c>
      <c r="I918" s="46" t="s">
        <v>1046</v>
      </c>
    </row>
    <row r="919" spans="2:9" ht="14.45" customHeight="1" x14ac:dyDescent="0.25">
      <c r="B919" s="44" t="s">
        <v>372</v>
      </c>
      <c r="C919" s="28">
        <v>9</v>
      </c>
      <c r="D919" s="45" t="s">
        <v>2088</v>
      </c>
      <c r="E919" s="87"/>
      <c r="F919" s="87" t="str">
        <f>IF(INDEX(I.Electricity.P1C3,9)="","",INDEX(I.Electricity.P1C3,9))</f>
        <v/>
      </c>
      <c r="G919" s="87"/>
      <c r="H919" s="28" t="str">
        <f t="shared" si="11"/>
        <v>Complete</v>
      </c>
      <c r="I919" s="46" t="s">
        <v>1047</v>
      </c>
    </row>
    <row r="920" spans="2:9" ht="14.45" customHeight="1" x14ac:dyDescent="0.25">
      <c r="B920" s="44" t="s">
        <v>372</v>
      </c>
      <c r="C920" s="28">
        <v>10</v>
      </c>
      <c r="D920" s="45" t="s">
        <v>2088</v>
      </c>
      <c r="E920" s="87"/>
      <c r="F920" s="87" t="str">
        <f>IF(INDEX(I.Electricity.P1C3,10)="","",INDEX(I.Electricity.P1C3,10))</f>
        <v/>
      </c>
      <c r="G920" s="87"/>
      <c r="H920" s="28" t="str">
        <f t="shared" si="11"/>
        <v>Complete</v>
      </c>
      <c r="I920" s="46" t="s">
        <v>1048</v>
      </c>
    </row>
    <row r="921" spans="2:9" ht="14.45" customHeight="1" x14ac:dyDescent="0.25">
      <c r="B921" s="44" t="s">
        <v>372</v>
      </c>
      <c r="C921" s="28">
        <v>11</v>
      </c>
      <c r="D921" s="45" t="s">
        <v>2088</v>
      </c>
      <c r="E921" s="87"/>
      <c r="F921" s="87" t="str">
        <f>IF(INDEX(I.Electricity.P1C3,11)="","",INDEX(I.Electricity.P1C3,11))</f>
        <v/>
      </c>
      <c r="G921" s="87"/>
      <c r="H921" s="28" t="str">
        <f t="shared" si="11"/>
        <v>Complete</v>
      </c>
      <c r="I921" s="46" t="s">
        <v>1049</v>
      </c>
    </row>
    <row r="922" spans="2:9" ht="14.45" customHeight="1" x14ac:dyDescent="0.25">
      <c r="B922" s="44" t="s">
        <v>372</v>
      </c>
      <c r="C922" s="28">
        <v>12</v>
      </c>
      <c r="D922" s="45" t="s">
        <v>2088</v>
      </c>
      <c r="E922" s="87"/>
      <c r="F922" s="87" t="str">
        <f>IF(INDEX(I.Electricity.P1C3,12)="","",INDEX(I.Electricity.P1C3,12))</f>
        <v/>
      </c>
      <c r="G922" s="87"/>
      <c r="H922" s="28" t="str">
        <f t="shared" si="11"/>
        <v>Complete</v>
      </c>
      <c r="I922" s="46" t="s">
        <v>1050</v>
      </c>
    </row>
    <row r="923" spans="2:9" ht="14.45" customHeight="1" x14ac:dyDescent="0.25">
      <c r="B923" s="44" t="s">
        <v>372</v>
      </c>
      <c r="C923" s="28">
        <v>13</v>
      </c>
      <c r="D923" s="45" t="s">
        <v>2088</v>
      </c>
      <c r="E923" s="87"/>
      <c r="F923" s="87" t="str">
        <f>IF(INDEX(I.Electricity.P1C3,13)="","",INDEX(I.Electricity.P1C3,13))</f>
        <v/>
      </c>
      <c r="G923" s="87"/>
      <c r="H923" s="28" t="str">
        <f t="shared" si="11"/>
        <v>Complete</v>
      </c>
      <c r="I923" s="46" t="s">
        <v>1051</v>
      </c>
    </row>
    <row r="924" spans="2:9" ht="14.45" customHeight="1" x14ac:dyDescent="0.25">
      <c r="B924" s="44" t="s">
        <v>372</v>
      </c>
      <c r="C924" s="28">
        <v>14</v>
      </c>
      <c r="D924" s="45" t="s">
        <v>2088</v>
      </c>
      <c r="E924" s="87"/>
      <c r="F924" s="87" t="str">
        <f>IF(INDEX(I.Electricity.P1C3,14)="","",INDEX(I.Electricity.P1C3,14))</f>
        <v/>
      </c>
      <c r="G924" s="87"/>
      <c r="H924" s="28" t="str">
        <f t="shared" si="11"/>
        <v>Complete</v>
      </c>
      <c r="I924" s="46" t="s">
        <v>1052</v>
      </c>
    </row>
    <row r="925" spans="2:9" ht="14.45" customHeight="1" x14ac:dyDescent="0.25">
      <c r="B925" s="44" t="s">
        <v>372</v>
      </c>
      <c r="C925" s="28">
        <v>15</v>
      </c>
      <c r="D925" s="45" t="s">
        <v>2088</v>
      </c>
      <c r="E925" s="87"/>
      <c r="F925" s="87" t="str">
        <f>IF(INDEX(I.Electricity.P1C3,15)="","",INDEX(I.Electricity.P1C3,15))</f>
        <v/>
      </c>
      <c r="G925" s="87"/>
      <c r="H925" s="28" t="str">
        <f t="shared" si="11"/>
        <v>Complete</v>
      </c>
      <c r="I925" s="46" t="s">
        <v>1053</v>
      </c>
    </row>
    <row r="926" spans="2:9" ht="14.45" customHeight="1" x14ac:dyDescent="0.25">
      <c r="B926" s="44" t="s">
        <v>372</v>
      </c>
      <c r="C926" s="28">
        <v>16</v>
      </c>
      <c r="D926" s="45" t="s">
        <v>2088</v>
      </c>
      <c r="E926" s="87"/>
      <c r="F926" s="87" t="str">
        <f>IF(INDEX(I.Electricity.P1C3,16)="","",INDEX(I.Electricity.P1C3,16))</f>
        <v/>
      </c>
      <c r="G926" s="87"/>
      <c r="H926" s="28" t="str">
        <f t="shared" si="11"/>
        <v>Complete</v>
      </c>
      <c r="I926" s="46" t="s">
        <v>1054</v>
      </c>
    </row>
    <row r="927" spans="2:9" ht="14.45" customHeight="1" x14ac:dyDescent="0.25">
      <c r="B927" s="44" t="s">
        <v>372</v>
      </c>
      <c r="C927" s="28">
        <v>17</v>
      </c>
      <c r="D927" s="45" t="s">
        <v>2088</v>
      </c>
      <c r="E927" s="87"/>
      <c r="F927" s="87" t="str">
        <f>IF(INDEX(I.Electricity.P1C3,17)="","",INDEX(I.Electricity.P1C3,17))</f>
        <v/>
      </c>
      <c r="G927" s="87"/>
      <c r="H927" s="28" t="str">
        <f t="shared" si="11"/>
        <v>Complete</v>
      </c>
      <c r="I927" s="46" t="s">
        <v>1055</v>
      </c>
    </row>
    <row r="928" spans="2:9" ht="14.45" customHeight="1" x14ac:dyDescent="0.25">
      <c r="B928" s="44" t="s">
        <v>372</v>
      </c>
      <c r="C928" s="28">
        <v>18</v>
      </c>
      <c r="D928" s="45" t="s">
        <v>2088</v>
      </c>
      <c r="E928" s="87"/>
      <c r="F928" s="87" t="str">
        <f>IF(INDEX(I.Electricity.P1C3,18)="","",INDEX(I.Electricity.P1C3,18))</f>
        <v/>
      </c>
      <c r="G928" s="87"/>
      <c r="H928" s="28" t="str">
        <f t="shared" si="11"/>
        <v>Complete</v>
      </c>
      <c r="I928" s="46" t="s">
        <v>1056</v>
      </c>
    </row>
    <row r="929" spans="2:9" ht="14.45" customHeight="1" x14ac:dyDescent="0.25">
      <c r="B929" s="44" t="s">
        <v>372</v>
      </c>
      <c r="C929" s="28">
        <v>19</v>
      </c>
      <c r="D929" s="45" t="s">
        <v>2088</v>
      </c>
      <c r="E929" s="87"/>
      <c r="F929" s="87" t="str">
        <f>IF(INDEX(I.Electricity.P1C3,19)="","",INDEX(I.Electricity.P1C3,19))</f>
        <v/>
      </c>
      <c r="G929" s="87"/>
      <c r="H929" s="28" t="str">
        <f t="shared" si="11"/>
        <v>Complete</v>
      </c>
      <c r="I929" s="46" t="s">
        <v>1057</v>
      </c>
    </row>
    <row r="930" spans="2:9" ht="14.45" customHeight="1" x14ac:dyDescent="0.25">
      <c r="B930" s="44" t="s">
        <v>372</v>
      </c>
      <c r="C930" s="28">
        <v>20</v>
      </c>
      <c r="D930" s="45" t="s">
        <v>2088</v>
      </c>
      <c r="E930" s="87"/>
      <c r="F930" s="87" t="str">
        <f>IF(INDEX(I.Electricity.P1C3,20)="","",INDEX(I.Electricity.P1C3,20))</f>
        <v/>
      </c>
      <c r="G930" s="87"/>
      <c r="H930" s="28" t="str">
        <f t="shared" si="11"/>
        <v>Complete</v>
      </c>
      <c r="I930" s="46" t="s">
        <v>1058</v>
      </c>
    </row>
    <row r="931" spans="2:9" ht="14.45" customHeight="1" x14ac:dyDescent="0.25">
      <c r="B931" s="53" t="s">
        <v>372</v>
      </c>
      <c r="C931" s="66">
        <v>21</v>
      </c>
      <c r="D931" s="54" t="s">
        <v>2088</v>
      </c>
      <c r="E931" s="88"/>
      <c r="F931" s="88" t="str">
        <f>IF(INDEX(I.Electricity.P1C3,21)="","",INDEX(I.Electricity.P1C3,21))</f>
        <v/>
      </c>
      <c r="G931" s="88"/>
      <c r="H931" s="66" t="str">
        <f t="shared" si="11"/>
        <v>Complete</v>
      </c>
      <c r="I931" s="68" t="s">
        <v>1059</v>
      </c>
    </row>
    <row r="932" spans="2:9" ht="14.45" customHeight="1" x14ac:dyDescent="0.25">
      <c r="B932" s="44" t="s">
        <v>373</v>
      </c>
      <c r="C932" s="28">
        <v>1</v>
      </c>
      <c r="D932" s="45" t="s">
        <v>2089</v>
      </c>
      <c r="E932" s="87"/>
      <c r="F932" s="87" t="str">
        <f>IF(INDEX(I.Electricity.P1C4,1)="","",INDEX(I.Electricity.P1C4,1))</f>
        <v/>
      </c>
      <c r="G932" s="87"/>
      <c r="H932" s="28" t="str">
        <f>IF(AND(I.Facility.ProductCount&gt;=1,I.Product.P1Electricity="Yes",I.Developer.P1C4=TRUE,F932=""),"Incomplete","Complete")</f>
        <v>Complete</v>
      </c>
      <c r="I932" s="46" t="s">
        <v>1060</v>
      </c>
    </row>
    <row r="933" spans="2:9" ht="14.45" customHeight="1" x14ac:dyDescent="0.25">
      <c r="B933" s="44" t="s">
        <v>373</v>
      </c>
      <c r="C933" s="28">
        <v>2</v>
      </c>
      <c r="D933" s="45" t="s">
        <v>2089</v>
      </c>
      <c r="E933" s="87"/>
      <c r="F933" s="87" t="str">
        <f>IF(INDEX(I.Electricity.P1C4,2)="","",INDEX(I.Electricity.P1C4,2))</f>
        <v/>
      </c>
      <c r="G933" s="87"/>
      <c r="H933" s="28" t="str">
        <f>IF(AND(I.Facility.ProductCount&gt;=1,I.Product.P1Electricity="Yes",I.Developer.P1C4=TRUE,F933=""),"Incomplete","Complete")</f>
        <v>Complete</v>
      </c>
      <c r="I933" s="46" t="s">
        <v>1061</v>
      </c>
    </row>
    <row r="934" spans="2:9" ht="14.45" customHeight="1" x14ac:dyDescent="0.25">
      <c r="B934" s="53" t="s">
        <v>373</v>
      </c>
      <c r="C934" s="66">
        <v>3</v>
      </c>
      <c r="D934" s="54" t="s">
        <v>2089</v>
      </c>
      <c r="E934" s="88"/>
      <c r="F934" s="88" t="str">
        <f>IF(INDEX(I.Electricity.P1C4,3)="","",INDEX(I.Electricity.P1C4,3))</f>
        <v/>
      </c>
      <c r="G934" s="88"/>
      <c r="H934" s="66" t="str">
        <f>IF(AND(I.Facility.ProductCount&gt;=1,I.Product.P1Electricity="Yes",I.Developer.P1C4=TRUE,F934=""),"Incomplete","Complete")</f>
        <v>Complete</v>
      </c>
      <c r="I934" s="68" t="s">
        <v>1062</v>
      </c>
    </row>
    <row r="935" spans="2:9" ht="14.45" customHeight="1" x14ac:dyDescent="0.25">
      <c r="B935" s="44" t="s">
        <v>374</v>
      </c>
      <c r="C935" s="28">
        <v>1</v>
      </c>
      <c r="D935" s="45" t="s">
        <v>2090</v>
      </c>
      <c r="E935" s="87"/>
      <c r="F935" s="87" t="str">
        <f>IF(INDEX(I.Electricity.P1C5,1)="","",INDEX(I.Electricity.P1C5,1))</f>
        <v/>
      </c>
      <c r="G935" s="87"/>
      <c r="H935" s="28" t="str">
        <f>IF(AND(I.Facility.ProductCount&gt;=1,I.Product.P1Electricity="Yes",I.Developer.P1C5=TRUE,F935=""),"Incomplete","Complete")</f>
        <v>Complete</v>
      </c>
      <c r="I935" s="46" t="s">
        <v>1063</v>
      </c>
    </row>
    <row r="936" spans="2:9" ht="14.45" customHeight="1" x14ac:dyDescent="0.25">
      <c r="B936" s="44" t="s">
        <v>374</v>
      </c>
      <c r="C936" s="28">
        <v>2</v>
      </c>
      <c r="D936" s="45" t="s">
        <v>2090</v>
      </c>
      <c r="E936" s="87"/>
      <c r="F936" s="87" t="str">
        <f>IF(INDEX(I.Electricity.P1C5,2)="","",INDEX(I.Electricity.P1C5,2))</f>
        <v/>
      </c>
      <c r="G936" s="87"/>
      <c r="H936" s="28" t="str">
        <f>IF(AND(I.Facility.ProductCount&gt;=1,I.Product.P1Electricity="Yes",I.Developer.P1C5=TRUE,F936=""),"Incomplete","Complete")</f>
        <v>Complete</v>
      </c>
      <c r="I936" s="46" t="s">
        <v>1064</v>
      </c>
    </row>
    <row r="937" spans="2:9" ht="14.45" customHeight="1" x14ac:dyDescent="0.25">
      <c r="B937" s="53" t="s">
        <v>374</v>
      </c>
      <c r="C937" s="66">
        <v>3</v>
      </c>
      <c r="D937" s="54" t="s">
        <v>2090</v>
      </c>
      <c r="E937" s="88"/>
      <c r="F937" s="88" t="str">
        <f>IF(INDEX(I.Electricity.P1C5,3)="","",INDEX(I.Electricity.P1C5,3))</f>
        <v/>
      </c>
      <c r="G937" s="88"/>
      <c r="H937" s="66" t="str">
        <f>IF(AND(I.Facility.ProductCount&gt;=1,I.Product.P1Electricity="Yes",I.Developer.P1C5=TRUE,F937=""),"Incomplete","Complete")</f>
        <v>Complete</v>
      </c>
      <c r="I937" s="68" t="s">
        <v>1065</v>
      </c>
    </row>
    <row r="938" spans="2:9" ht="14.45" customHeight="1" x14ac:dyDescent="0.25">
      <c r="B938" s="44" t="s">
        <v>375</v>
      </c>
      <c r="C938" s="28">
        <v>1</v>
      </c>
      <c r="D938" s="45" t="s">
        <v>2091</v>
      </c>
      <c r="E938" s="87"/>
      <c r="F938" s="87" t="str">
        <f>IF(INDEX(I.Electricity.P1C6,1)="","",INDEX(I.Electricity.P1C6,1))</f>
        <v/>
      </c>
      <c r="G938" s="87"/>
      <c r="H938" s="28" t="str">
        <f>IF(AND(I.Facility.ProductCount&gt;=1,I.Product.P1Electricity="Yes",I.Developer.P1C6=TRUE,F938=""),"Incomplete","Complete")</f>
        <v>Complete</v>
      </c>
      <c r="I938" s="46" t="s">
        <v>1066</v>
      </c>
    </row>
    <row r="939" spans="2:9" ht="14.45" customHeight="1" x14ac:dyDescent="0.25">
      <c r="B939" s="44" t="s">
        <v>375</v>
      </c>
      <c r="C939" s="28">
        <v>2</v>
      </c>
      <c r="D939" s="45" t="s">
        <v>2091</v>
      </c>
      <c r="E939" s="87"/>
      <c r="F939" s="87" t="str">
        <f>IF(INDEX(I.Electricity.P1C6,2)="","",INDEX(I.Electricity.P1C6,2))</f>
        <v/>
      </c>
      <c r="G939" s="87"/>
      <c r="H939" s="28" t="str">
        <f>IF(AND(I.Facility.ProductCount&gt;=1,I.Product.P1Electricity="Yes",I.Developer.P1C6=TRUE,F939=""),"Incomplete","Complete")</f>
        <v>Complete</v>
      </c>
      <c r="I939" s="46" t="s">
        <v>1067</v>
      </c>
    </row>
    <row r="940" spans="2:9" ht="14.45" customHeight="1" x14ac:dyDescent="0.25">
      <c r="B940" s="53" t="s">
        <v>375</v>
      </c>
      <c r="C940" s="66">
        <v>3</v>
      </c>
      <c r="D940" s="54" t="s">
        <v>2091</v>
      </c>
      <c r="E940" s="88"/>
      <c r="F940" s="88" t="str">
        <f>IF(INDEX(I.Electricity.P1C6,3)="","",INDEX(I.Electricity.P1C6,3))</f>
        <v/>
      </c>
      <c r="G940" s="88"/>
      <c r="H940" s="66" t="str">
        <f>IF(AND(I.Facility.ProductCount&gt;=1,I.Product.P1Electricity="Yes",I.Developer.P1C6=TRUE,F940=""),"Incomplete","Complete")</f>
        <v>Complete</v>
      </c>
      <c r="I940" s="68" t="s">
        <v>1068</v>
      </c>
    </row>
    <row r="941" spans="2:9" ht="14.45" customHeight="1" x14ac:dyDescent="0.25">
      <c r="B941" s="44" t="s">
        <v>376</v>
      </c>
      <c r="C941" s="28">
        <v>1</v>
      </c>
      <c r="D941" s="45" t="s">
        <v>2092</v>
      </c>
      <c r="E941" s="87"/>
      <c r="F941" s="87" t="str">
        <f>IF(INDEX(I.Electricity.P1C7,1)="","",INDEX(I.Electricity.P1C7,1))</f>
        <v/>
      </c>
      <c r="G941" s="87"/>
      <c r="H941" s="28" t="str">
        <f>IF(AND(I.Facility.ProductCount&gt;=1,I.Product.P1Electricity="Yes",I.Developer.P1C7=TRUE,F941=""),"Incomplete","Complete")</f>
        <v>Complete</v>
      </c>
      <c r="I941" s="46" t="s">
        <v>1069</v>
      </c>
    </row>
    <row r="942" spans="2:9" ht="14.45" customHeight="1" x14ac:dyDescent="0.25">
      <c r="B942" s="44" t="s">
        <v>376</v>
      </c>
      <c r="C942" s="28">
        <v>2</v>
      </c>
      <c r="D942" s="45" t="s">
        <v>2092</v>
      </c>
      <c r="E942" s="87"/>
      <c r="F942" s="87" t="str">
        <f>IF(INDEX(I.Electricity.P1C7,2)="","",INDEX(I.Electricity.P1C7,2))</f>
        <v/>
      </c>
      <c r="G942" s="87"/>
      <c r="H942" s="28" t="str">
        <f>IF(AND(I.Facility.ProductCount&gt;=1,I.Product.P1Electricity="Yes",I.Developer.P1C7=TRUE,F942=""),"Incomplete","Complete")</f>
        <v>Complete</v>
      </c>
      <c r="I942" s="46" t="s">
        <v>1070</v>
      </c>
    </row>
    <row r="943" spans="2:9" ht="14.45" customHeight="1" x14ac:dyDescent="0.25">
      <c r="B943" s="53" t="s">
        <v>376</v>
      </c>
      <c r="C943" s="66">
        <v>3</v>
      </c>
      <c r="D943" s="54" t="s">
        <v>2092</v>
      </c>
      <c r="E943" s="88"/>
      <c r="F943" s="88" t="str">
        <f>IF(INDEX(I.Electricity.P1C7,3)="","",INDEX(I.Electricity.P1C7,3))</f>
        <v/>
      </c>
      <c r="G943" s="88"/>
      <c r="H943" s="66" t="str">
        <f>IF(AND(I.Facility.ProductCount&gt;=1,I.Product.P1Electricity="Yes",I.Developer.P1C7=TRUE,F943=""),"Incomplete","Complete")</f>
        <v>Complete</v>
      </c>
      <c r="I943" s="68" t="s">
        <v>1071</v>
      </c>
    </row>
    <row r="944" spans="2:9" ht="14.45" customHeight="1" x14ac:dyDescent="0.25">
      <c r="B944" s="44" t="s">
        <v>377</v>
      </c>
      <c r="C944" s="28">
        <v>1</v>
      </c>
      <c r="D944" s="45" t="s">
        <v>2093</v>
      </c>
      <c r="E944" s="87"/>
      <c r="F944" s="87" t="str">
        <f>IF(INDEX(I.Electricity.P1C8,1)="","",INDEX(I.Electricity.P1C8,1))</f>
        <v/>
      </c>
      <c r="G944" s="87"/>
      <c r="H944" s="28" t="str">
        <f>IF(AND(I.Facility.ProductCount&gt;=1,I.Product.P1Electricity="Yes",I.Developer.P1C8=TRUE,F944=""),"Incomplete","Complete")</f>
        <v>Complete</v>
      </c>
      <c r="I944" s="46" t="s">
        <v>1072</v>
      </c>
    </row>
    <row r="945" spans="2:9" ht="14.45" customHeight="1" x14ac:dyDescent="0.25">
      <c r="B945" s="44" t="s">
        <v>377</v>
      </c>
      <c r="C945" s="28">
        <v>2</v>
      </c>
      <c r="D945" s="45" t="s">
        <v>2093</v>
      </c>
      <c r="E945" s="87"/>
      <c r="F945" s="87" t="str">
        <f>IF(INDEX(I.Electricity.P1C8,2)="","",INDEX(I.Electricity.P1C8,2))</f>
        <v/>
      </c>
      <c r="G945" s="87"/>
      <c r="H945" s="28" t="str">
        <f>IF(AND(I.Facility.ProductCount&gt;=1,I.Product.P1Electricity="Yes",I.Developer.P1C8=TRUE,F945=""),"Incomplete","Complete")</f>
        <v>Complete</v>
      </c>
      <c r="I945" s="46" t="s">
        <v>1073</v>
      </c>
    </row>
    <row r="946" spans="2:9" ht="14.45" customHeight="1" x14ac:dyDescent="0.25">
      <c r="B946" s="53" t="s">
        <v>377</v>
      </c>
      <c r="C946" s="66">
        <v>3</v>
      </c>
      <c r="D946" s="54" t="s">
        <v>2093</v>
      </c>
      <c r="E946" s="88"/>
      <c r="F946" s="88" t="str">
        <f>IF(INDEX(I.Electricity.P1C8,3)="","",INDEX(I.Electricity.P1C8,3))</f>
        <v/>
      </c>
      <c r="G946" s="88"/>
      <c r="H946" s="66" t="str">
        <f>IF(AND(I.Facility.ProductCount&gt;=1,I.Product.P1Electricity="Yes",I.Developer.P1C8=TRUE,F946=""),"Incomplete","Complete")</f>
        <v>Complete</v>
      </c>
      <c r="I946" s="68" t="s">
        <v>1074</v>
      </c>
    </row>
    <row r="947" spans="2:9" ht="14.45" customHeight="1" x14ac:dyDescent="0.25">
      <c r="B947" s="44" t="s">
        <v>378</v>
      </c>
      <c r="C947" s="28">
        <v>1</v>
      </c>
      <c r="D947" s="45" t="s">
        <v>2094</v>
      </c>
      <c r="E947" s="87"/>
      <c r="F947" s="87" t="str">
        <f>IF(INDEX(I.Electricity.P1C9,1)="","",INDEX(I.Electricity.P1C9,1))</f>
        <v/>
      </c>
      <c r="G947" s="87"/>
      <c r="H947" s="28" t="str">
        <f>IF(AND(I.Facility.ProductCount&gt;=1,I.Product.P1Electricity="Yes",I.Developer.P1C9=TRUE,F947=""),"Incomplete","Complete")</f>
        <v>Complete</v>
      </c>
      <c r="I947" s="46" t="s">
        <v>1075</v>
      </c>
    </row>
    <row r="948" spans="2:9" ht="14.45" customHeight="1" x14ac:dyDescent="0.25">
      <c r="B948" s="44" t="s">
        <v>378</v>
      </c>
      <c r="C948" s="28">
        <v>2</v>
      </c>
      <c r="D948" s="45" t="s">
        <v>2094</v>
      </c>
      <c r="E948" s="87"/>
      <c r="F948" s="87" t="str">
        <f>IF(INDEX(I.Electricity.P1C9,2)="","",INDEX(I.Electricity.P1C9,2))</f>
        <v/>
      </c>
      <c r="G948" s="87"/>
      <c r="H948" s="28" t="str">
        <f>IF(AND(I.Facility.ProductCount&gt;=1,I.Product.P1Electricity="Yes",I.Developer.P1C9=TRUE,F948=""),"Incomplete","Complete")</f>
        <v>Complete</v>
      </c>
      <c r="I948" s="46" t="s">
        <v>1076</v>
      </c>
    </row>
    <row r="949" spans="2:9" ht="14.45" customHeight="1" x14ac:dyDescent="0.25">
      <c r="B949" s="53" t="s">
        <v>378</v>
      </c>
      <c r="C949" s="66">
        <v>3</v>
      </c>
      <c r="D949" s="54" t="s">
        <v>2094</v>
      </c>
      <c r="E949" s="88"/>
      <c r="F949" s="88" t="str">
        <f>IF(INDEX(I.Electricity.P1C9,3)="","",INDEX(I.Electricity.P1C9,3))</f>
        <v/>
      </c>
      <c r="G949" s="88"/>
      <c r="H949" s="66" t="str">
        <f>IF(AND(I.Facility.ProductCount&gt;=1,I.Product.P1Electricity="Yes",I.Developer.P1C9=TRUE,F949=""),"Incomplete","Complete")</f>
        <v>Complete</v>
      </c>
      <c r="I949" s="68" t="s">
        <v>1077</v>
      </c>
    </row>
    <row r="950" spans="2:9" ht="14.45" customHeight="1" x14ac:dyDescent="0.25">
      <c r="B950" s="44" t="s">
        <v>379</v>
      </c>
      <c r="C950" s="28">
        <v>1</v>
      </c>
      <c r="D950" s="45" t="s">
        <v>2095</v>
      </c>
      <c r="E950" s="87"/>
      <c r="F950" s="87" t="str">
        <f>IF(INDEX(I.Electricity.P2C1,1)="","",INDEX(I.Electricity.P2C1,1))</f>
        <v/>
      </c>
      <c r="G950" s="87"/>
      <c r="H950" s="28" t="str">
        <f>IF(AND(I.Facility.ProductCount&gt;=2,I.Product.P2Electricity="Yes",I.Developer.P2C1=TRUE,F950=""),"Incomplete","Complete")</f>
        <v>Complete</v>
      </c>
      <c r="I950" s="46" t="s">
        <v>1080</v>
      </c>
    </row>
    <row r="951" spans="2:9" ht="14.45" customHeight="1" x14ac:dyDescent="0.25">
      <c r="B951" s="44" t="s">
        <v>379</v>
      </c>
      <c r="C951" s="28">
        <v>2</v>
      </c>
      <c r="D951" s="45" t="s">
        <v>2095</v>
      </c>
      <c r="E951" s="87"/>
      <c r="F951" s="87" t="str">
        <f>IF(INDEX(I.Electricity.P2C1,2)="","",INDEX(I.Electricity.P2C1,2))</f>
        <v/>
      </c>
      <c r="G951" s="87"/>
      <c r="H951" s="28" t="str">
        <f>IF(AND(I.Facility.ProductCount&gt;=2,I.Product.P2Electricity="Yes",I.Developer.P2C1=TRUE,F951=""),"Incomplete","Complete")</f>
        <v>Complete</v>
      </c>
      <c r="I951" s="46" t="s">
        <v>1081</v>
      </c>
    </row>
    <row r="952" spans="2:9" ht="14.45" customHeight="1" x14ac:dyDescent="0.25">
      <c r="B952" s="53" t="s">
        <v>379</v>
      </c>
      <c r="C952" s="66">
        <v>3</v>
      </c>
      <c r="D952" s="54" t="s">
        <v>2095</v>
      </c>
      <c r="E952" s="88"/>
      <c r="F952" s="88" t="str">
        <f>IF(INDEX(I.Electricity.P2C1,3)="","",INDEX(I.Electricity.P2C1,3))</f>
        <v/>
      </c>
      <c r="G952" s="88"/>
      <c r="H952" s="66" t="str">
        <f>IF(AND(I.Facility.ProductCount&gt;=2,I.Product.P2Electricity="Yes",I.Developer.P2C1=TRUE,F952=""),"Incomplete","Complete")</f>
        <v>Complete</v>
      </c>
      <c r="I952" s="68" t="s">
        <v>1082</v>
      </c>
    </row>
    <row r="953" spans="2:9" ht="14.45" customHeight="1" x14ac:dyDescent="0.25">
      <c r="B953" s="44" t="s">
        <v>380</v>
      </c>
      <c r="C953" s="28">
        <v>1</v>
      </c>
      <c r="D953" s="45" t="s">
        <v>2096</v>
      </c>
      <c r="E953" s="87"/>
      <c r="F953" s="87" t="str">
        <f>IF(INDEX(I.Electricity.P2C2,1)="","",INDEX(I.Electricity.P2C2,1))</f>
        <v/>
      </c>
      <c r="G953" s="87"/>
      <c r="H953" s="28" t="str">
        <f t="shared" ref="H953:H976" si="12">IF(AND(I.Facility.ProductCount&gt;=2,I.Product.P2Electricity="Yes",I.Developer.P2C2=TRUE,F953=""),"Incomplete","Complete")</f>
        <v>Complete</v>
      </c>
      <c r="I953" s="46" t="s">
        <v>1083</v>
      </c>
    </row>
    <row r="954" spans="2:9" ht="14.45" customHeight="1" x14ac:dyDescent="0.25">
      <c r="B954" s="44" t="s">
        <v>380</v>
      </c>
      <c r="C954" s="28">
        <v>2</v>
      </c>
      <c r="D954" s="45" t="s">
        <v>2096</v>
      </c>
      <c r="E954" s="87"/>
      <c r="F954" s="87" t="str">
        <f>IF(INDEX(I.Electricity.P2C2,2)="","",INDEX(I.Electricity.P2C2,2))</f>
        <v/>
      </c>
      <c r="G954" s="87"/>
      <c r="H954" s="28" t="str">
        <f t="shared" si="12"/>
        <v>Complete</v>
      </c>
      <c r="I954" s="46" t="s">
        <v>1084</v>
      </c>
    </row>
    <row r="955" spans="2:9" ht="14.45" customHeight="1" x14ac:dyDescent="0.25">
      <c r="B955" s="44" t="s">
        <v>380</v>
      </c>
      <c r="C955" s="28">
        <v>3</v>
      </c>
      <c r="D955" s="45" t="s">
        <v>2096</v>
      </c>
      <c r="E955" s="87"/>
      <c r="F955" s="87" t="str">
        <f>IF(INDEX(I.Electricity.P2C2,3)="","",INDEX(I.Electricity.P2C2,3))</f>
        <v/>
      </c>
      <c r="G955" s="87"/>
      <c r="H955" s="28" t="str">
        <f t="shared" si="12"/>
        <v>Complete</v>
      </c>
      <c r="I955" s="46" t="s">
        <v>1085</v>
      </c>
    </row>
    <row r="956" spans="2:9" ht="14.45" customHeight="1" x14ac:dyDescent="0.25">
      <c r="B956" s="44" t="s">
        <v>380</v>
      </c>
      <c r="C956" s="28">
        <v>4</v>
      </c>
      <c r="D956" s="45" t="s">
        <v>2096</v>
      </c>
      <c r="E956" s="87"/>
      <c r="F956" s="87" t="str">
        <f>IF(INDEX(I.Electricity.P2C2,4)="","",INDEX(I.Electricity.P2C2,4))</f>
        <v/>
      </c>
      <c r="G956" s="87"/>
      <c r="H956" s="28" t="str">
        <f t="shared" si="12"/>
        <v>Complete</v>
      </c>
      <c r="I956" s="46" t="s">
        <v>1086</v>
      </c>
    </row>
    <row r="957" spans="2:9" ht="14.45" customHeight="1" x14ac:dyDescent="0.25">
      <c r="B957" s="44" t="s">
        <v>380</v>
      </c>
      <c r="C957" s="28">
        <v>5</v>
      </c>
      <c r="D957" s="45" t="s">
        <v>2096</v>
      </c>
      <c r="E957" s="87"/>
      <c r="F957" s="87" t="str">
        <f>IF(INDEX(I.Electricity.P2C2,5)="","",INDEX(I.Electricity.P2C2,5))</f>
        <v/>
      </c>
      <c r="G957" s="87"/>
      <c r="H957" s="28" t="str">
        <f t="shared" si="12"/>
        <v>Complete</v>
      </c>
      <c r="I957" s="46" t="s">
        <v>1087</v>
      </c>
    </row>
    <row r="958" spans="2:9" ht="14.45" customHeight="1" x14ac:dyDescent="0.25">
      <c r="B958" s="44" t="s">
        <v>380</v>
      </c>
      <c r="C958" s="28">
        <v>6</v>
      </c>
      <c r="D958" s="45" t="s">
        <v>2096</v>
      </c>
      <c r="E958" s="87"/>
      <c r="F958" s="87" t="str">
        <f>IF(INDEX(I.Electricity.P2C2,6)="","",INDEX(I.Electricity.P2C2,6))</f>
        <v/>
      </c>
      <c r="G958" s="87"/>
      <c r="H958" s="28" t="str">
        <f t="shared" si="12"/>
        <v>Complete</v>
      </c>
      <c r="I958" s="46" t="s">
        <v>1088</v>
      </c>
    </row>
    <row r="959" spans="2:9" ht="14.45" customHeight="1" x14ac:dyDescent="0.25">
      <c r="B959" s="44" t="s">
        <v>380</v>
      </c>
      <c r="C959" s="28">
        <v>7</v>
      </c>
      <c r="D959" s="45" t="s">
        <v>2096</v>
      </c>
      <c r="E959" s="87"/>
      <c r="F959" s="87" t="str">
        <f>IF(INDEX(I.Electricity.P2C2,7)="","",INDEX(I.Electricity.P2C2,7))</f>
        <v/>
      </c>
      <c r="G959" s="87"/>
      <c r="H959" s="28" t="str">
        <f t="shared" si="12"/>
        <v>Complete</v>
      </c>
      <c r="I959" s="46" t="s">
        <v>1089</v>
      </c>
    </row>
    <row r="960" spans="2:9" ht="14.45" customHeight="1" x14ac:dyDescent="0.25">
      <c r="B960" s="44" t="s">
        <v>380</v>
      </c>
      <c r="C960" s="28">
        <v>8</v>
      </c>
      <c r="D960" s="45" t="s">
        <v>2096</v>
      </c>
      <c r="E960" s="87"/>
      <c r="F960" s="87" t="str">
        <f>IF(INDEX(I.Electricity.P2C2,8)="","",INDEX(I.Electricity.P2C2,8))</f>
        <v/>
      </c>
      <c r="G960" s="87"/>
      <c r="H960" s="28" t="str">
        <f t="shared" si="12"/>
        <v>Complete</v>
      </c>
      <c r="I960" s="46" t="s">
        <v>1090</v>
      </c>
    </row>
    <row r="961" spans="2:9" ht="14.45" customHeight="1" x14ac:dyDescent="0.25">
      <c r="B961" s="44" t="s">
        <v>380</v>
      </c>
      <c r="C961" s="28">
        <v>9</v>
      </c>
      <c r="D961" s="45" t="s">
        <v>2096</v>
      </c>
      <c r="E961" s="87"/>
      <c r="F961" s="87" t="str">
        <f>IF(INDEX(I.Electricity.P2C2,9)="","",INDEX(I.Electricity.P2C2,9))</f>
        <v/>
      </c>
      <c r="G961" s="87"/>
      <c r="H961" s="28" t="str">
        <f t="shared" si="12"/>
        <v>Complete</v>
      </c>
      <c r="I961" s="46" t="s">
        <v>1091</v>
      </c>
    </row>
    <row r="962" spans="2:9" ht="14.45" customHeight="1" x14ac:dyDescent="0.25">
      <c r="B962" s="44" t="s">
        <v>380</v>
      </c>
      <c r="C962" s="28">
        <v>10</v>
      </c>
      <c r="D962" s="45" t="s">
        <v>2096</v>
      </c>
      <c r="E962" s="87"/>
      <c r="F962" s="87" t="str">
        <f>IF(INDEX(I.Electricity.P2C2,10)="","",INDEX(I.Electricity.P2C2,10))</f>
        <v/>
      </c>
      <c r="G962" s="87"/>
      <c r="H962" s="28" t="str">
        <f t="shared" si="12"/>
        <v>Complete</v>
      </c>
      <c r="I962" s="46" t="s">
        <v>1092</v>
      </c>
    </row>
    <row r="963" spans="2:9" ht="14.45" customHeight="1" x14ac:dyDescent="0.25">
      <c r="B963" s="44" t="s">
        <v>380</v>
      </c>
      <c r="C963" s="28">
        <v>11</v>
      </c>
      <c r="D963" s="45" t="s">
        <v>2096</v>
      </c>
      <c r="E963" s="87"/>
      <c r="F963" s="87" t="str">
        <f>IF(INDEX(I.Electricity.P2C2,11)="","",INDEX(I.Electricity.P2C2,11))</f>
        <v/>
      </c>
      <c r="G963" s="87"/>
      <c r="H963" s="28" t="str">
        <f t="shared" si="12"/>
        <v>Complete</v>
      </c>
      <c r="I963" s="46" t="s">
        <v>1093</v>
      </c>
    </row>
    <row r="964" spans="2:9" ht="14.45" customHeight="1" x14ac:dyDescent="0.25">
      <c r="B964" s="44" t="s">
        <v>380</v>
      </c>
      <c r="C964" s="28">
        <v>12</v>
      </c>
      <c r="D964" s="45" t="s">
        <v>2096</v>
      </c>
      <c r="E964" s="87"/>
      <c r="F964" s="87" t="str">
        <f>IF(INDEX(I.Electricity.P2C2,12)="","",INDEX(I.Electricity.P2C2,12))</f>
        <v/>
      </c>
      <c r="G964" s="87"/>
      <c r="H964" s="28" t="str">
        <f t="shared" si="12"/>
        <v>Complete</v>
      </c>
      <c r="I964" s="46" t="s">
        <v>1094</v>
      </c>
    </row>
    <row r="965" spans="2:9" ht="14.45" customHeight="1" x14ac:dyDescent="0.25">
      <c r="B965" s="44" t="s">
        <v>380</v>
      </c>
      <c r="C965" s="28">
        <v>13</v>
      </c>
      <c r="D965" s="45" t="s">
        <v>2096</v>
      </c>
      <c r="E965" s="87"/>
      <c r="F965" s="87" t="str">
        <f>IF(INDEX(I.Electricity.P2C2,13)="","",INDEX(I.Electricity.P2C2,13))</f>
        <v/>
      </c>
      <c r="G965" s="87"/>
      <c r="H965" s="28" t="str">
        <f t="shared" si="12"/>
        <v>Complete</v>
      </c>
      <c r="I965" s="46" t="s">
        <v>1095</v>
      </c>
    </row>
    <row r="966" spans="2:9" ht="14.45" customHeight="1" x14ac:dyDescent="0.25">
      <c r="B966" s="44" t="s">
        <v>380</v>
      </c>
      <c r="C966" s="28">
        <v>14</v>
      </c>
      <c r="D966" s="45" t="s">
        <v>2096</v>
      </c>
      <c r="E966" s="87"/>
      <c r="F966" s="87" t="str">
        <f>IF(INDEX(I.Electricity.P2C2,14)="","",INDEX(I.Electricity.P2C2,14))</f>
        <v/>
      </c>
      <c r="G966" s="87"/>
      <c r="H966" s="28" t="str">
        <f t="shared" si="12"/>
        <v>Complete</v>
      </c>
      <c r="I966" s="46" t="s">
        <v>1096</v>
      </c>
    </row>
    <row r="967" spans="2:9" ht="14.45" customHeight="1" x14ac:dyDescent="0.25">
      <c r="B967" s="44" t="s">
        <v>380</v>
      </c>
      <c r="C967" s="28">
        <v>15</v>
      </c>
      <c r="D967" s="45" t="s">
        <v>2096</v>
      </c>
      <c r="E967" s="87"/>
      <c r="F967" s="87" t="str">
        <f>IF(INDEX(I.Electricity.P2C2,15)="","",INDEX(I.Electricity.P2C2,15))</f>
        <v/>
      </c>
      <c r="G967" s="87"/>
      <c r="H967" s="28" t="str">
        <f t="shared" si="12"/>
        <v>Complete</v>
      </c>
      <c r="I967" s="46" t="s">
        <v>1097</v>
      </c>
    </row>
    <row r="968" spans="2:9" ht="14.45" customHeight="1" x14ac:dyDescent="0.25">
      <c r="B968" s="44" t="s">
        <v>380</v>
      </c>
      <c r="C968" s="28">
        <v>16</v>
      </c>
      <c r="D968" s="45" t="s">
        <v>2096</v>
      </c>
      <c r="E968" s="87"/>
      <c r="F968" s="87" t="str">
        <f>IF(INDEX(I.Electricity.P2C2,16)="","",INDEX(I.Electricity.P2C2,16))</f>
        <v/>
      </c>
      <c r="G968" s="87"/>
      <c r="H968" s="28" t="str">
        <f t="shared" si="12"/>
        <v>Complete</v>
      </c>
      <c r="I968" s="46" t="s">
        <v>1098</v>
      </c>
    </row>
    <row r="969" spans="2:9" ht="14.45" customHeight="1" x14ac:dyDescent="0.25">
      <c r="B969" s="44" t="s">
        <v>380</v>
      </c>
      <c r="C969" s="28">
        <v>17</v>
      </c>
      <c r="D969" s="45" t="s">
        <v>2096</v>
      </c>
      <c r="E969" s="87"/>
      <c r="F969" s="87" t="str">
        <f>IF(INDEX(I.Electricity.P2C2,17)="","",INDEX(I.Electricity.P2C2,17))</f>
        <v/>
      </c>
      <c r="G969" s="87"/>
      <c r="H969" s="28" t="str">
        <f t="shared" si="12"/>
        <v>Complete</v>
      </c>
      <c r="I969" s="46" t="s">
        <v>1099</v>
      </c>
    </row>
    <row r="970" spans="2:9" ht="14.45" customHeight="1" x14ac:dyDescent="0.25">
      <c r="B970" s="44" t="s">
        <v>380</v>
      </c>
      <c r="C970" s="28">
        <v>18</v>
      </c>
      <c r="D970" s="45" t="s">
        <v>2096</v>
      </c>
      <c r="E970" s="87"/>
      <c r="F970" s="87" t="str">
        <f>IF(INDEX(I.Electricity.P2C2,18)="","",INDEX(I.Electricity.P2C2,18))</f>
        <v/>
      </c>
      <c r="G970" s="87"/>
      <c r="H970" s="28" t="str">
        <f t="shared" si="12"/>
        <v>Complete</v>
      </c>
      <c r="I970" s="46" t="s">
        <v>1100</v>
      </c>
    </row>
    <row r="971" spans="2:9" ht="14.45" customHeight="1" x14ac:dyDescent="0.25">
      <c r="B971" s="44" t="s">
        <v>380</v>
      </c>
      <c r="C971" s="28">
        <v>19</v>
      </c>
      <c r="D971" s="45" t="s">
        <v>2096</v>
      </c>
      <c r="E971" s="87"/>
      <c r="F971" s="87" t="str">
        <f>IF(INDEX(I.Electricity.P2C2,19)="","",INDEX(I.Electricity.P2C2,19))</f>
        <v/>
      </c>
      <c r="G971" s="87"/>
      <c r="H971" s="28" t="str">
        <f t="shared" si="12"/>
        <v>Complete</v>
      </c>
      <c r="I971" s="46" t="s">
        <v>1101</v>
      </c>
    </row>
    <row r="972" spans="2:9" ht="14.45" customHeight="1" x14ac:dyDescent="0.25">
      <c r="B972" s="44" t="s">
        <v>380</v>
      </c>
      <c r="C972" s="28">
        <v>20</v>
      </c>
      <c r="D972" s="45" t="s">
        <v>2096</v>
      </c>
      <c r="E972" s="87"/>
      <c r="F972" s="87" t="str">
        <f>IF(INDEX(I.Electricity.P2C2,20)="","",INDEX(I.Electricity.P2C2,20))</f>
        <v/>
      </c>
      <c r="G972" s="87"/>
      <c r="H972" s="28" t="str">
        <f t="shared" si="12"/>
        <v>Complete</v>
      </c>
      <c r="I972" s="46" t="s">
        <v>1102</v>
      </c>
    </row>
    <row r="973" spans="2:9" ht="14.45" customHeight="1" x14ac:dyDescent="0.25">
      <c r="B973" s="44" t="s">
        <v>380</v>
      </c>
      <c r="C973" s="28">
        <v>21</v>
      </c>
      <c r="D973" s="45" t="s">
        <v>2096</v>
      </c>
      <c r="E973" s="87"/>
      <c r="F973" s="87" t="str">
        <f>IF(INDEX(I.Electricity.P2C2,21)="","",INDEX(I.Electricity.P2C2,21))</f>
        <v/>
      </c>
      <c r="G973" s="87"/>
      <c r="H973" s="28" t="str">
        <f t="shared" si="12"/>
        <v>Complete</v>
      </c>
      <c r="I973" s="46" t="s">
        <v>1103</v>
      </c>
    </row>
    <row r="974" spans="2:9" ht="14.45" customHeight="1" x14ac:dyDescent="0.25">
      <c r="B974" s="44" t="s">
        <v>380</v>
      </c>
      <c r="C974" s="28">
        <v>22</v>
      </c>
      <c r="D974" s="45" t="s">
        <v>2096</v>
      </c>
      <c r="E974" s="87"/>
      <c r="F974" s="87" t="str">
        <f>IF(INDEX(I.Electricity.P2C2,22)="","",INDEX(I.Electricity.P2C2,22))</f>
        <v/>
      </c>
      <c r="G974" s="87"/>
      <c r="H974" s="28" t="str">
        <f t="shared" si="12"/>
        <v>Complete</v>
      </c>
      <c r="I974" s="46" t="s">
        <v>1104</v>
      </c>
    </row>
    <row r="975" spans="2:9" ht="14.45" customHeight="1" x14ac:dyDescent="0.25">
      <c r="B975" s="44" t="s">
        <v>380</v>
      </c>
      <c r="C975" s="28">
        <v>23</v>
      </c>
      <c r="D975" s="45" t="s">
        <v>2096</v>
      </c>
      <c r="E975" s="87"/>
      <c r="F975" s="87" t="str">
        <f>IF(INDEX(I.Electricity.P2C2,23)="","",INDEX(I.Electricity.P2C2,23))</f>
        <v/>
      </c>
      <c r="G975" s="87"/>
      <c r="H975" s="28" t="str">
        <f t="shared" si="12"/>
        <v>Complete</v>
      </c>
      <c r="I975" s="46" t="s">
        <v>1105</v>
      </c>
    </row>
    <row r="976" spans="2:9" ht="14.45" customHeight="1" x14ac:dyDescent="0.25">
      <c r="B976" s="53" t="s">
        <v>380</v>
      </c>
      <c r="C976" s="66">
        <v>24</v>
      </c>
      <c r="D976" s="54" t="s">
        <v>2096</v>
      </c>
      <c r="E976" s="88"/>
      <c r="F976" s="88" t="str">
        <f>IF(INDEX(I.Electricity.P2C2,24)="","",INDEX(I.Electricity.P2C2,24))</f>
        <v/>
      </c>
      <c r="G976" s="88"/>
      <c r="H976" s="66" t="str">
        <f t="shared" si="12"/>
        <v>Complete</v>
      </c>
      <c r="I976" s="68" t="s">
        <v>1106</v>
      </c>
    </row>
    <row r="977" spans="2:9" ht="14.45" customHeight="1" x14ac:dyDescent="0.25">
      <c r="B977" s="44" t="s">
        <v>381</v>
      </c>
      <c r="C977" s="28">
        <v>1</v>
      </c>
      <c r="D977" s="45" t="s">
        <v>2097</v>
      </c>
      <c r="E977" s="87"/>
      <c r="F977" s="87" t="str">
        <f>IF(INDEX(I.Electricity.P2C3,1)="","",INDEX(I.Electricity.P2C3,1))</f>
        <v/>
      </c>
      <c r="G977" s="87"/>
      <c r="H977" s="28" t="str">
        <f t="shared" ref="H977:H997" si="13">IF(AND(I.Facility.ProductCount&gt;=2,I.Product.P2Electricity="Yes",I.Developer.P2C3=TRUE,F977=""),"Incomplete","Complete")</f>
        <v>Complete</v>
      </c>
      <c r="I977" s="46" t="s">
        <v>1107</v>
      </c>
    </row>
    <row r="978" spans="2:9" ht="14.45" customHeight="1" x14ac:dyDescent="0.25">
      <c r="B978" s="44" t="s">
        <v>381</v>
      </c>
      <c r="C978" s="28">
        <v>2</v>
      </c>
      <c r="D978" s="45" t="s">
        <v>2097</v>
      </c>
      <c r="E978" s="87"/>
      <c r="F978" s="87" t="str">
        <f>IF(INDEX(I.Electricity.P2C3,2)="","",INDEX(I.Electricity.P2C3,2))</f>
        <v/>
      </c>
      <c r="G978" s="87"/>
      <c r="H978" s="28" t="str">
        <f t="shared" si="13"/>
        <v>Complete</v>
      </c>
      <c r="I978" s="46" t="s">
        <v>1108</v>
      </c>
    </row>
    <row r="979" spans="2:9" ht="14.45" customHeight="1" x14ac:dyDescent="0.25">
      <c r="B979" s="44" t="s">
        <v>381</v>
      </c>
      <c r="C979" s="28">
        <v>3</v>
      </c>
      <c r="D979" s="45" t="s">
        <v>2097</v>
      </c>
      <c r="E979" s="87"/>
      <c r="F979" s="87" t="str">
        <f>IF(INDEX(I.Electricity.P2C3,3)="","",INDEX(I.Electricity.P2C3,3))</f>
        <v/>
      </c>
      <c r="G979" s="87"/>
      <c r="H979" s="28" t="str">
        <f t="shared" si="13"/>
        <v>Complete</v>
      </c>
      <c r="I979" s="46" t="s">
        <v>1109</v>
      </c>
    </row>
    <row r="980" spans="2:9" ht="14.45" customHeight="1" x14ac:dyDescent="0.25">
      <c r="B980" s="44" t="s">
        <v>381</v>
      </c>
      <c r="C980" s="28">
        <v>4</v>
      </c>
      <c r="D980" s="45" t="s">
        <v>2097</v>
      </c>
      <c r="E980" s="87"/>
      <c r="F980" s="87" t="str">
        <f>IF(INDEX(I.Electricity.P2C3,4)="","",INDEX(I.Electricity.P2C3,4))</f>
        <v/>
      </c>
      <c r="G980" s="87"/>
      <c r="H980" s="28" t="str">
        <f t="shared" si="13"/>
        <v>Complete</v>
      </c>
      <c r="I980" s="46" t="s">
        <v>1110</v>
      </c>
    </row>
    <row r="981" spans="2:9" ht="14.45" customHeight="1" x14ac:dyDescent="0.25">
      <c r="B981" s="44" t="s">
        <v>381</v>
      </c>
      <c r="C981" s="28">
        <v>5</v>
      </c>
      <c r="D981" s="45" t="s">
        <v>2097</v>
      </c>
      <c r="E981" s="87"/>
      <c r="F981" s="87" t="str">
        <f>IF(INDEX(I.Electricity.P2C3,5)="","",INDEX(I.Electricity.P2C3,5))</f>
        <v/>
      </c>
      <c r="G981" s="87"/>
      <c r="H981" s="28" t="str">
        <f t="shared" si="13"/>
        <v>Complete</v>
      </c>
      <c r="I981" s="46" t="s">
        <v>1111</v>
      </c>
    </row>
    <row r="982" spans="2:9" ht="14.45" customHeight="1" x14ac:dyDescent="0.25">
      <c r="B982" s="44" t="s">
        <v>381</v>
      </c>
      <c r="C982" s="28">
        <v>6</v>
      </c>
      <c r="D982" s="45" t="s">
        <v>2097</v>
      </c>
      <c r="E982" s="87"/>
      <c r="F982" s="87" t="str">
        <f>IF(INDEX(I.Electricity.P2C3,6)="","",INDEX(I.Electricity.P2C3,6))</f>
        <v/>
      </c>
      <c r="G982" s="87"/>
      <c r="H982" s="28" t="str">
        <f t="shared" si="13"/>
        <v>Complete</v>
      </c>
      <c r="I982" s="46" t="s">
        <v>1112</v>
      </c>
    </row>
    <row r="983" spans="2:9" ht="14.45" customHeight="1" x14ac:dyDescent="0.25">
      <c r="B983" s="44" t="s">
        <v>381</v>
      </c>
      <c r="C983" s="28">
        <v>7</v>
      </c>
      <c r="D983" s="45" t="s">
        <v>2097</v>
      </c>
      <c r="E983" s="87"/>
      <c r="F983" s="87" t="str">
        <f>IF(INDEX(I.Electricity.P2C3,7)="","",INDEX(I.Electricity.P2C3,7))</f>
        <v/>
      </c>
      <c r="G983" s="87"/>
      <c r="H983" s="28" t="str">
        <f t="shared" si="13"/>
        <v>Complete</v>
      </c>
      <c r="I983" s="46" t="s">
        <v>1113</v>
      </c>
    </row>
    <row r="984" spans="2:9" ht="14.45" customHeight="1" x14ac:dyDescent="0.25">
      <c r="B984" s="44" t="s">
        <v>381</v>
      </c>
      <c r="C984" s="28">
        <v>8</v>
      </c>
      <c r="D984" s="45" t="s">
        <v>2097</v>
      </c>
      <c r="E984" s="87"/>
      <c r="F984" s="87" t="str">
        <f>IF(INDEX(I.Electricity.P2C3,8)="","",INDEX(I.Electricity.P2C3,8))</f>
        <v/>
      </c>
      <c r="G984" s="87"/>
      <c r="H984" s="28" t="str">
        <f t="shared" si="13"/>
        <v>Complete</v>
      </c>
      <c r="I984" s="46" t="s">
        <v>1114</v>
      </c>
    </row>
    <row r="985" spans="2:9" ht="14.45" customHeight="1" x14ac:dyDescent="0.25">
      <c r="B985" s="44" t="s">
        <v>381</v>
      </c>
      <c r="C985" s="28">
        <v>9</v>
      </c>
      <c r="D985" s="45" t="s">
        <v>2097</v>
      </c>
      <c r="E985" s="87"/>
      <c r="F985" s="87" t="str">
        <f>IF(INDEX(I.Electricity.P2C3,9)="","",INDEX(I.Electricity.P2C3,9))</f>
        <v/>
      </c>
      <c r="G985" s="87"/>
      <c r="H985" s="28" t="str">
        <f t="shared" si="13"/>
        <v>Complete</v>
      </c>
      <c r="I985" s="46" t="s">
        <v>1115</v>
      </c>
    </row>
    <row r="986" spans="2:9" ht="14.45" customHeight="1" x14ac:dyDescent="0.25">
      <c r="B986" s="44" t="s">
        <v>381</v>
      </c>
      <c r="C986" s="28">
        <v>10</v>
      </c>
      <c r="D986" s="45" t="s">
        <v>2097</v>
      </c>
      <c r="E986" s="87"/>
      <c r="F986" s="87" t="str">
        <f>IF(INDEX(I.Electricity.P2C3,10)="","",INDEX(I.Electricity.P2C3,10))</f>
        <v/>
      </c>
      <c r="G986" s="87"/>
      <c r="H986" s="28" t="str">
        <f t="shared" si="13"/>
        <v>Complete</v>
      </c>
      <c r="I986" s="46" t="s">
        <v>1116</v>
      </c>
    </row>
    <row r="987" spans="2:9" ht="14.45" customHeight="1" x14ac:dyDescent="0.25">
      <c r="B987" s="44" t="s">
        <v>381</v>
      </c>
      <c r="C987" s="28">
        <v>11</v>
      </c>
      <c r="D987" s="45" t="s">
        <v>2097</v>
      </c>
      <c r="E987" s="87"/>
      <c r="F987" s="87" t="str">
        <f>IF(INDEX(I.Electricity.P2C3,11)="","",INDEX(I.Electricity.P2C3,11))</f>
        <v/>
      </c>
      <c r="G987" s="87"/>
      <c r="H987" s="28" t="str">
        <f t="shared" si="13"/>
        <v>Complete</v>
      </c>
      <c r="I987" s="46" t="s">
        <v>1117</v>
      </c>
    </row>
    <row r="988" spans="2:9" ht="14.45" customHeight="1" x14ac:dyDescent="0.25">
      <c r="B988" s="44" t="s">
        <v>381</v>
      </c>
      <c r="C988" s="28">
        <v>12</v>
      </c>
      <c r="D988" s="45" t="s">
        <v>2097</v>
      </c>
      <c r="E988" s="87"/>
      <c r="F988" s="87" t="str">
        <f>IF(INDEX(I.Electricity.P2C3,12)="","",INDEX(I.Electricity.P2C3,12))</f>
        <v/>
      </c>
      <c r="G988" s="87"/>
      <c r="H988" s="28" t="str">
        <f t="shared" si="13"/>
        <v>Complete</v>
      </c>
      <c r="I988" s="46" t="s">
        <v>1118</v>
      </c>
    </row>
    <row r="989" spans="2:9" ht="14.45" customHeight="1" x14ac:dyDescent="0.25">
      <c r="B989" s="44" t="s">
        <v>381</v>
      </c>
      <c r="C989" s="28">
        <v>13</v>
      </c>
      <c r="D989" s="45" t="s">
        <v>2097</v>
      </c>
      <c r="E989" s="87"/>
      <c r="F989" s="87" t="str">
        <f>IF(INDEX(I.Electricity.P2C3,13)="","",INDEX(I.Electricity.P2C3,13))</f>
        <v/>
      </c>
      <c r="G989" s="87"/>
      <c r="H989" s="28" t="str">
        <f t="shared" si="13"/>
        <v>Complete</v>
      </c>
      <c r="I989" s="46" t="s">
        <v>1119</v>
      </c>
    </row>
    <row r="990" spans="2:9" ht="14.45" customHeight="1" x14ac:dyDescent="0.25">
      <c r="B990" s="44" t="s">
        <v>381</v>
      </c>
      <c r="C990" s="28">
        <v>14</v>
      </c>
      <c r="D990" s="45" t="s">
        <v>2097</v>
      </c>
      <c r="E990" s="87"/>
      <c r="F990" s="87" t="str">
        <f>IF(INDEX(I.Electricity.P2C3,14)="","",INDEX(I.Electricity.P2C3,14))</f>
        <v/>
      </c>
      <c r="G990" s="87"/>
      <c r="H990" s="28" t="str">
        <f t="shared" si="13"/>
        <v>Complete</v>
      </c>
      <c r="I990" s="46" t="s">
        <v>1120</v>
      </c>
    </row>
    <row r="991" spans="2:9" ht="14.45" customHeight="1" x14ac:dyDescent="0.25">
      <c r="B991" s="44" t="s">
        <v>381</v>
      </c>
      <c r="C991" s="28">
        <v>15</v>
      </c>
      <c r="D991" s="45" t="s">
        <v>2097</v>
      </c>
      <c r="E991" s="87"/>
      <c r="F991" s="87" t="str">
        <f>IF(INDEX(I.Electricity.P2C3,15)="","",INDEX(I.Electricity.P2C3,15))</f>
        <v/>
      </c>
      <c r="G991" s="87"/>
      <c r="H991" s="28" t="str">
        <f t="shared" si="13"/>
        <v>Complete</v>
      </c>
      <c r="I991" s="46" t="s">
        <v>1121</v>
      </c>
    </row>
    <row r="992" spans="2:9" ht="14.45" customHeight="1" x14ac:dyDescent="0.25">
      <c r="B992" s="44" t="s">
        <v>381</v>
      </c>
      <c r="C992" s="28">
        <v>16</v>
      </c>
      <c r="D992" s="45" t="s">
        <v>2097</v>
      </c>
      <c r="E992" s="87"/>
      <c r="F992" s="87" t="str">
        <f>IF(INDEX(I.Electricity.P2C3,16)="","",INDEX(I.Electricity.P2C3,16))</f>
        <v/>
      </c>
      <c r="G992" s="87"/>
      <c r="H992" s="28" t="str">
        <f t="shared" si="13"/>
        <v>Complete</v>
      </c>
      <c r="I992" s="46" t="s">
        <v>1122</v>
      </c>
    </row>
    <row r="993" spans="2:9" ht="14.45" customHeight="1" x14ac:dyDescent="0.25">
      <c r="B993" s="44" t="s">
        <v>381</v>
      </c>
      <c r="C993" s="28">
        <v>17</v>
      </c>
      <c r="D993" s="45" t="s">
        <v>2097</v>
      </c>
      <c r="E993" s="87"/>
      <c r="F993" s="87" t="str">
        <f>IF(INDEX(I.Electricity.P2C3,17)="","",INDEX(I.Electricity.P2C3,17))</f>
        <v/>
      </c>
      <c r="G993" s="87"/>
      <c r="H993" s="28" t="str">
        <f t="shared" si="13"/>
        <v>Complete</v>
      </c>
      <c r="I993" s="46" t="s">
        <v>1123</v>
      </c>
    </row>
    <row r="994" spans="2:9" ht="14.45" customHeight="1" x14ac:dyDescent="0.25">
      <c r="B994" s="44" t="s">
        <v>381</v>
      </c>
      <c r="C994" s="28">
        <v>18</v>
      </c>
      <c r="D994" s="45" t="s">
        <v>2097</v>
      </c>
      <c r="E994" s="87"/>
      <c r="F994" s="87" t="str">
        <f>IF(INDEX(I.Electricity.P2C3,18)="","",INDEX(I.Electricity.P2C3,18))</f>
        <v/>
      </c>
      <c r="G994" s="87"/>
      <c r="H994" s="28" t="str">
        <f t="shared" si="13"/>
        <v>Complete</v>
      </c>
      <c r="I994" s="46" t="s">
        <v>1124</v>
      </c>
    </row>
    <row r="995" spans="2:9" ht="14.45" customHeight="1" x14ac:dyDescent="0.25">
      <c r="B995" s="44" t="s">
        <v>381</v>
      </c>
      <c r="C995" s="28">
        <v>19</v>
      </c>
      <c r="D995" s="45" t="s">
        <v>2097</v>
      </c>
      <c r="E995" s="87"/>
      <c r="F995" s="87" t="str">
        <f>IF(INDEX(I.Electricity.P2C3,19)="","",INDEX(I.Electricity.P2C3,19))</f>
        <v/>
      </c>
      <c r="G995" s="87"/>
      <c r="H995" s="28" t="str">
        <f t="shared" si="13"/>
        <v>Complete</v>
      </c>
      <c r="I995" s="46" t="s">
        <v>1125</v>
      </c>
    </row>
    <row r="996" spans="2:9" ht="14.45" customHeight="1" x14ac:dyDescent="0.25">
      <c r="B996" s="44" t="s">
        <v>381</v>
      </c>
      <c r="C996" s="28">
        <v>20</v>
      </c>
      <c r="D996" s="45" t="s">
        <v>2097</v>
      </c>
      <c r="E996" s="87"/>
      <c r="F996" s="87" t="str">
        <f>IF(INDEX(I.Electricity.P2C3,20)="","",INDEX(I.Electricity.P2C3,20))</f>
        <v/>
      </c>
      <c r="G996" s="87"/>
      <c r="H996" s="28" t="str">
        <f t="shared" si="13"/>
        <v>Complete</v>
      </c>
      <c r="I996" s="46" t="s">
        <v>1126</v>
      </c>
    </row>
    <row r="997" spans="2:9" ht="14.45" customHeight="1" x14ac:dyDescent="0.25">
      <c r="B997" s="53" t="s">
        <v>381</v>
      </c>
      <c r="C997" s="66">
        <v>21</v>
      </c>
      <c r="D997" s="54" t="s">
        <v>2097</v>
      </c>
      <c r="E997" s="88"/>
      <c r="F997" s="88" t="str">
        <f>IF(INDEX(I.Electricity.P2C3,21)="","",INDEX(I.Electricity.P2C3,21))</f>
        <v/>
      </c>
      <c r="G997" s="88"/>
      <c r="H997" s="66" t="str">
        <f t="shared" si="13"/>
        <v>Complete</v>
      </c>
      <c r="I997" s="68" t="s">
        <v>1127</v>
      </c>
    </row>
    <row r="998" spans="2:9" ht="14.45" customHeight="1" x14ac:dyDescent="0.25">
      <c r="B998" s="44" t="s">
        <v>382</v>
      </c>
      <c r="C998" s="28">
        <v>1</v>
      </c>
      <c r="D998" s="45" t="s">
        <v>2098</v>
      </c>
      <c r="E998" s="87"/>
      <c r="F998" s="87" t="str">
        <f>IF(INDEX(I.Electricity.P2C4,1)="","",INDEX(I.Electricity.P2C4,1))</f>
        <v/>
      </c>
      <c r="G998" s="87"/>
      <c r="H998" s="28" t="str">
        <f>IF(AND(I.Facility.ProductCount&gt;=2,I.Product.P2Electricity="Yes",I.Developer.P2C4=TRUE,F998=""),"Incomplete","Complete")</f>
        <v>Complete</v>
      </c>
      <c r="I998" s="46" t="s">
        <v>1128</v>
      </c>
    </row>
    <row r="999" spans="2:9" ht="14.45" customHeight="1" x14ac:dyDescent="0.25">
      <c r="B999" s="44" t="s">
        <v>382</v>
      </c>
      <c r="C999" s="28">
        <v>2</v>
      </c>
      <c r="D999" s="45" t="s">
        <v>2098</v>
      </c>
      <c r="E999" s="87"/>
      <c r="F999" s="87" t="str">
        <f>IF(INDEX(I.Electricity.P2C4,2)="","",INDEX(I.Electricity.P2C4,2))</f>
        <v/>
      </c>
      <c r="G999" s="87"/>
      <c r="H999" s="28" t="str">
        <f>IF(AND(I.Facility.ProductCount&gt;=2,I.Product.P2Electricity="Yes",I.Developer.P2C4=TRUE,F999=""),"Incomplete","Complete")</f>
        <v>Complete</v>
      </c>
      <c r="I999" s="46" t="s">
        <v>1129</v>
      </c>
    </row>
    <row r="1000" spans="2:9" ht="14.45" customHeight="1" x14ac:dyDescent="0.25">
      <c r="B1000" s="53" t="s">
        <v>382</v>
      </c>
      <c r="C1000" s="66">
        <v>3</v>
      </c>
      <c r="D1000" s="54" t="s">
        <v>2098</v>
      </c>
      <c r="E1000" s="88"/>
      <c r="F1000" s="88" t="str">
        <f>IF(INDEX(I.Electricity.P2C4,3)="","",INDEX(I.Electricity.P2C4,3))</f>
        <v/>
      </c>
      <c r="G1000" s="88"/>
      <c r="H1000" s="66" t="str">
        <f>IF(AND(I.Facility.ProductCount&gt;=2,I.Product.P2Electricity="Yes",I.Developer.P2C4=TRUE,F1000=""),"Incomplete","Complete")</f>
        <v>Complete</v>
      </c>
      <c r="I1000" s="68" t="s">
        <v>1130</v>
      </c>
    </row>
    <row r="1001" spans="2:9" ht="14.45" customHeight="1" x14ac:dyDescent="0.25">
      <c r="B1001" s="44" t="s">
        <v>383</v>
      </c>
      <c r="C1001" s="28">
        <v>1</v>
      </c>
      <c r="D1001" s="45" t="s">
        <v>2099</v>
      </c>
      <c r="E1001" s="87"/>
      <c r="F1001" s="87" t="str">
        <f>IF(INDEX(I.Electricity.P2C5,1)="","",INDEX(I.Electricity.P2C5,1))</f>
        <v/>
      </c>
      <c r="G1001" s="87"/>
      <c r="H1001" s="28" t="str">
        <f>IF(AND(I.Facility.ProductCount&gt;=2,I.Product.P2Electricity="Yes",I.Developer.P2C5=TRUE,F1001=""),"Incomplete","Complete")</f>
        <v>Complete</v>
      </c>
      <c r="I1001" s="46" t="s">
        <v>1131</v>
      </c>
    </row>
    <row r="1002" spans="2:9" ht="14.45" customHeight="1" x14ac:dyDescent="0.25">
      <c r="B1002" s="44" t="s">
        <v>383</v>
      </c>
      <c r="C1002" s="28">
        <v>2</v>
      </c>
      <c r="D1002" s="45" t="s">
        <v>2099</v>
      </c>
      <c r="E1002" s="87"/>
      <c r="F1002" s="87" t="str">
        <f>IF(INDEX(I.Electricity.P2C5,2)="","",INDEX(I.Electricity.P2C5,2))</f>
        <v/>
      </c>
      <c r="G1002" s="87"/>
      <c r="H1002" s="28" t="str">
        <f>IF(AND(I.Facility.ProductCount&gt;=2,I.Product.P2Electricity="Yes",I.Developer.P2C5=TRUE,F1002=""),"Incomplete","Complete")</f>
        <v>Complete</v>
      </c>
      <c r="I1002" s="46" t="s">
        <v>1132</v>
      </c>
    </row>
    <row r="1003" spans="2:9" ht="14.45" customHeight="1" x14ac:dyDescent="0.25">
      <c r="B1003" s="53" t="s">
        <v>383</v>
      </c>
      <c r="C1003" s="66">
        <v>3</v>
      </c>
      <c r="D1003" s="54" t="s">
        <v>2099</v>
      </c>
      <c r="E1003" s="88"/>
      <c r="F1003" s="88" t="str">
        <f>IF(INDEX(I.Electricity.P2C5,3)="","",INDEX(I.Electricity.P2C5,3))</f>
        <v/>
      </c>
      <c r="G1003" s="88"/>
      <c r="H1003" s="66" t="str">
        <f>IF(AND(I.Facility.ProductCount&gt;=2,I.Product.P2Electricity="Yes",I.Developer.P2C5=TRUE,F1003=""),"Incomplete","Complete")</f>
        <v>Complete</v>
      </c>
      <c r="I1003" s="68" t="s">
        <v>1133</v>
      </c>
    </row>
    <row r="1004" spans="2:9" ht="14.45" customHeight="1" x14ac:dyDescent="0.25">
      <c r="B1004" s="44" t="s">
        <v>384</v>
      </c>
      <c r="C1004" s="28">
        <v>1</v>
      </c>
      <c r="D1004" s="45" t="s">
        <v>2100</v>
      </c>
      <c r="E1004" s="87"/>
      <c r="F1004" s="87" t="str">
        <f>IF(INDEX(I.Electricity.P2C6,1)="","",INDEX(I.Electricity.P2C6,1))</f>
        <v/>
      </c>
      <c r="G1004" s="87"/>
      <c r="H1004" s="28" t="str">
        <f>IF(AND(I.Facility.ProductCount&gt;=2,I.Product.P2Electricity="Yes",I.Developer.P2C6=TRUE,F1004=""),"Incomplete","Complete")</f>
        <v>Complete</v>
      </c>
      <c r="I1004" s="46" t="s">
        <v>1134</v>
      </c>
    </row>
    <row r="1005" spans="2:9" ht="14.45" customHeight="1" x14ac:dyDescent="0.25">
      <c r="B1005" s="44" t="s">
        <v>384</v>
      </c>
      <c r="C1005" s="28">
        <v>2</v>
      </c>
      <c r="D1005" s="45" t="s">
        <v>2100</v>
      </c>
      <c r="E1005" s="87"/>
      <c r="F1005" s="87" t="str">
        <f>IF(INDEX(I.Electricity.P2C6,2)="","",INDEX(I.Electricity.P2C6,2))</f>
        <v/>
      </c>
      <c r="G1005" s="87"/>
      <c r="H1005" s="28" t="str">
        <f>IF(AND(I.Facility.ProductCount&gt;=2,I.Product.P2Electricity="Yes",I.Developer.P2C6=TRUE,F1005=""),"Incomplete","Complete")</f>
        <v>Complete</v>
      </c>
      <c r="I1005" s="46" t="s">
        <v>1135</v>
      </c>
    </row>
    <row r="1006" spans="2:9" ht="14.45" customHeight="1" x14ac:dyDescent="0.25">
      <c r="B1006" s="53" t="s">
        <v>384</v>
      </c>
      <c r="C1006" s="66">
        <v>3</v>
      </c>
      <c r="D1006" s="54" t="s">
        <v>2100</v>
      </c>
      <c r="E1006" s="88"/>
      <c r="F1006" s="88" t="str">
        <f>IF(INDEX(I.Electricity.P2C6,3)="","",INDEX(I.Electricity.P2C6,3))</f>
        <v/>
      </c>
      <c r="G1006" s="88"/>
      <c r="H1006" s="66" t="str">
        <f>IF(AND(I.Facility.ProductCount&gt;=2,I.Product.P2Electricity="Yes",I.Developer.P2C6=TRUE,F1006=""),"Incomplete","Complete")</f>
        <v>Complete</v>
      </c>
      <c r="I1006" s="68" t="s">
        <v>1136</v>
      </c>
    </row>
    <row r="1007" spans="2:9" ht="14.45" customHeight="1" x14ac:dyDescent="0.25">
      <c r="B1007" s="44" t="s">
        <v>385</v>
      </c>
      <c r="C1007" s="28">
        <v>1</v>
      </c>
      <c r="D1007" s="45" t="s">
        <v>2101</v>
      </c>
      <c r="E1007" s="87"/>
      <c r="F1007" s="87" t="str">
        <f>IF(INDEX(I.Electricity.P2C7,1)="","",INDEX(I.Electricity.P2C7,1))</f>
        <v/>
      </c>
      <c r="G1007" s="87"/>
      <c r="H1007" s="28" t="str">
        <f>IF(AND(I.Facility.ProductCount&gt;=2,I.Product.P2Electricity="Yes",I.Developer.P2C7=TRUE,F1007=""),"Incomplete","Complete")</f>
        <v>Complete</v>
      </c>
      <c r="I1007" s="46" t="s">
        <v>1137</v>
      </c>
    </row>
    <row r="1008" spans="2:9" ht="14.45" customHeight="1" x14ac:dyDescent="0.25">
      <c r="B1008" s="44" t="s">
        <v>385</v>
      </c>
      <c r="C1008" s="28">
        <v>2</v>
      </c>
      <c r="D1008" s="45" t="s">
        <v>2101</v>
      </c>
      <c r="E1008" s="87"/>
      <c r="F1008" s="87" t="str">
        <f>IF(INDEX(I.Electricity.P2C7,2)="","",INDEX(I.Electricity.P2C7,2))</f>
        <v/>
      </c>
      <c r="G1008" s="87"/>
      <c r="H1008" s="28" t="str">
        <f>IF(AND(I.Facility.ProductCount&gt;=2,I.Product.P2Electricity="Yes",I.Developer.P2C7=TRUE,F1008=""),"Incomplete","Complete")</f>
        <v>Complete</v>
      </c>
      <c r="I1008" s="46" t="s">
        <v>1138</v>
      </c>
    </row>
    <row r="1009" spans="2:9" ht="14.45" customHeight="1" x14ac:dyDescent="0.25">
      <c r="B1009" s="53" t="s">
        <v>385</v>
      </c>
      <c r="C1009" s="66">
        <v>3</v>
      </c>
      <c r="D1009" s="54" t="s">
        <v>2101</v>
      </c>
      <c r="E1009" s="88"/>
      <c r="F1009" s="88" t="str">
        <f>IF(INDEX(I.Electricity.P2C7,3)="","",INDEX(I.Electricity.P2C7,3))</f>
        <v/>
      </c>
      <c r="G1009" s="88"/>
      <c r="H1009" s="66" t="str">
        <f>IF(AND(I.Facility.ProductCount&gt;=2,I.Product.P2Electricity="Yes",I.Developer.P2C7=TRUE,F1009=""),"Incomplete","Complete")</f>
        <v>Complete</v>
      </c>
      <c r="I1009" s="68" t="s">
        <v>1139</v>
      </c>
    </row>
    <row r="1010" spans="2:9" ht="14.45" customHeight="1" x14ac:dyDescent="0.25">
      <c r="B1010" s="44" t="s">
        <v>386</v>
      </c>
      <c r="C1010" s="28">
        <v>1</v>
      </c>
      <c r="D1010" s="45" t="s">
        <v>2102</v>
      </c>
      <c r="E1010" s="87"/>
      <c r="F1010" s="87" t="str">
        <f>IF(INDEX(I.Electricity.P2C8,1)="","",INDEX(I.Electricity.P2C8,1))</f>
        <v/>
      </c>
      <c r="G1010" s="87"/>
      <c r="H1010" s="28" t="str">
        <f>IF(AND(I.Facility.ProductCount&gt;=2,I.Product.P2Electricity="Yes",I.Developer.P2C8=TRUE,F1010=""),"Incomplete","Complete")</f>
        <v>Complete</v>
      </c>
      <c r="I1010" s="46" t="s">
        <v>1140</v>
      </c>
    </row>
    <row r="1011" spans="2:9" ht="14.45" customHeight="1" x14ac:dyDescent="0.25">
      <c r="B1011" s="44" t="s">
        <v>386</v>
      </c>
      <c r="C1011" s="28">
        <v>2</v>
      </c>
      <c r="D1011" s="45" t="s">
        <v>2102</v>
      </c>
      <c r="E1011" s="87"/>
      <c r="F1011" s="87" t="str">
        <f>IF(INDEX(I.Electricity.P2C8,2)="","",INDEX(I.Electricity.P2C8,2))</f>
        <v/>
      </c>
      <c r="G1011" s="87"/>
      <c r="H1011" s="28" t="str">
        <f>IF(AND(I.Facility.ProductCount&gt;=2,I.Product.P2Electricity="Yes",I.Developer.P2C8=TRUE,F1011=""),"Incomplete","Complete")</f>
        <v>Complete</v>
      </c>
      <c r="I1011" s="46" t="s">
        <v>1141</v>
      </c>
    </row>
    <row r="1012" spans="2:9" ht="14.45" customHeight="1" x14ac:dyDescent="0.25">
      <c r="B1012" s="53" t="s">
        <v>386</v>
      </c>
      <c r="C1012" s="66">
        <v>3</v>
      </c>
      <c r="D1012" s="54" t="s">
        <v>2102</v>
      </c>
      <c r="E1012" s="88"/>
      <c r="F1012" s="88" t="str">
        <f>IF(INDEX(I.Electricity.P2C8,3)="","",INDEX(I.Electricity.P2C8,3))</f>
        <v/>
      </c>
      <c r="G1012" s="88"/>
      <c r="H1012" s="66" t="str">
        <f>IF(AND(I.Facility.ProductCount&gt;=2,I.Product.P2Electricity="Yes",I.Developer.P2C8=TRUE,F1012=""),"Incomplete","Complete")</f>
        <v>Complete</v>
      </c>
      <c r="I1012" s="68" t="s">
        <v>1142</v>
      </c>
    </row>
    <row r="1013" spans="2:9" ht="14.45" customHeight="1" x14ac:dyDescent="0.25">
      <c r="B1013" s="44" t="s">
        <v>387</v>
      </c>
      <c r="C1013" s="28">
        <v>1</v>
      </c>
      <c r="D1013" s="45" t="s">
        <v>2103</v>
      </c>
      <c r="E1013" s="87"/>
      <c r="F1013" s="87" t="str">
        <f>IF(INDEX(I.Electricity.P2C9,1)="","",INDEX(I.Electricity.P2C9,1))</f>
        <v/>
      </c>
      <c r="G1013" s="87"/>
      <c r="H1013" s="28" t="str">
        <f>IF(AND(I.Facility.ProductCount&gt;=2,I.Product.P2Electricity="Yes",I.Developer.P2C9=TRUE,F1013=""),"Incomplete","Complete")</f>
        <v>Complete</v>
      </c>
      <c r="I1013" s="46" t="s">
        <v>1143</v>
      </c>
    </row>
    <row r="1014" spans="2:9" ht="14.45" customHeight="1" x14ac:dyDescent="0.25">
      <c r="B1014" s="44" t="s">
        <v>387</v>
      </c>
      <c r="C1014" s="28">
        <v>2</v>
      </c>
      <c r="D1014" s="45" t="s">
        <v>2103</v>
      </c>
      <c r="E1014" s="87"/>
      <c r="F1014" s="87" t="str">
        <f>IF(INDEX(I.Electricity.P2C9,2)="","",INDEX(I.Electricity.P2C9,2))</f>
        <v/>
      </c>
      <c r="G1014" s="87"/>
      <c r="H1014" s="28" t="str">
        <f>IF(AND(I.Facility.ProductCount&gt;=2,I.Product.P2Electricity="Yes",I.Developer.P2C9=TRUE,F1014=""),"Incomplete","Complete")</f>
        <v>Complete</v>
      </c>
      <c r="I1014" s="46" t="s">
        <v>1144</v>
      </c>
    </row>
    <row r="1015" spans="2:9" ht="14.45" customHeight="1" x14ac:dyDescent="0.25">
      <c r="B1015" s="53" t="s">
        <v>387</v>
      </c>
      <c r="C1015" s="66">
        <v>3</v>
      </c>
      <c r="D1015" s="54" t="s">
        <v>2103</v>
      </c>
      <c r="E1015" s="88"/>
      <c r="F1015" s="88" t="str">
        <f>IF(INDEX(I.Electricity.P2C9,3)="","",INDEX(I.Electricity.P2C9,3))</f>
        <v/>
      </c>
      <c r="G1015" s="88"/>
      <c r="H1015" s="66" t="str">
        <f>IF(AND(I.Facility.ProductCount&gt;=2,I.Product.P2Electricity="Yes",I.Developer.P2C9=TRUE,F1015=""),"Incomplete","Complete")</f>
        <v>Complete</v>
      </c>
      <c r="I1015" s="68" t="s">
        <v>1145</v>
      </c>
    </row>
    <row r="1016" spans="2:9" ht="14.45" customHeight="1" x14ac:dyDescent="0.25">
      <c r="B1016" s="44" t="s">
        <v>388</v>
      </c>
      <c r="C1016" s="28">
        <v>1</v>
      </c>
      <c r="D1016" s="45" t="s">
        <v>2104</v>
      </c>
      <c r="E1016" s="87"/>
      <c r="F1016" s="87" t="str">
        <f>IF(INDEX(I.Electricity.P3C1,1)="","",INDEX(I.Electricity.P3C1,1))</f>
        <v/>
      </c>
      <c r="G1016" s="87"/>
      <c r="H1016" s="28" t="str">
        <f>IF(AND(I.Facility.ProductCount&gt;=3,I.Product.P3Electricity="Yes",I.Developer.P3C1=TRUE,F1016=""),"Incomplete","Complete")</f>
        <v>Complete</v>
      </c>
      <c r="I1016" s="46" t="s">
        <v>1148</v>
      </c>
    </row>
    <row r="1017" spans="2:9" ht="14.45" customHeight="1" x14ac:dyDescent="0.25">
      <c r="B1017" s="44" t="s">
        <v>388</v>
      </c>
      <c r="C1017" s="28">
        <v>2</v>
      </c>
      <c r="D1017" s="45" t="s">
        <v>2104</v>
      </c>
      <c r="E1017" s="87"/>
      <c r="F1017" s="87" t="str">
        <f>IF(INDEX(I.Electricity.P3C1,2)="","",INDEX(I.Electricity.P3C1,2))</f>
        <v/>
      </c>
      <c r="G1017" s="87"/>
      <c r="H1017" s="28" t="str">
        <f>IF(AND(I.Facility.ProductCount&gt;=3,I.Product.P3Electricity="Yes",I.Developer.P3C1=TRUE,F1017=""),"Incomplete","Complete")</f>
        <v>Complete</v>
      </c>
      <c r="I1017" s="46" t="s">
        <v>1149</v>
      </c>
    </row>
    <row r="1018" spans="2:9" ht="14.45" customHeight="1" x14ac:dyDescent="0.25">
      <c r="B1018" s="53" t="s">
        <v>388</v>
      </c>
      <c r="C1018" s="66">
        <v>3</v>
      </c>
      <c r="D1018" s="54" t="s">
        <v>2104</v>
      </c>
      <c r="E1018" s="88"/>
      <c r="F1018" s="88" t="str">
        <f>IF(INDEX(I.Electricity.P3C1,3)="","",INDEX(I.Electricity.P3C1,3))</f>
        <v/>
      </c>
      <c r="G1018" s="88"/>
      <c r="H1018" s="66" t="str">
        <f>IF(AND(I.Facility.ProductCount&gt;=3,I.Product.P3Electricity="Yes",I.Developer.P3C1=TRUE,F1018=""),"Incomplete","Complete")</f>
        <v>Complete</v>
      </c>
      <c r="I1018" s="68" t="s">
        <v>1150</v>
      </c>
    </row>
    <row r="1019" spans="2:9" ht="14.45" customHeight="1" x14ac:dyDescent="0.25">
      <c r="B1019" s="44" t="s">
        <v>389</v>
      </c>
      <c r="C1019" s="28">
        <v>1</v>
      </c>
      <c r="D1019" s="45" t="s">
        <v>2105</v>
      </c>
      <c r="E1019" s="87"/>
      <c r="F1019" s="87" t="str">
        <f>IF(INDEX(I.Electricity.P3C2,1)="","",INDEX(I.Electricity.P3C2,1))</f>
        <v/>
      </c>
      <c r="G1019" s="87"/>
      <c r="H1019" s="28" t="str">
        <f t="shared" ref="H1019:H1042" si="14">IF(AND(I.Facility.ProductCount&gt;=3,I.Product.P3Electricity="Yes",I.Developer.P3C2=TRUE,F1019=""),"Incomplete","Complete")</f>
        <v>Complete</v>
      </c>
      <c r="I1019" s="46" t="s">
        <v>1151</v>
      </c>
    </row>
    <row r="1020" spans="2:9" ht="14.45" customHeight="1" x14ac:dyDescent="0.25">
      <c r="B1020" s="44" t="s">
        <v>389</v>
      </c>
      <c r="C1020" s="28">
        <v>2</v>
      </c>
      <c r="D1020" s="45" t="s">
        <v>2105</v>
      </c>
      <c r="E1020" s="87"/>
      <c r="F1020" s="87" t="str">
        <f>IF(INDEX(I.Electricity.P3C2,2)="","",INDEX(I.Electricity.P3C2,2))</f>
        <v/>
      </c>
      <c r="G1020" s="87"/>
      <c r="H1020" s="28" t="str">
        <f t="shared" si="14"/>
        <v>Complete</v>
      </c>
      <c r="I1020" s="46" t="s">
        <v>1152</v>
      </c>
    </row>
    <row r="1021" spans="2:9" ht="14.45" customHeight="1" x14ac:dyDescent="0.25">
      <c r="B1021" s="44" t="s">
        <v>389</v>
      </c>
      <c r="C1021" s="28">
        <v>3</v>
      </c>
      <c r="D1021" s="45" t="s">
        <v>2105</v>
      </c>
      <c r="E1021" s="87"/>
      <c r="F1021" s="87" t="str">
        <f>IF(INDEX(I.Electricity.P3C2,3)="","",INDEX(I.Electricity.P3C2,3))</f>
        <v/>
      </c>
      <c r="G1021" s="87"/>
      <c r="H1021" s="28" t="str">
        <f t="shared" si="14"/>
        <v>Complete</v>
      </c>
      <c r="I1021" s="46" t="s">
        <v>1153</v>
      </c>
    </row>
    <row r="1022" spans="2:9" ht="14.45" customHeight="1" x14ac:dyDescent="0.25">
      <c r="B1022" s="44" t="s">
        <v>389</v>
      </c>
      <c r="C1022" s="28">
        <v>4</v>
      </c>
      <c r="D1022" s="45" t="s">
        <v>2105</v>
      </c>
      <c r="E1022" s="87"/>
      <c r="F1022" s="87" t="str">
        <f>IF(INDEX(I.Electricity.P3C2,4)="","",INDEX(I.Electricity.P3C2,4))</f>
        <v/>
      </c>
      <c r="G1022" s="87"/>
      <c r="H1022" s="28" t="str">
        <f t="shared" si="14"/>
        <v>Complete</v>
      </c>
      <c r="I1022" s="46" t="s">
        <v>1154</v>
      </c>
    </row>
    <row r="1023" spans="2:9" ht="14.45" customHeight="1" x14ac:dyDescent="0.25">
      <c r="B1023" s="44" t="s">
        <v>389</v>
      </c>
      <c r="C1023" s="28">
        <v>5</v>
      </c>
      <c r="D1023" s="45" t="s">
        <v>2105</v>
      </c>
      <c r="E1023" s="87"/>
      <c r="F1023" s="87" t="str">
        <f>IF(INDEX(I.Electricity.P3C2,5)="","",INDEX(I.Electricity.P3C2,5))</f>
        <v/>
      </c>
      <c r="G1023" s="87"/>
      <c r="H1023" s="28" t="str">
        <f t="shared" si="14"/>
        <v>Complete</v>
      </c>
      <c r="I1023" s="46" t="s">
        <v>1155</v>
      </c>
    </row>
    <row r="1024" spans="2:9" ht="14.45" customHeight="1" x14ac:dyDescent="0.25">
      <c r="B1024" s="44" t="s">
        <v>389</v>
      </c>
      <c r="C1024" s="28">
        <v>6</v>
      </c>
      <c r="D1024" s="45" t="s">
        <v>2105</v>
      </c>
      <c r="E1024" s="87"/>
      <c r="F1024" s="87" t="str">
        <f>IF(INDEX(I.Electricity.P3C2,6)="","",INDEX(I.Electricity.P3C2,6))</f>
        <v/>
      </c>
      <c r="G1024" s="87"/>
      <c r="H1024" s="28" t="str">
        <f t="shared" si="14"/>
        <v>Complete</v>
      </c>
      <c r="I1024" s="46" t="s">
        <v>1156</v>
      </c>
    </row>
    <row r="1025" spans="2:9" ht="14.45" customHeight="1" x14ac:dyDescent="0.25">
      <c r="B1025" s="44" t="s">
        <v>389</v>
      </c>
      <c r="C1025" s="28">
        <v>7</v>
      </c>
      <c r="D1025" s="45" t="s">
        <v>2105</v>
      </c>
      <c r="E1025" s="87"/>
      <c r="F1025" s="87" t="str">
        <f>IF(INDEX(I.Electricity.P3C2,7)="","",INDEX(I.Electricity.P3C2,7))</f>
        <v/>
      </c>
      <c r="G1025" s="87"/>
      <c r="H1025" s="28" t="str">
        <f t="shared" si="14"/>
        <v>Complete</v>
      </c>
      <c r="I1025" s="46" t="s">
        <v>1157</v>
      </c>
    </row>
    <row r="1026" spans="2:9" ht="14.45" customHeight="1" x14ac:dyDescent="0.25">
      <c r="B1026" s="44" t="s">
        <v>389</v>
      </c>
      <c r="C1026" s="28">
        <v>8</v>
      </c>
      <c r="D1026" s="45" t="s">
        <v>2105</v>
      </c>
      <c r="E1026" s="87"/>
      <c r="F1026" s="87" t="str">
        <f>IF(INDEX(I.Electricity.P3C2,8)="","",INDEX(I.Electricity.P3C2,8))</f>
        <v/>
      </c>
      <c r="G1026" s="87"/>
      <c r="H1026" s="28" t="str">
        <f t="shared" si="14"/>
        <v>Complete</v>
      </c>
      <c r="I1026" s="46" t="s">
        <v>1158</v>
      </c>
    </row>
    <row r="1027" spans="2:9" ht="14.45" customHeight="1" x14ac:dyDescent="0.25">
      <c r="B1027" s="44" t="s">
        <v>389</v>
      </c>
      <c r="C1027" s="28">
        <v>9</v>
      </c>
      <c r="D1027" s="45" t="s">
        <v>2105</v>
      </c>
      <c r="E1027" s="87"/>
      <c r="F1027" s="87" t="str">
        <f>IF(INDEX(I.Electricity.P3C2,9)="","",INDEX(I.Electricity.P3C2,9))</f>
        <v/>
      </c>
      <c r="G1027" s="87"/>
      <c r="H1027" s="28" t="str">
        <f t="shared" si="14"/>
        <v>Complete</v>
      </c>
      <c r="I1027" s="46" t="s">
        <v>1159</v>
      </c>
    </row>
    <row r="1028" spans="2:9" ht="14.45" customHeight="1" x14ac:dyDescent="0.25">
      <c r="B1028" s="44" t="s">
        <v>389</v>
      </c>
      <c r="C1028" s="28">
        <v>10</v>
      </c>
      <c r="D1028" s="45" t="s">
        <v>2105</v>
      </c>
      <c r="E1028" s="87"/>
      <c r="F1028" s="87" t="str">
        <f>IF(INDEX(I.Electricity.P3C2,10)="","",INDEX(I.Electricity.P3C2,10))</f>
        <v/>
      </c>
      <c r="G1028" s="87"/>
      <c r="H1028" s="28" t="str">
        <f t="shared" si="14"/>
        <v>Complete</v>
      </c>
      <c r="I1028" s="46" t="s">
        <v>1160</v>
      </c>
    </row>
    <row r="1029" spans="2:9" ht="14.45" customHeight="1" x14ac:dyDescent="0.25">
      <c r="B1029" s="44" t="s">
        <v>389</v>
      </c>
      <c r="C1029" s="28">
        <v>11</v>
      </c>
      <c r="D1029" s="45" t="s">
        <v>2105</v>
      </c>
      <c r="E1029" s="87"/>
      <c r="F1029" s="87" t="str">
        <f>IF(INDEX(I.Electricity.P3C2,11)="","",INDEX(I.Electricity.P3C2,11))</f>
        <v/>
      </c>
      <c r="G1029" s="87"/>
      <c r="H1029" s="28" t="str">
        <f t="shared" si="14"/>
        <v>Complete</v>
      </c>
      <c r="I1029" s="46" t="s">
        <v>1161</v>
      </c>
    </row>
    <row r="1030" spans="2:9" ht="14.45" customHeight="1" x14ac:dyDescent="0.25">
      <c r="B1030" s="44" t="s">
        <v>389</v>
      </c>
      <c r="C1030" s="28">
        <v>12</v>
      </c>
      <c r="D1030" s="45" t="s">
        <v>2105</v>
      </c>
      <c r="E1030" s="87"/>
      <c r="F1030" s="87" t="str">
        <f>IF(INDEX(I.Electricity.P3C2,12)="","",INDEX(I.Electricity.P3C2,12))</f>
        <v/>
      </c>
      <c r="G1030" s="87"/>
      <c r="H1030" s="28" t="str">
        <f t="shared" si="14"/>
        <v>Complete</v>
      </c>
      <c r="I1030" s="46" t="s">
        <v>1162</v>
      </c>
    </row>
    <row r="1031" spans="2:9" ht="14.45" customHeight="1" x14ac:dyDescent="0.25">
      <c r="B1031" s="44" t="s">
        <v>389</v>
      </c>
      <c r="C1031" s="28">
        <v>13</v>
      </c>
      <c r="D1031" s="45" t="s">
        <v>2105</v>
      </c>
      <c r="E1031" s="87"/>
      <c r="F1031" s="87" t="str">
        <f>IF(INDEX(I.Electricity.P3C2,13)="","",INDEX(I.Electricity.P3C2,13))</f>
        <v/>
      </c>
      <c r="G1031" s="87"/>
      <c r="H1031" s="28" t="str">
        <f t="shared" si="14"/>
        <v>Complete</v>
      </c>
      <c r="I1031" s="46" t="s">
        <v>1163</v>
      </c>
    </row>
    <row r="1032" spans="2:9" ht="14.45" customHeight="1" x14ac:dyDescent="0.25">
      <c r="B1032" s="44" t="s">
        <v>389</v>
      </c>
      <c r="C1032" s="28">
        <v>14</v>
      </c>
      <c r="D1032" s="45" t="s">
        <v>2105</v>
      </c>
      <c r="E1032" s="87"/>
      <c r="F1032" s="87" t="str">
        <f>IF(INDEX(I.Electricity.P3C2,14)="","",INDEX(I.Electricity.P3C2,14))</f>
        <v/>
      </c>
      <c r="G1032" s="87"/>
      <c r="H1032" s="28" t="str">
        <f t="shared" si="14"/>
        <v>Complete</v>
      </c>
      <c r="I1032" s="46" t="s">
        <v>1164</v>
      </c>
    </row>
    <row r="1033" spans="2:9" ht="14.45" customHeight="1" x14ac:dyDescent="0.25">
      <c r="B1033" s="44" t="s">
        <v>389</v>
      </c>
      <c r="C1033" s="28">
        <v>15</v>
      </c>
      <c r="D1033" s="45" t="s">
        <v>2105</v>
      </c>
      <c r="E1033" s="87"/>
      <c r="F1033" s="87" t="str">
        <f>IF(INDEX(I.Electricity.P3C2,15)="","",INDEX(I.Electricity.P3C2,15))</f>
        <v/>
      </c>
      <c r="G1033" s="87"/>
      <c r="H1033" s="28" t="str">
        <f t="shared" si="14"/>
        <v>Complete</v>
      </c>
      <c r="I1033" s="46" t="s">
        <v>1165</v>
      </c>
    </row>
    <row r="1034" spans="2:9" ht="14.45" customHeight="1" x14ac:dyDescent="0.25">
      <c r="B1034" s="44" t="s">
        <v>389</v>
      </c>
      <c r="C1034" s="28">
        <v>16</v>
      </c>
      <c r="D1034" s="45" t="s">
        <v>2105</v>
      </c>
      <c r="E1034" s="87"/>
      <c r="F1034" s="87" t="str">
        <f>IF(INDEX(I.Electricity.P3C2,16)="","",INDEX(I.Electricity.P3C2,16))</f>
        <v/>
      </c>
      <c r="G1034" s="87"/>
      <c r="H1034" s="28" t="str">
        <f t="shared" si="14"/>
        <v>Complete</v>
      </c>
      <c r="I1034" s="46" t="s">
        <v>1166</v>
      </c>
    </row>
    <row r="1035" spans="2:9" ht="14.45" customHeight="1" x14ac:dyDescent="0.25">
      <c r="B1035" s="44" t="s">
        <v>389</v>
      </c>
      <c r="C1035" s="28">
        <v>17</v>
      </c>
      <c r="D1035" s="45" t="s">
        <v>2105</v>
      </c>
      <c r="E1035" s="87"/>
      <c r="F1035" s="87" t="str">
        <f>IF(INDEX(I.Electricity.P3C2,17)="","",INDEX(I.Electricity.P3C2,17))</f>
        <v/>
      </c>
      <c r="G1035" s="87"/>
      <c r="H1035" s="28" t="str">
        <f t="shared" si="14"/>
        <v>Complete</v>
      </c>
      <c r="I1035" s="46" t="s">
        <v>1167</v>
      </c>
    </row>
    <row r="1036" spans="2:9" ht="14.45" customHeight="1" x14ac:dyDescent="0.25">
      <c r="B1036" s="44" t="s">
        <v>389</v>
      </c>
      <c r="C1036" s="28">
        <v>18</v>
      </c>
      <c r="D1036" s="45" t="s">
        <v>2105</v>
      </c>
      <c r="E1036" s="87"/>
      <c r="F1036" s="87" t="str">
        <f>IF(INDEX(I.Electricity.P3C2,18)="","",INDEX(I.Electricity.P3C2,18))</f>
        <v/>
      </c>
      <c r="G1036" s="87"/>
      <c r="H1036" s="28" t="str">
        <f t="shared" si="14"/>
        <v>Complete</v>
      </c>
      <c r="I1036" s="46" t="s">
        <v>1168</v>
      </c>
    </row>
    <row r="1037" spans="2:9" ht="14.45" customHeight="1" x14ac:dyDescent="0.25">
      <c r="B1037" s="44" t="s">
        <v>389</v>
      </c>
      <c r="C1037" s="28">
        <v>19</v>
      </c>
      <c r="D1037" s="45" t="s">
        <v>2105</v>
      </c>
      <c r="E1037" s="87"/>
      <c r="F1037" s="87" t="str">
        <f>IF(INDEX(I.Electricity.P3C2,19)="","",INDEX(I.Electricity.P3C2,19))</f>
        <v/>
      </c>
      <c r="G1037" s="87"/>
      <c r="H1037" s="28" t="str">
        <f t="shared" si="14"/>
        <v>Complete</v>
      </c>
      <c r="I1037" s="46" t="s">
        <v>1169</v>
      </c>
    </row>
    <row r="1038" spans="2:9" ht="14.45" customHeight="1" x14ac:dyDescent="0.25">
      <c r="B1038" s="44" t="s">
        <v>389</v>
      </c>
      <c r="C1038" s="28">
        <v>20</v>
      </c>
      <c r="D1038" s="45" t="s">
        <v>2105</v>
      </c>
      <c r="E1038" s="87"/>
      <c r="F1038" s="87" t="str">
        <f>IF(INDEX(I.Electricity.P3C2,20)="","",INDEX(I.Electricity.P3C2,20))</f>
        <v/>
      </c>
      <c r="G1038" s="87"/>
      <c r="H1038" s="28" t="str">
        <f t="shared" si="14"/>
        <v>Complete</v>
      </c>
      <c r="I1038" s="46" t="s">
        <v>1170</v>
      </c>
    </row>
    <row r="1039" spans="2:9" ht="14.45" customHeight="1" x14ac:dyDescent="0.25">
      <c r="B1039" s="44" t="s">
        <v>389</v>
      </c>
      <c r="C1039" s="28">
        <v>21</v>
      </c>
      <c r="D1039" s="45" t="s">
        <v>2105</v>
      </c>
      <c r="E1039" s="87"/>
      <c r="F1039" s="87" t="str">
        <f>IF(INDEX(I.Electricity.P3C2,21)="","",INDEX(I.Electricity.P3C2,21))</f>
        <v/>
      </c>
      <c r="G1039" s="87"/>
      <c r="H1039" s="28" t="str">
        <f t="shared" si="14"/>
        <v>Complete</v>
      </c>
      <c r="I1039" s="46" t="s">
        <v>1171</v>
      </c>
    </row>
    <row r="1040" spans="2:9" ht="14.45" customHeight="1" x14ac:dyDescent="0.25">
      <c r="B1040" s="44" t="s">
        <v>389</v>
      </c>
      <c r="C1040" s="28">
        <v>22</v>
      </c>
      <c r="D1040" s="45" t="s">
        <v>2105</v>
      </c>
      <c r="E1040" s="87"/>
      <c r="F1040" s="87" t="str">
        <f>IF(INDEX(I.Electricity.P3C2,22)="","",INDEX(I.Electricity.P3C2,22))</f>
        <v/>
      </c>
      <c r="G1040" s="87"/>
      <c r="H1040" s="28" t="str">
        <f t="shared" si="14"/>
        <v>Complete</v>
      </c>
      <c r="I1040" s="46" t="s">
        <v>1172</v>
      </c>
    </row>
    <row r="1041" spans="2:9" ht="14.45" customHeight="1" x14ac:dyDescent="0.25">
      <c r="B1041" s="44" t="s">
        <v>389</v>
      </c>
      <c r="C1041" s="28">
        <v>23</v>
      </c>
      <c r="D1041" s="45" t="s">
        <v>2105</v>
      </c>
      <c r="E1041" s="87"/>
      <c r="F1041" s="87" t="str">
        <f>IF(INDEX(I.Electricity.P3C2,23)="","",INDEX(I.Electricity.P3C2,23))</f>
        <v/>
      </c>
      <c r="G1041" s="87"/>
      <c r="H1041" s="28" t="str">
        <f t="shared" si="14"/>
        <v>Complete</v>
      </c>
      <c r="I1041" s="46" t="s">
        <v>1173</v>
      </c>
    </row>
    <row r="1042" spans="2:9" ht="14.45" customHeight="1" x14ac:dyDescent="0.25">
      <c r="B1042" s="53" t="s">
        <v>389</v>
      </c>
      <c r="C1042" s="66">
        <v>24</v>
      </c>
      <c r="D1042" s="54" t="s">
        <v>2105</v>
      </c>
      <c r="E1042" s="88"/>
      <c r="F1042" s="88" t="str">
        <f>IF(INDEX(I.Electricity.P3C2,24)="","",INDEX(I.Electricity.P3C2,24))</f>
        <v/>
      </c>
      <c r="G1042" s="88"/>
      <c r="H1042" s="66" t="str">
        <f t="shared" si="14"/>
        <v>Complete</v>
      </c>
      <c r="I1042" s="68" t="s">
        <v>1174</v>
      </c>
    </row>
    <row r="1043" spans="2:9" ht="14.45" customHeight="1" x14ac:dyDescent="0.25">
      <c r="B1043" s="44" t="s">
        <v>390</v>
      </c>
      <c r="C1043" s="28">
        <v>1</v>
      </c>
      <c r="D1043" s="45" t="s">
        <v>2106</v>
      </c>
      <c r="E1043" s="87"/>
      <c r="F1043" s="87" t="str">
        <f>IF(INDEX(I.Electricity.P3C3,1)="","",INDEX(I.Electricity.P3C3,1))</f>
        <v/>
      </c>
      <c r="G1043" s="87"/>
      <c r="H1043" s="28" t="str">
        <f t="shared" ref="H1043:H1063" si="15">IF(AND(I.Facility.ProductCount&gt;=3,I.Product.P3Electricity="Yes",I.Developer.P3C3=TRUE,F1043=""),"Incomplete","Complete")</f>
        <v>Complete</v>
      </c>
      <c r="I1043" s="46" t="s">
        <v>1175</v>
      </c>
    </row>
    <row r="1044" spans="2:9" ht="14.45" customHeight="1" x14ac:dyDescent="0.25">
      <c r="B1044" s="44" t="s">
        <v>390</v>
      </c>
      <c r="C1044" s="28">
        <v>2</v>
      </c>
      <c r="D1044" s="45" t="s">
        <v>2106</v>
      </c>
      <c r="E1044" s="87"/>
      <c r="F1044" s="87" t="str">
        <f>IF(INDEX(I.Electricity.P3C3,2)="","",INDEX(I.Electricity.P3C3,2))</f>
        <v/>
      </c>
      <c r="G1044" s="87"/>
      <c r="H1044" s="28" t="str">
        <f t="shared" si="15"/>
        <v>Complete</v>
      </c>
      <c r="I1044" s="46" t="s">
        <v>1176</v>
      </c>
    </row>
    <row r="1045" spans="2:9" ht="14.45" customHeight="1" x14ac:dyDescent="0.25">
      <c r="B1045" s="44" t="s">
        <v>390</v>
      </c>
      <c r="C1045" s="28">
        <v>3</v>
      </c>
      <c r="D1045" s="45" t="s">
        <v>2106</v>
      </c>
      <c r="E1045" s="87"/>
      <c r="F1045" s="87" t="str">
        <f>IF(INDEX(I.Electricity.P3C3,3)="","",INDEX(I.Electricity.P3C3,3))</f>
        <v/>
      </c>
      <c r="G1045" s="87"/>
      <c r="H1045" s="28" t="str">
        <f t="shared" si="15"/>
        <v>Complete</v>
      </c>
      <c r="I1045" s="46" t="s">
        <v>1177</v>
      </c>
    </row>
    <row r="1046" spans="2:9" ht="14.45" customHeight="1" x14ac:dyDescent="0.25">
      <c r="B1046" s="44" t="s">
        <v>390</v>
      </c>
      <c r="C1046" s="28">
        <v>4</v>
      </c>
      <c r="D1046" s="45" t="s">
        <v>2106</v>
      </c>
      <c r="E1046" s="87"/>
      <c r="F1046" s="87" t="str">
        <f>IF(INDEX(I.Electricity.P3C3,4)="","",INDEX(I.Electricity.P3C3,4))</f>
        <v/>
      </c>
      <c r="G1046" s="87"/>
      <c r="H1046" s="28" t="str">
        <f t="shared" si="15"/>
        <v>Complete</v>
      </c>
      <c r="I1046" s="46" t="s">
        <v>1178</v>
      </c>
    </row>
    <row r="1047" spans="2:9" ht="14.45" customHeight="1" x14ac:dyDescent="0.25">
      <c r="B1047" s="44" t="s">
        <v>390</v>
      </c>
      <c r="C1047" s="28">
        <v>5</v>
      </c>
      <c r="D1047" s="45" t="s">
        <v>2106</v>
      </c>
      <c r="E1047" s="87"/>
      <c r="F1047" s="87" t="str">
        <f>IF(INDEX(I.Electricity.P3C3,5)="","",INDEX(I.Electricity.P3C3,5))</f>
        <v/>
      </c>
      <c r="G1047" s="87"/>
      <c r="H1047" s="28" t="str">
        <f t="shared" si="15"/>
        <v>Complete</v>
      </c>
      <c r="I1047" s="46" t="s">
        <v>1179</v>
      </c>
    </row>
    <row r="1048" spans="2:9" ht="14.45" customHeight="1" x14ac:dyDescent="0.25">
      <c r="B1048" s="44" t="s">
        <v>390</v>
      </c>
      <c r="C1048" s="28">
        <v>6</v>
      </c>
      <c r="D1048" s="45" t="s">
        <v>2106</v>
      </c>
      <c r="E1048" s="87"/>
      <c r="F1048" s="87" t="str">
        <f>IF(INDEX(I.Electricity.P3C3,6)="","",INDEX(I.Electricity.P3C3,6))</f>
        <v/>
      </c>
      <c r="G1048" s="87"/>
      <c r="H1048" s="28" t="str">
        <f t="shared" si="15"/>
        <v>Complete</v>
      </c>
      <c r="I1048" s="46" t="s">
        <v>1180</v>
      </c>
    </row>
    <row r="1049" spans="2:9" ht="14.45" customHeight="1" x14ac:dyDescent="0.25">
      <c r="B1049" s="44" t="s">
        <v>390</v>
      </c>
      <c r="C1049" s="28">
        <v>7</v>
      </c>
      <c r="D1049" s="45" t="s">
        <v>2106</v>
      </c>
      <c r="E1049" s="87"/>
      <c r="F1049" s="87" t="str">
        <f>IF(INDEX(I.Electricity.P3C3,7)="","",INDEX(I.Electricity.P3C3,7))</f>
        <v/>
      </c>
      <c r="G1049" s="87"/>
      <c r="H1049" s="28" t="str">
        <f t="shared" si="15"/>
        <v>Complete</v>
      </c>
      <c r="I1049" s="46" t="s">
        <v>1181</v>
      </c>
    </row>
    <row r="1050" spans="2:9" ht="14.45" customHeight="1" x14ac:dyDescent="0.25">
      <c r="B1050" s="44" t="s">
        <v>390</v>
      </c>
      <c r="C1050" s="28">
        <v>8</v>
      </c>
      <c r="D1050" s="45" t="s">
        <v>2106</v>
      </c>
      <c r="E1050" s="87"/>
      <c r="F1050" s="87" t="str">
        <f>IF(INDEX(I.Electricity.P3C3,8)="","",INDEX(I.Electricity.P3C3,8))</f>
        <v/>
      </c>
      <c r="G1050" s="87"/>
      <c r="H1050" s="28" t="str">
        <f t="shared" si="15"/>
        <v>Complete</v>
      </c>
      <c r="I1050" s="46" t="s">
        <v>1182</v>
      </c>
    </row>
    <row r="1051" spans="2:9" ht="14.45" customHeight="1" x14ac:dyDescent="0.25">
      <c r="B1051" s="44" t="s">
        <v>390</v>
      </c>
      <c r="C1051" s="28">
        <v>9</v>
      </c>
      <c r="D1051" s="45" t="s">
        <v>2106</v>
      </c>
      <c r="E1051" s="87"/>
      <c r="F1051" s="87" t="str">
        <f>IF(INDEX(I.Electricity.P3C3,9)="","",INDEX(I.Electricity.P3C3,9))</f>
        <v/>
      </c>
      <c r="G1051" s="87"/>
      <c r="H1051" s="28" t="str">
        <f t="shared" si="15"/>
        <v>Complete</v>
      </c>
      <c r="I1051" s="46" t="s">
        <v>1183</v>
      </c>
    </row>
    <row r="1052" spans="2:9" ht="14.45" customHeight="1" x14ac:dyDescent="0.25">
      <c r="B1052" s="44" t="s">
        <v>390</v>
      </c>
      <c r="C1052" s="28">
        <v>10</v>
      </c>
      <c r="D1052" s="45" t="s">
        <v>2106</v>
      </c>
      <c r="E1052" s="87"/>
      <c r="F1052" s="87" t="str">
        <f>IF(INDEX(I.Electricity.P3C3,10)="","",INDEX(I.Electricity.P3C3,10))</f>
        <v/>
      </c>
      <c r="G1052" s="87"/>
      <c r="H1052" s="28" t="str">
        <f t="shared" si="15"/>
        <v>Complete</v>
      </c>
      <c r="I1052" s="46" t="s">
        <v>1184</v>
      </c>
    </row>
    <row r="1053" spans="2:9" ht="14.45" customHeight="1" x14ac:dyDescent="0.25">
      <c r="B1053" s="44" t="s">
        <v>390</v>
      </c>
      <c r="C1053" s="28">
        <v>11</v>
      </c>
      <c r="D1053" s="45" t="s">
        <v>2106</v>
      </c>
      <c r="E1053" s="87"/>
      <c r="F1053" s="87" t="str">
        <f>IF(INDEX(I.Electricity.P3C3,11)="","",INDEX(I.Electricity.P3C3,11))</f>
        <v/>
      </c>
      <c r="G1053" s="87"/>
      <c r="H1053" s="28" t="str">
        <f t="shared" si="15"/>
        <v>Complete</v>
      </c>
      <c r="I1053" s="46" t="s">
        <v>1185</v>
      </c>
    </row>
    <row r="1054" spans="2:9" ht="14.45" customHeight="1" x14ac:dyDescent="0.25">
      <c r="B1054" s="44" t="s">
        <v>390</v>
      </c>
      <c r="C1054" s="28">
        <v>12</v>
      </c>
      <c r="D1054" s="45" t="s">
        <v>2106</v>
      </c>
      <c r="E1054" s="87"/>
      <c r="F1054" s="87" t="str">
        <f>IF(INDEX(I.Electricity.P3C3,12)="","",INDEX(I.Electricity.P3C3,12))</f>
        <v/>
      </c>
      <c r="G1054" s="87"/>
      <c r="H1054" s="28" t="str">
        <f t="shared" si="15"/>
        <v>Complete</v>
      </c>
      <c r="I1054" s="46" t="s">
        <v>1186</v>
      </c>
    </row>
    <row r="1055" spans="2:9" ht="14.45" customHeight="1" x14ac:dyDescent="0.25">
      <c r="B1055" s="44" t="s">
        <v>390</v>
      </c>
      <c r="C1055" s="28">
        <v>13</v>
      </c>
      <c r="D1055" s="45" t="s">
        <v>2106</v>
      </c>
      <c r="E1055" s="87"/>
      <c r="F1055" s="87" t="str">
        <f>IF(INDEX(I.Electricity.P3C3,13)="","",INDEX(I.Electricity.P3C3,13))</f>
        <v/>
      </c>
      <c r="G1055" s="87"/>
      <c r="H1055" s="28" t="str">
        <f t="shared" si="15"/>
        <v>Complete</v>
      </c>
      <c r="I1055" s="46" t="s">
        <v>1187</v>
      </c>
    </row>
    <row r="1056" spans="2:9" ht="14.45" customHeight="1" x14ac:dyDescent="0.25">
      <c r="B1056" s="44" t="s">
        <v>390</v>
      </c>
      <c r="C1056" s="28">
        <v>14</v>
      </c>
      <c r="D1056" s="45" t="s">
        <v>2106</v>
      </c>
      <c r="E1056" s="87"/>
      <c r="F1056" s="87" t="str">
        <f>IF(INDEX(I.Electricity.P3C3,14)="","",INDEX(I.Electricity.P3C3,14))</f>
        <v/>
      </c>
      <c r="G1056" s="87"/>
      <c r="H1056" s="28" t="str">
        <f t="shared" si="15"/>
        <v>Complete</v>
      </c>
      <c r="I1056" s="46" t="s">
        <v>1188</v>
      </c>
    </row>
    <row r="1057" spans="2:9" ht="14.45" customHeight="1" x14ac:dyDescent="0.25">
      <c r="B1057" s="44" t="s">
        <v>390</v>
      </c>
      <c r="C1057" s="28">
        <v>15</v>
      </c>
      <c r="D1057" s="45" t="s">
        <v>2106</v>
      </c>
      <c r="E1057" s="87"/>
      <c r="F1057" s="87" t="str">
        <f>IF(INDEX(I.Electricity.P3C3,15)="","",INDEX(I.Electricity.P3C3,15))</f>
        <v/>
      </c>
      <c r="G1057" s="87"/>
      <c r="H1057" s="28" t="str">
        <f t="shared" si="15"/>
        <v>Complete</v>
      </c>
      <c r="I1057" s="46" t="s">
        <v>1189</v>
      </c>
    </row>
    <row r="1058" spans="2:9" ht="14.45" customHeight="1" x14ac:dyDescent="0.25">
      <c r="B1058" s="44" t="s">
        <v>390</v>
      </c>
      <c r="C1058" s="28">
        <v>16</v>
      </c>
      <c r="D1058" s="45" t="s">
        <v>2106</v>
      </c>
      <c r="E1058" s="87"/>
      <c r="F1058" s="87" t="str">
        <f>IF(INDEX(I.Electricity.P3C3,16)="","",INDEX(I.Electricity.P3C3,16))</f>
        <v/>
      </c>
      <c r="G1058" s="87"/>
      <c r="H1058" s="28" t="str">
        <f t="shared" si="15"/>
        <v>Complete</v>
      </c>
      <c r="I1058" s="46" t="s">
        <v>1190</v>
      </c>
    </row>
    <row r="1059" spans="2:9" ht="14.45" customHeight="1" x14ac:dyDescent="0.25">
      <c r="B1059" s="44" t="s">
        <v>390</v>
      </c>
      <c r="C1059" s="28">
        <v>17</v>
      </c>
      <c r="D1059" s="45" t="s">
        <v>2106</v>
      </c>
      <c r="E1059" s="87"/>
      <c r="F1059" s="87" t="str">
        <f>IF(INDEX(I.Electricity.P3C3,17)="","",INDEX(I.Electricity.P3C3,17))</f>
        <v/>
      </c>
      <c r="G1059" s="87"/>
      <c r="H1059" s="28" t="str">
        <f t="shared" si="15"/>
        <v>Complete</v>
      </c>
      <c r="I1059" s="46" t="s">
        <v>1191</v>
      </c>
    </row>
    <row r="1060" spans="2:9" ht="14.45" customHeight="1" x14ac:dyDescent="0.25">
      <c r="B1060" s="44" t="s">
        <v>390</v>
      </c>
      <c r="C1060" s="28">
        <v>18</v>
      </c>
      <c r="D1060" s="45" t="s">
        <v>2106</v>
      </c>
      <c r="E1060" s="87"/>
      <c r="F1060" s="87" t="str">
        <f>IF(INDEX(I.Electricity.P3C3,18)="","",INDEX(I.Electricity.P3C3,18))</f>
        <v/>
      </c>
      <c r="G1060" s="87"/>
      <c r="H1060" s="28" t="str">
        <f t="shared" si="15"/>
        <v>Complete</v>
      </c>
      <c r="I1060" s="46" t="s">
        <v>1192</v>
      </c>
    </row>
    <row r="1061" spans="2:9" ht="14.45" customHeight="1" x14ac:dyDescent="0.25">
      <c r="B1061" s="44" t="s">
        <v>390</v>
      </c>
      <c r="C1061" s="28">
        <v>19</v>
      </c>
      <c r="D1061" s="45" t="s">
        <v>2106</v>
      </c>
      <c r="E1061" s="87"/>
      <c r="F1061" s="87" t="str">
        <f>IF(INDEX(I.Electricity.P3C3,19)="","",INDEX(I.Electricity.P3C3,19))</f>
        <v/>
      </c>
      <c r="G1061" s="87"/>
      <c r="H1061" s="28" t="str">
        <f t="shared" si="15"/>
        <v>Complete</v>
      </c>
      <c r="I1061" s="46" t="s">
        <v>1193</v>
      </c>
    </row>
    <row r="1062" spans="2:9" ht="14.45" customHeight="1" x14ac:dyDescent="0.25">
      <c r="B1062" s="44" t="s">
        <v>390</v>
      </c>
      <c r="C1062" s="28">
        <v>20</v>
      </c>
      <c r="D1062" s="45" t="s">
        <v>2106</v>
      </c>
      <c r="E1062" s="87"/>
      <c r="F1062" s="87" t="str">
        <f>IF(INDEX(I.Electricity.P3C3,20)="","",INDEX(I.Electricity.P3C3,20))</f>
        <v/>
      </c>
      <c r="G1062" s="87"/>
      <c r="H1062" s="28" t="str">
        <f t="shared" si="15"/>
        <v>Complete</v>
      </c>
      <c r="I1062" s="46" t="s">
        <v>1194</v>
      </c>
    </row>
    <row r="1063" spans="2:9" ht="14.45" customHeight="1" x14ac:dyDescent="0.25">
      <c r="B1063" s="53" t="s">
        <v>390</v>
      </c>
      <c r="C1063" s="66">
        <v>21</v>
      </c>
      <c r="D1063" s="54" t="s">
        <v>2106</v>
      </c>
      <c r="E1063" s="88"/>
      <c r="F1063" s="88" t="str">
        <f>IF(INDEX(I.Electricity.P3C3,21)="","",INDEX(I.Electricity.P3C3,21))</f>
        <v/>
      </c>
      <c r="G1063" s="88"/>
      <c r="H1063" s="66" t="str">
        <f t="shared" si="15"/>
        <v>Complete</v>
      </c>
      <c r="I1063" s="68" t="s">
        <v>1195</v>
      </c>
    </row>
    <row r="1064" spans="2:9" ht="14.45" customHeight="1" x14ac:dyDescent="0.25">
      <c r="B1064" s="44" t="s">
        <v>391</v>
      </c>
      <c r="C1064" s="28">
        <v>1</v>
      </c>
      <c r="D1064" s="45" t="s">
        <v>2107</v>
      </c>
      <c r="E1064" s="87"/>
      <c r="F1064" s="87" t="str">
        <f>IF(INDEX(I.Electricity.P3C4,1)="","",INDEX(I.Electricity.P3C4,1))</f>
        <v/>
      </c>
      <c r="G1064" s="87"/>
      <c r="H1064" s="28" t="str">
        <f>IF(AND(I.Facility.ProductCount&gt;=3,I.Product.P3Electricity="Yes",I.Developer.P3C4=TRUE,F1064=""),"Incomplete","Complete")</f>
        <v>Complete</v>
      </c>
      <c r="I1064" s="46" t="s">
        <v>1196</v>
      </c>
    </row>
    <row r="1065" spans="2:9" ht="14.45" customHeight="1" x14ac:dyDescent="0.25">
      <c r="B1065" s="44" t="s">
        <v>391</v>
      </c>
      <c r="C1065" s="28">
        <v>2</v>
      </c>
      <c r="D1065" s="45" t="s">
        <v>2107</v>
      </c>
      <c r="E1065" s="87"/>
      <c r="F1065" s="87" t="str">
        <f>IF(INDEX(I.Electricity.P3C4,2)="","",INDEX(I.Electricity.P3C4,2))</f>
        <v/>
      </c>
      <c r="G1065" s="87"/>
      <c r="H1065" s="28" t="str">
        <f>IF(AND(I.Facility.ProductCount&gt;=3,I.Product.P3Electricity="Yes",I.Developer.P3C4=TRUE,F1065=""),"Incomplete","Complete")</f>
        <v>Complete</v>
      </c>
      <c r="I1065" s="46" t="s">
        <v>1197</v>
      </c>
    </row>
    <row r="1066" spans="2:9" ht="14.45" customHeight="1" x14ac:dyDescent="0.25">
      <c r="B1066" s="53" t="s">
        <v>391</v>
      </c>
      <c r="C1066" s="66">
        <v>3</v>
      </c>
      <c r="D1066" s="54" t="s">
        <v>2107</v>
      </c>
      <c r="E1066" s="88"/>
      <c r="F1066" s="88" t="str">
        <f>IF(INDEX(I.Electricity.P3C4,3)="","",INDEX(I.Electricity.P3C4,3))</f>
        <v/>
      </c>
      <c r="G1066" s="88"/>
      <c r="H1066" s="66" t="str">
        <f>IF(AND(I.Facility.ProductCount&gt;=3,I.Product.P3Electricity="Yes",I.Developer.P3C4=TRUE,F1066=""),"Incomplete","Complete")</f>
        <v>Complete</v>
      </c>
      <c r="I1066" s="68" t="s">
        <v>1198</v>
      </c>
    </row>
    <row r="1067" spans="2:9" ht="14.45" customHeight="1" x14ac:dyDescent="0.25">
      <c r="B1067" s="44" t="s">
        <v>392</v>
      </c>
      <c r="C1067" s="28">
        <v>1</v>
      </c>
      <c r="D1067" s="45" t="s">
        <v>2108</v>
      </c>
      <c r="E1067" s="87"/>
      <c r="F1067" s="87" t="str">
        <f>IF(INDEX(I.Electricity.P3C5,1)="","",INDEX(I.Electricity.P3C5,1))</f>
        <v/>
      </c>
      <c r="G1067" s="87"/>
      <c r="H1067" s="28" t="str">
        <f>IF(AND(I.Facility.ProductCount&gt;=3,I.Product.P3Electricity="Yes",I.Developer.P3C5=TRUE,F1067=""),"Incomplete","Complete")</f>
        <v>Complete</v>
      </c>
      <c r="I1067" s="46" t="s">
        <v>1199</v>
      </c>
    </row>
    <row r="1068" spans="2:9" ht="14.45" customHeight="1" x14ac:dyDescent="0.25">
      <c r="B1068" s="44" t="s">
        <v>392</v>
      </c>
      <c r="C1068" s="28">
        <v>2</v>
      </c>
      <c r="D1068" s="45" t="s">
        <v>2108</v>
      </c>
      <c r="E1068" s="87"/>
      <c r="F1068" s="87" t="str">
        <f>IF(INDEX(I.Electricity.P3C5,2)="","",INDEX(I.Electricity.P3C5,2))</f>
        <v/>
      </c>
      <c r="G1068" s="87"/>
      <c r="H1068" s="28" t="str">
        <f>IF(AND(I.Facility.ProductCount&gt;=3,I.Product.P3Electricity="Yes",I.Developer.P3C5=TRUE,F1068=""),"Incomplete","Complete")</f>
        <v>Complete</v>
      </c>
      <c r="I1068" s="46" t="s">
        <v>1200</v>
      </c>
    </row>
    <row r="1069" spans="2:9" ht="14.45" customHeight="1" x14ac:dyDescent="0.25">
      <c r="B1069" s="53" t="s">
        <v>392</v>
      </c>
      <c r="C1069" s="66">
        <v>3</v>
      </c>
      <c r="D1069" s="54" t="s">
        <v>2108</v>
      </c>
      <c r="E1069" s="88"/>
      <c r="F1069" s="88" t="str">
        <f>IF(INDEX(I.Electricity.P3C5,3)="","",INDEX(I.Electricity.P3C5,3))</f>
        <v/>
      </c>
      <c r="G1069" s="88"/>
      <c r="H1069" s="66" t="str">
        <f>IF(AND(I.Facility.ProductCount&gt;=3,I.Product.P3Electricity="Yes",I.Developer.P3C5=TRUE,F1069=""),"Incomplete","Complete")</f>
        <v>Complete</v>
      </c>
      <c r="I1069" s="68" t="s">
        <v>1201</v>
      </c>
    </row>
    <row r="1070" spans="2:9" ht="14.45" customHeight="1" x14ac:dyDescent="0.25">
      <c r="B1070" s="44" t="s">
        <v>393</v>
      </c>
      <c r="C1070" s="28">
        <v>1</v>
      </c>
      <c r="D1070" s="45" t="s">
        <v>2109</v>
      </c>
      <c r="E1070" s="87"/>
      <c r="F1070" s="87" t="str">
        <f>IF(INDEX(I.Electricity.P3C6,1)="","",INDEX(I.Electricity.P3C6,1))</f>
        <v/>
      </c>
      <c r="G1070" s="87"/>
      <c r="H1070" s="28" t="str">
        <f>IF(AND(I.Facility.ProductCount&gt;=3,I.Product.P3Electricity="Yes",I.Developer.P3C6=TRUE,F1070=""),"Incomplete","Complete")</f>
        <v>Complete</v>
      </c>
      <c r="I1070" s="46" t="s">
        <v>1202</v>
      </c>
    </row>
    <row r="1071" spans="2:9" ht="14.45" customHeight="1" x14ac:dyDescent="0.25">
      <c r="B1071" s="44" t="s">
        <v>393</v>
      </c>
      <c r="C1071" s="28">
        <v>2</v>
      </c>
      <c r="D1071" s="45" t="s">
        <v>2109</v>
      </c>
      <c r="E1071" s="87"/>
      <c r="F1071" s="87" t="str">
        <f>IF(INDEX(I.Electricity.P3C6,2)="","",INDEX(I.Electricity.P3C6,2))</f>
        <v/>
      </c>
      <c r="G1071" s="87"/>
      <c r="H1071" s="28" t="str">
        <f>IF(AND(I.Facility.ProductCount&gt;=3,I.Product.P3Electricity="Yes",I.Developer.P3C6=TRUE,F1071=""),"Incomplete","Complete")</f>
        <v>Complete</v>
      </c>
      <c r="I1071" s="46" t="s">
        <v>1203</v>
      </c>
    </row>
    <row r="1072" spans="2:9" ht="14.45" customHeight="1" x14ac:dyDescent="0.25">
      <c r="B1072" s="53" t="s">
        <v>393</v>
      </c>
      <c r="C1072" s="66">
        <v>3</v>
      </c>
      <c r="D1072" s="54" t="s">
        <v>2109</v>
      </c>
      <c r="E1072" s="88"/>
      <c r="F1072" s="88" t="str">
        <f>IF(INDEX(I.Electricity.P3C6,3)="","",INDEX(I.Electricity.P3C6,3))</f>
        <v/>
      </c>
      <c r="G1072" s="88"/>
      <c r="H1072" s="66" t="str">
        <f>IF(AND(I.Facility.ProductCount&gt;=3,I.Product.P3Electricity="Yes",I.Developer.P3C6=TRUE,F1072=""),"Incomplete","Complete")</f>
        <v>Complete</v>
      </c>
      <c r="I1072" s="68" t="s">
        <v>1204</v>
      </c>
    </row>
    <row r="1073" spans="2:9" ht="14.45" customHeight="1" x14ac:dyDescent="0.25">
      <c r="B1073" s="44" t="s">
        <v>394</v>
      </c>
      <c r="C1073" s="28">
        <v>1</v>
      </c>
      <c r="D1073" s="45" t="s">
        <v>2110</v>
      </c>
      <c r="E1073" s="87"/>
      <c r="F1073" s="87" t="str">
        <f>IF(INDEX(I.Electricity.P3C7,1)="","",INDEX(I.Electricity.P3C7,1))</f>
        <v/>
      </c>
      <c r="G1073" s="87"/>
      <c r="H1073" s="28" t="str">
        <f>IF(AND(I.Facility.ProductCount&gt;=3,I.Product.P3Electricity="Yes",I.Developer.P3C7=TRUE,F1073=""),"Incomplete","Complete")</f>
        <v>Complete</v>
      </c>
      <c r="I1073" s="46" t="s">
        <v>1205</v>
      </c>
    </row>
    <row r="1074" spans="2:9" ht="14.45" customHeight="1" x14ac:dyDescent="0.25">
      <c r="B1074" s="44" t="s">
        <v>394</v>
      </c>
      <c r="C1074" s="28">
        <v>2</v>
      </c>
      <c r="D1074" s="45" t="s">
        <v>2110</v>
      </c>
      <c r="E1074" s="87"/>
      <c r="F1074" s="87" t="str">
        <f>IF(INDEX(I.Electricity.P3C7,2)="","",INDEX(I.Electricity.P3C7,2))</f>
        <v/>
      </c>
      <c r="G1074" s="87"/>
      <c r="H1074" s="28" t="str">
        <f>IF(AND(I.Facility.ProductCount&gt;=3,I.Product.P3Electricity="Yes",I.Developer.P3C7=TRUE,F1074=""),"Incomplete","Complete")</f>
        <v>Complete</v>
      </c>
      <c r="I1074" s="46" t="s">
        <v>1206</v>
      </c>
    </row>
    <row r="1075" spans="2:9" ht="14.45" customHeight="1" x14ac:dyDescent="0.25">
      <c r="B1075" s="53" t="s">
        <v>394</v>
      </c>
      <c r="C1075" s="66">
        <v>3</v>
      </c>
      <c r="D1075" s="54" t="s">
        <v>2110</v>
      </c>
      <c r="E1075" s="88"/>
      <c r="F1075" s="88" t="str">
        <f>IF(INDEX(I.Electricity.P3C7,3)="","",INDEX(I.Electricity.P3C7,3))</f>
        <v/>
      </c>
      <c r="G1075" s="88"/>
      <c r="H1075" s="66" t="str">
        <f>IF(AND(I.Facility.ProductCount&gt;=3,I.Product.P3Electricity="Yes",I.Developer.P3C7=TRUE,F1075=""),"Incomplete","Complete")</f>
        <v>Complete</v>
      </c>
      <c r="I1075" s="68" t="s">
        <v>1207</v>
      </c>
    </row>
    <row r="1076" spans="2:9" ht="14.45" customHeight="1" x14ac:dyDescent="0.25">
      <c r="B1076" s="44" t="s">
        <v>395</v>
      </c>
      <c r="C1076" s="28">
        <v>1</v>
      </c>
      <c r="D1076" s="45" t="s">
        <v>2111</v>
      </c>
      <c r="E1076" s="87"/>
      <c r="F1076" s="87" t="str">
        <f>IF(INDEX(I.Electricity.P3C8,1)="","",INDEX(I.Electricity.P3C8,1))</f>
        <v/>
      </c>
      <c r="G1076" s="87"/>
      <c r="H1076" s="28" t="str">
        <f>IF(AND(I.Facility.ProductCount&gt;=3,I.Product.P3Electricity="Yes",I.Developer.P3C8=TRUE,F1076=""),"Incomplete","Complete")</f>
        <v>Complete</v>
      </c>
      <c r="I1076" s="46" t="s">
        <v>1208</v>
      </c>
    </row>
    <row r="1077" spans="2:9" ht="14.45" customHeight="1" x14ac:dyDescent="0.25">
      <c r="B1077" s="44" t="s">
        <v>395</v>
      </c>
      <c r="C1077" s="28">
        <v>2</v>
      </c>
      <c r="D1077" s="45" t="s">
        <v>2111</v>
      </c>
      <c r="E1077" s="87"/>
      <c r="F1077" s="87" t="str">
        <f>IF(INDEX(I.Electricity.P3C8,2)="","",INDEX(I.Electricity.P3C8,2))</f>
        <v/>
      </c>
      <c r="G1077" s="87"/>
      <c r="H1077" s="28" t="str">
        <f>IF(AND(I.Facility.ProductCount&gt;=3,I.Product.P3Electricity="Yes",I.Developer.P3C8=TRUE,F1077=""),"Incomplete","Complete")</f>
        <v>Complete</v>
      </c>
      <c r="I1077" s="46" t="s">
        <v>1209</v>
      </c>
    </row>
    <row r="1078" spans="2:9" ht="14.45" customHeight="1" x14ac:dyDescent="0.25">
      <c r="B1078" s="53" t="s">
        <v>395</v>
      </c>
      <c r="C1078" s="66">
        <v>3</v>
      </c>
      <c r="D1078" s="54" t="s">
        <v>2111</v>
      </c>
      <c r="E1078" s="88"/>
      <c r="F1078" s="88" t="str">
        <f>IF(INDEX(I.Electricity.P3C8,3)="","",INDEX(I.Electricity.P3C8,3))</f>
        <v/>
      </c>
      <c r="G1078" s="88"/>
      <c r="H1078" s="66" t="str">
        <f>IF(AND(I.Facility.ProductCount&gt;=3,I.Product.P3Electricity="Yes",I.Developer.P3C8=TRUE,F1078=""),"Incomplete","Complete")</f>
        <v>Complete</v>
      </c>
      <c r="I1078" s="68" t="s">
        <v>1210</v>
      </c>
    </row>
    <row r="1079" spans="2:9" ht="14.45" customHeight="1" x14ac:dyDescent="0.25">
      <c r="B1079" s="44" t="s">
        <v>396</v>
      </c>
      <c r="C1079" s="28">
        <v>1</v>
      </c>
      <c r="D1079" s="45" t="s">
        <v>2112</v>
      </c>
      <c r="E1079" s="87"/>
      <c r="F1079" s="87" t="str">
        <f>IF(INDEX(I.Electricity.P3C9,1)="","",INDEX(I.Electricity.P3C9,1))</f>
        <v/>
      </c>
      <c r="G1079" s="87"/>
      <c r="H1079" s="28" t="str">
        <f>IF(AND(I.Facility.ProductCount&gt;=3,I.Product.P3Electricity="Yes",I.Developer.P3C9=TRUE,F1079=""),"Incomplete","Complete")</f>
        <v>Complete</v>
      </c>
      <c r="I1079" s="46" t="s">
        <v>1211</v>
      </c>
    </row>
    <row r="1080" spans="2:9" ht="14.45" customHeight="1" x14ac:dyDescent="0.25">
      <c r="B1080" s="44" t="s">
        <v>396</v>
      </c>
      <c r="C1080" s="28">
        <v>2</v>
      </c>
      <c r="D1080" s="45" t="s">
        <v>2112</v>
      </c>
      <c r="E1080" s="87"/>
      <c r="F1080" s="87" t="str">
        <f>IF(INDEX(I.Electricity.P3C9,2)="","",INDEX(I.Electricity.P3C9,2))</f>
        <v/>
      </c>
      <c r="G1080" s="87"/>
      <c r="H1080" s="28" t="str">
        <f>IF(AND(I.Facility.ProductCount&gt;=3,I.Product.P3Electricity="Yes",I.Developer.P3C9=TRUE,F1080=""),"Incomplete","Complete")</f>
        <v>Complete</v>
      </c>
      <c r="I1080" s="46" t="s">
        <v>1212</v>
      </c>
    </row>
    <row r="1081" spans="2:9" ht="14.45" customHeight="1" x14ac:dyDescent="0.25">
      <c r="B1081" s="53" t="s">
        <v>396</v>
      </c>
      <c r="C1081" s="66">
        <v>3</v>
      </c>
      <c r="D1081" s="54" t="s">
        <v>2112</v>
      </c>
      <c r="E1081" s="88"/>
      <c r="F1081" s="88" t="str">
        <f>IF(INDEX(I.Electricity.P3C9,3)="","",INDEX(I.Electricity.P3C9,3))</f>
        <v/>
      </c>
      <c r="G1081" s="88"/>
      <c r="H1081" s="66" t="str">
        <f>IF(AND(I.Facility.ProductCount&gt;=3,I.Product.P3Electricity="Yes",I.Developer.P3C9=TRUE,F1081=""),"Incomplete","Complete")</f>
        <v>Complete</v>
      </c>
      <c r="I1081" s="68" t="s">
        <v>1213</v>
      </c>
    </row>
    <row r="1082" spans="2:9" ht="14.45" customHeight="1" x14ac:dyDescent="0.25">
      <c r="B1082" s="44" t="s">
        <v>397</v>
      </c>
      <c r="C1082" s="28">
        <v>1</v>
      </c>
      <c r="D1082" s="45" t="s">
        <v>2113</v>
      </c>
      <c r="E1082" s="87"/>
      <c r="F1082" s="87" t="str">
        <f>IF(INDEX(I.Electricity.P4C1,1)="","",INDEX(I.Electricity.P4C1,1))</f>
        <v/>
      </c>
      <c r="G1082" s="87"/>
      <c r="H1082" s="28" t="str">
        <f>IF(AND(I.Facility.ProductCount&gt;=4,I.Product.P4Electricity="Yes",I.Developer.P4C1=TRUE,F1082=""),"Incomplete","Complete")</f>
        <v>Complete</v>
      </c>
      <c r="I1082" s="46" t="s">
        <v>1216</v>
      </c>
    </row>
    <row r="1083" spans="2:9" ht="14.45" customHeight="1" x14ac:dyDescent="0.25">
      <c r="B1083" s="44" t="s">
        <v>397</v>
      </c>
      <c r="C1083" s="28">
        <v>2</v>
      </c>
      <c r="D1083" s="45" t="s">
        <v>2113</v>
      </c>
      <c r="E1083" s="87"/>
      <c r="F1083" s="87" t="str">
        <f>IF(INDEX(I.Electricity.P4C1,2)="","",INDEX(I.Electricity.P4C1,2))</f>
        <v/>
      </c>
      <c r="G1083" s="87"/>
      <c r="H1083" s="28" t="str">
        <f>IF(AND(I.Facility.ProductCount&gt;=4,I.Product.P4Electricity="Yes",I.Developer.P4C1=TRUE,F1083=""),"Incomplete","Complete")</f>
        <v>Complete</v>
      </c>
      <c r="I1083" s="46" t="s">
        <v>1217</v>
      </c>
    </row>
    <row r="1084" spans="2:9" ht="14.45" customHeight="1" x14ac:dyDescent="0.25">
      <c r="B1084" s="53" t="s">
        <v>397</v>
      </c>
      <c r="C1084" s="66">
        <v>3</v>
      </c>
      <c r="D1084" s="54" t="s">
        <v>2113</v>
      </c>
      <c r="E1084" s="88"/>
      <c r="F1084" s="88" t="str">
        <f>IF(INDEX(I.Electricity.P4C1,3)="","",INDEX(I.Electricity.P4C1,3))</f>
        <v/>
      </c>
      <c r="G1084" s="88"/>
      <c r="H1084" s="66" t="str">
        <f>IF(AND(I.Facility.ProductCount&gt;=4,I.Product.P4Electricity="Yes",I.Developer.P4C1=TRUE,F1084=""),"Incomplete","Complete")</f>
        <v>Complete</v>
      </c>
      <c r="I1084" s="68" t="s">
        <v>1218</v>
      </c>
    </row>
    <row r="1085" spans="2:9" ht="14.45" customHeight="1" x14ac:dyDescent="0.25">
      <c r="B1085" s="44" t="s">
        <v>398</v>
      </c>
      <c r="C1085" s="28">
        <v>1</v>
      </c>
      <c r="D1085" s="45" t="s">
        <v>2114</v>
      </c>
      <c r="E1085" s="87"/>
      <c r="F1085" s="87" t="str">
        <f>IF(INDEX(I.Electricity.P4C2,1)="","",INDEX(I.Electricity.P4C2,1))</f>
        <v/>
      </c>
      <c r="G1085" s="87"/>
      <c r="H1085" s="28" t="str">
        <f t="shared" ref="H1085:H1108" si="16">IF(AND(I.Facility.ProductCount&gt;=4,I.Product.P4Electricity="Yes",I.Developer.P4C2=TRUE,F1085=""),"Incomplete","Complete")</f>
        <v>Complete</v>
      </c>
      <c r="I1085" s="46" t="s">
        <v>1219</v>
      </c>
    </row>
    <row r="1086" spans="2:9" ht="14.45" customHeight="1" x14ac:dyDescent="0.25">
      <c r="B1086" s="44" t="s">
        <v>398</v>
      </c>
      <c r="C1086" s="28">
        <v>2</v>
      </c>
      <c r="D1086" s="45" t="s">
        <v>2114</v>
      </c>
      <c r="E1086" s="87"/>
      <c r="F1086" s="87" t="str">
        <f>IF(INDEX(I.Electricity.P4C2,2)="","",INDEX(I.Electricity.P4C2,2))</f>
        <v/>
      </c>
      <c r="G1086" s="87"/>
      <c r="H1086" s="28" t="str">
        <f t="shared" si="16"/>
        <v>Complete</v>
      </c>
      <c r="I1086" s="46" t="s">
        <v>1220</v>
      </c>
    </row>
    <row r="1087" spans="2:9" ht="14.45" customHeight="1" x14ac:dyDescent="0.25">
      <c r="B1087" s="44" t="s">
        <v>398</v>
      </c>
      <c r="C1087" s="28">
        <v>3</v>
      </c>
      <c r="D1087" s="45" t="s">
        <v>2114</v>
      </c>
      <c r="E1087" s="87"/>
      <c r="F1087" s="87" t="str">
        <f>IF(INDEX(I.Electricity.P4C2,3)="","",INDEX(I.Electricity.P4C2,3))</f>
        <v/>
      </c>
      <c r="G1087" s="87"/>
      <c r="H1087" s="28" t="str">
        <f t="shared" si="16"/>
        <v>Complete</v>
      </c>
      <c r="I1087" s="46" t="s">
        <v>1221</v>
      </c>
    </row>
    <row r="1088" spans="2:9" ht="14.45" customHeight="1" x14ac:dyDescent="0.25">
      <c r="B1088" s="44" t="s">
        <v>398</v>
      </c>
      <c r="C1088" s="28">
        <v>4</v>
      </c>
      <c r="D1088" s="45" t="s">
        <v>2114</v>
      </c>
      <c r="E1088" s="87"/>
      <c r="F1088" s="87" t="str">
        <f>IF(INDEX(I.Electricity.P4C2,4)="","",INDEX(I.Electricity.P4C2,4))</f>
        <v/>
      </c>
      <c r="G1088" s="87"/>
      <c r="H1088" s="28" t="str">
        <f t="shared" si="16"/>
        <v>Complete</v>
      </c>
      <c r="I1088" s="46" t="s">
        <v>1222</v>
      </c>
    </row>
    <row r="1089" spans="2:9" ht="14.45" customHeight="1" x14ac:dyDescent="0.25">
      <c r="B1089" s="44" t="s">
        <v>398</v>
      </c>
      <c r="C1089" s="28">
        <v>5</v>
      </c>
      <c r="D1089" s="45" t="s">
        <v>2114</v>
      </c>
      <c r="E1089" s="87"/>
      <c r="F1089" s="87" t="str">
        <f>IF(INDEX(I.Electricity.P4C2,5)="","",INDEX(I.Electricity.P4C2,5))</f>
        <v/>
      </c>
      <c r="G1089" s="87"/>
      <c r="H1089" s="28" t="str">
        <f t="shared" si="16"/>
        <v>Complete</v>
      </c>
      <c r="I1089" s="46" t="s">
        <v>1223</v>
      </c>
    </row>
    <row r="1090" spans="2:9" ht="14.45" customHeight="1" x14ac:dyDescent="0.25">
      <c r="B1090" s="44" t="s">
        <v>398</v>
      </c>
      <c r="C1090" s="28">
        <v>6</v>
      </c>
      <c r="D1090" s="45" t="s">
        <v>2114</v>
      </c>
      <c r="E1090" s="87"/>
      <c r="F1090" s="87" t="str">
        <f>IF(INDEX(I.Electricity.P4C2,6)="","",INDEX(I.Electricity.P4C2,6))</f>
        <v/>
      </c>
      <c r="G1090" s="87"/>
      <c r="H1090" s="28" t="str">
        <f t="shared" si="16"/>
        <v>Complete</v>
      </c>
      <c r="I1090" s="46" t="s">
        <v>1224</v>
      </c>
    </row>
    <row r="1091" spans="2:9" ht="14.45" customHeight="1" x14ac:dyDescent="0.25">
      <c r="B1091" s="44" t="s">
        <v>398</v>
      </c>
      <c r="C1091" s="28">
        <v>7</v>
      </c>
      <c r="D1091" s="45" t="s">
        <v>2114</v>
      </c>
      <c r="E1091" s="87"/>
      <c r="F1091" s="87" t="str">
        <f>IF(INDEX(I.Electricity.P4C2,7)="","",INDEX(I.Electricity.P4C2,7))</f>
        <v/>
      </c>
      <c r="G1091" s="87"/>
      <c r="H1091" s="28" t="str">
        <f t="shared" si="16"/>
        <v>Complete</v>
      </c>
      <c r="I1091" s="46" t="s">
        <v>1225</v>
      </c>
    </row>
    <row r="1092" spans="2:9" ht="14.45" customHeight="1" x14ac:dyDescent="0.25">
      <c r="B1092" s="44" t="s">
        <v>398</v>
      </c>
      <c r="C1092" s="28">
        <v>8</v>
      </c>
      <c r="D1092" s="45" t="s">
        <v>2114</v>
      </c>
      <c r="E1092" s="87"/>
      <c r="F1092" s="87" t="str">
        <f>IF(INDEX(I.Electricity.P4C2,8)="","",INDEX(I.Electricity.P4C2,8))</f>
        <v/>
      </c>
      <c r="G1092" s="87"/>
      <c r="H1092" s="28" t="str">
        <f t="shared" si="16"/>
        <v>Complete</v>
      </c>
      <c r="I1092" s="46" t="s">
        <v>1226</v>
      </c>
    </row>
    <row r="1093" spans="2:9" ht="14.45" customHeight="1" x14ac:dyDescent="0.25">
      <c r="B1093" s="44" t="s">
        <v>398</v>
      </c>
      <c r="C1093" s="28">
        <v>9</v>
      </c>
      <c r="D1093" s="45" t="s">
        <v>2114</v>
      </c>
      <c r="E1093" s="87"/>
      <c r="F1093" s="87" t="str">
        <f>IF(INDEX(I.Electricity.P4C2,9)="","",INDEX(I.Electricity.P4C2,9))</f>
        <v/>
      </c>
      <c r="G1093" s="87"/>
      <c r="H1093" s="28" t="str">
        <f t="shared" si="16"/>
        <v>Complete</v>
      </c>
      <c r="I1093" s="46" t="s">
        <v>1227</v>
      </c>
    </row>
    <row r="1094" spans="2:9" ht="14.45" customHeight="1" x14ac:dyDescent="0.25">
      <c r="B1094" s="44" t="s">
        <v>398</v>
      </c>
      <c r="C1094" s="28">
        <v>10</v>
      </c>
      <c r="D1094" s="45" t="s">
        <v>2114</v>
      </c>
      <c r="E1094" s="87"/>
      <c r="F1094" s="87" t="str">
        <f>IF(INDEX(I.Electricity.P4C2,10)="","",INDEX(I.Electricity.P4C2,10))</f>
        <v/>
      </c>
      <c r="G1094" s="87"/>
      <c r="H1094" s="28" t="str">
        <f t="shared" si="16"/>
        <v>Complete</v>
      </c>
      <c r="I1094" s="46" t="s">
        <v>1228</v>
      </c>
    </row>
    <row r="1095" spans="2:9" ht="14.45" customHeight="1" x14ac:dyDescent="0.25">
      <c r="B1095" s="44" t="s">
        <v>398</v>
      </c>
      <c r="C1095" s="28">
        <v>11</v>
      </c>
      <c r="D1095" s="45" t="s">
        <v>2114</v>
      </c>
      <c r="E1095" s="87"/>
      <c r="F1095" s="87" t="str">
        <f>IF(INDEX(I.Electricity.P4C2,11)="","",INDEX(I.Electricity.P4C2,11))</f>
        <v/>
      </c>
      <c r="G1095" s="87"/>
      <c r="H1095" s="28" t="str">
        <f t="shared" si="16"/>
        <v>Complete</v>
      </c>
      <c r="I1095" s="46" t="s">
        <v>1229</v>
      </c>
    </row>
    <row r="1096" spans="2:9" ht="14.45" customHeight="1" x14ac:dyDescent="0.25">
      <c r="B1096" s="44" t="s">
        <v>398</v>
      </c>
      <c r="C1096" s="28">
        <v>12</v>
      </c>
      <c r="D1096" s="45" t="s">
        <v>2114</v>
      </c>
      <c r="E1096" s="87"/>
      <c r="F1096" s="87" t="str">
        <f>IF(INDEX(I.Electricity.P4C2,12)="","",INDEX(I.Electricity.P4C2,12))</f>
        <v/>
      </c>
      <c r="G1096" s="87"/>
      <c r="H1096" s="28" t="str">
        <f t="shared" si="16"/>
        <v>Complete</v>
      </c>
      <c r="I1096" s="46" t="s">
        <v>1230</v>
      </c>
    </row>
    <row r="1097" spans="2:9" ht="14.45" customHeight="1" x14ac:dyDescent="0.25">
      <c r="B1097" s="44" t="s">
        <v>398</v>
      </c>
      <c r="C1097" s="28">
        <v>13</v>
      </c>
      <c r="D1097" s="45" t="s">
        <v>2114</v>
      </c>
      <c r="E1097" s="87"/>
      <c r="F1097" s="87" t="str">
        <f>IF(INDEX(I.Electricity.P4C2,13)="","",INDEX(I.Electricity.P4C2,13))</f>
        <v/>
      </c>
      <c r="G1097" s="87"/>
      <c r="H1097" s="28" t="str">
        <f t="shared" si="16"/>
        <v>Complete</v>
      </c>
      <c r="I1097" s="46" t="s">
        <v>1231</v>
      </c>
    </row>
    <row r="1098" spans="2:9" ht="14.45" customHeight="1" x14ac:dyDescent="0.25">
      <c r="B1098" s="44" t="s">
        <v>398</v>
      </c>
      <c r="C1098" s="28">
        <v>14</v>
      </c>
      <c r="D1098" s="45" t="s">
        <v>2114</v>
      </c>
      <c r="E1098" s="87"/>
      <c r="F1098" s="87" t="str">
        <f>IF(INDEX(I.Electricity.P4C2,14)="","",INDEX(I.Electricity.P4C2,14))</f>
        <v/>
      </c>
      <c r="G1098" s="87"/>
      <c r="H1098" s="28" t="str">
        <f t="shared" si="16"/>
        <v>Complete</v>
      </c>
      <c r="I1098" s="46" t="s">
        <v>1232</v>
      </c>
    </row>
    <row r="1099" spans="2:9" ht="14.45" customHeight="1" x14ac:dyDescent="0.25">
      <c r="B1099" s="44" t="s">
        <v>398</v>
      </c>
      <c r="C1099" s="28">
        <v>15</v>
      </c>
      <c r="D1099" s="45" t="s">
        <v>2114</v>
      </c>
      <c r="E1099" s="87"/>
      <c r="F1099" s="87" t="str">
        <f>IF(INDEX(I.Electricity.P4C2,15)="","",INDEX(I.Electricity.P4C2,15))</f>
        <v/>
      </c>
      <c r="G1099" s="87"/>
      <c r="H1099" s="28" t="str">
        <f t="shared" si="16"/>
        <v>Complete</v>
      </c>
      <c r="I1099" s="46" t="s">
        <v>1233</v>
      </c>
    </row>
    <row r="1100" spans="2:9" ht="14.45" customHeight="1" x14ac:dyDescent="0.25">
      <c r="B1100" s="44" t="s">
        <v>398</v>
      </c>
      <c r="C1100" s="28">
        <v>16</v>
      </c>
      <c r="D1100" s="45" t="s">
        <v>2114</v>
      </c>
      <c r="E1100" s="87"/>
      <c r="F1100" s="87" t="str">
        <f>IF(INDEX(I.Electricity.P4C2,16)="","",INDEX(I.Electricity.P4C2,16))</f>
        <v/>
      </c>
      <c r="G1100" s="87"/>
      <c r="H1100" s="28" t="str">
        <f t="shared" si="16"/>
        <v>Complete</v>
      </c>
      <c r="I1100" s="46" t="s">
        <v>1234</v>
      </c>
    </row>
    <row r="1101" spans="2:9" ht="14.45" customHeight="1" x14ac:dyDescent="0.25">
      <c r="B1101" s="44" t="s">
        <v>398</v>
      </c>
      <c r="C1101" s="28">
        <v>17</v>
      </c>
      <c r="D1101" s="45" t="s">
        <v>2114</v>
      </c>
      <c r="E1101" s="87"/>
      <c r="F1101" s="87" t="str">
        <f>IF(INDEX(I.Electricity.P4C2,17)="","",INDEX(I.Electricity.P4C2,17))</f>
        <v/>
      </c>
      <c r="G1101" s="87"/>
      <c r="H1101" s="28" t="str">
        <f t="shared" si="16"/>
        <v>Complete</v>
      </c>
      <c r="I1101" s="46" t="s">
        <v>1235</v>
      </c>
    </row>
    <row r="1102" spans="2:9" ht="14.45" customHeight="1" x14ac:dyDescent="0.25">
      <c r="B1102" s="44" t="s">
        <v>398</v>
      </c>
      <c r="C1102" s="28">
        <v>18</v>
      </c>
      <c r="D1102" s="45" t="s">
        <v>2114</v>
      </c>
      <c r="E1102" s="87"/>
      <c r="F1102" s="87" t="str">
        <f>IF(INDEX(I.Electricity.P4C2,18)="","",INDEX(I.Electricity.P4C2,18))</f>
        <v/>
      </c>
      <c r="G1102" s="87"/>
      <c r="H1102" s="28" t="str">
        <f t="shared" si="16"/>
        <v>Complete</v>
      </c>
      <c r="I1102" s="46" t="s">
        <v>1236</v>
      </c>
    </row>
    <row r="1103" spans="2:9" ht="14.45" customHeight="1" x14ac:dyDescent="0.25">
      <c r="B1103" s="44" t="s">
        <v>398</v>
      </c>
      <c r="C1103" s="28">
        <v>19</v>
      </c>
      <c r="D1103" s="45" t="s">
        <v>2114</v>
      </c>
      <c r="E1103" s="87"/>
      <c r="F1103" s="87" t="str">
        <f>IF(INDEX(I.Electricity.P4C2,19)="","",INDEX(I.Electricity.P4C2,19))</f>
        <v/>
      </c>
      <c r="G1103" s="87"/>
      <c r="H1103" s="28" t="str">
        <f t="shared" si="16"/>
        <v>Complete</v>
      </c>
      <c r="I1103" s="46" t="s">
        <v>1237</v>
      </c>
    </row>
    <row r="1104" spans="2:9" ht="14.45" customHeight="1" x14ac:dyDescent="0.25">
      <c r="B1104" s="44" t="s">
        <v>398</v>
      </c>
      <c r="C1104" s="28">
        <v>20</v>
      </c>
      <c r="D1104" s="45" t="s">
        <v>2114</v>
      </c>
      <c r="E1104" s="87"/>
      <c r="F1104" s="87" t="str">
        <f>IF(INDEX(I.Electricity.P4C2,20)="","",INDEX(I.Electricity.P4C2,20))</f>
        <v/>
      </c>
      <c r="G1104" s="87"/>
      <c r="H1104" s="28" t="str">
        <f t="shared" si="16"/>
        <v>Complete</v>
      </c>
      <c r="I1104" s="46" t="s">
        <v>1238</v>
      </c>
    </row>
    <row r="1105" spans="2:9" ht="14.45" customHeight="1" x14ac:dyDescent="0.25">
      <c r="B1105" s="44" t="s">
        <v>398</v>
      </c>
      <c r="C1105" s="28">
        <v>21</v>
      </c>
      <c r="D1105" s="45" t="s">
        <v>2114</v>
      </c>
      <c r="E1105" s="87"/>
      <c r="F1105" s="87" t="str">
        <f>IF(INDEX(I.Electricity.P4C2,21)="","",INDEX(I.Electricity.P4C2,21))</f>
        <v/>
      </c>
      <c r="G1105" s="87"/>
      <c r="H1105" s="28" t="str">
        <f t="shared" si="16"/>
        <v>Complete</v>
      </c>
      <c r="I1105" s="46" t="s">
        <v>1239</v>
      </c>
    </row>
    <row r="1106" spans="2:9" ht="14.45" customHeight="1" x14ac:dyDescent="0.25">
      <c r="B1106" s="44" t="s">
        <v>398</v>
      </c>
      <c r="C1106" s="28">
        <v>22</v>
      </c>
      <c r="D1106" s="45" t="s">
        <v>2114</v>
      </c>
      <c r="E1106" s="87"/>
      <c r="F1106" s="87" t="str">
        <f>IF(INDEX(I.Electricity.P4C2,22)="","",INDEX(I.Electricity.P4C2,22))</f>
        <v/>
      </c>
      <c r="G1106" s="87"/>
      <c r="H1106" s="28" t="str">
        <f t="shared" si="16"/>
        <v>Complete</v>
      </c>
      <c r="I1106" s="46" t="s">
        <v>1240</v>
      </c>
    </row>
    <row r="1107" spans="2:9" ht="14.45" customHeight="1" x14ac:dyDescent="0.25">
      <c r="B1107" s="44" t="s">
        <v>398</v>
      </c>
      <c r="C1107" s="28">
        <v>23</v>
      </c>
      <c r="D1107" s="45" t="s">
        <v>2114</v>
      </c>
      <c r="E1107" s="87"/>
      <c r="F1107" s="87" t="str">
        <f>IF(INDEX(I.Electricity.P4C2,23)="","",INDEX(I.Electricity.P4C2,23))</f>
        <v/>
      </c>
      <c r="G1107" s="87"/>
      <c r="H1107" s="28" t="str">
        <f t="shared" si="16"/>
        <v>Complete</v>
      </c>
      <c r="I1107" s="46" t="s">
        <v>1241</v>
      </c>
    </row>
    <row r="1108" spans="2:9" ht="14.45" customHeight="1" x14ac:dyDescent="0.25">
      <c r="B1108" s="53" t="s">
        <v>398</v>
      </c>
      <c r="C1108" s="66">
        <v>24</v>
      </c>
      <c r="D1108" s="54" t="s">
        <v>2114</v>
      </c>
      <c r="E1108" s="88"/>
      <c r="F1108" s="88" t="str">
        <f>IF(INDEX(I.Electricity.P4C2,24)="","",INDEX(I.Electricity.P4C2,24))</f>
        <v/>
      </c>
      <c r="G1108" s="88"/>
      <c r="H1108" s="66" t="str">
        <f t="shared" si="16"/>
        <v>Complete</v>
      </c>
      <c r="I1108" s="68" t="s">
        <v>1242</v>
      </c>
    </row>
    <row r="1109" spans="2:9" ht="14.45" customHeight="1" x14ac:dyDescent="0.25">
      <c r="B1109" s="44" t="s">
        <v>399</v>
      </c>
      <c r="C1109" s="28">
        <v>1</v>
      </c>
      <c r="D1109" s="45" t="s">
        <v>2115</v>
      </c>
      <c r="E1109" s="87"/>
      <c r="F1109" s="87" t="str">
        <f>IF(INDEX(I.Electricity.P4C3,1)="","",INDEX(I.Electricity.P4C3,1))</f>
        <v/>
      </c>
      <c r="G1109" s="87"/>
      <c r="H1109" s="28" t="str">
        <f t="shared" ref="H1109:H1129" si="17">IF(AND(I.Facility.ProductCount&gt;=4,I.Product.P4Electricity="Yes",I.Developer.P4C3=TRUE,F1109=""),"Incomplete","Complete")</f>
        <v>Complete</v>
      </c>
      <c r="I1109" s="46" t="s">
        <v>1243</v>
      </c>
    </row>
    <row r="1110" spans="2:9" ht="14.45" customHeight="1" x14ac:dyDescent="0.25">
      <c r="B1110" s="44" t="s">
        <v>399</v>
      </c>
      <c r="C1110" s="28">
        <v>2</v>
      </c>
      <c r="D1110" s="45" t="s">
        <v>2115</v>
      </c>
      <c r="E1110" s="87"/>
      <c r="F1110" s="87" t="str">
        <f>IF(INDEX(I.Electricity.P4C3,2)="","",INDEX(I.Electricity.P4C3,2))</f>
        <v/>
      </c>
      <c r="G1110" s="87"/>
      <c r="H1110" s="28" t="str">
        <f t="shared" si="17"/>
        <v>Complete</v>
      </c>
      <c r="I1110" s="46" t="s">
        <v>1244</v>
      </c>
    </row>
    <row r="1111" spans="2:9" ht="14.45" customHeight="1" x14ac:dyDescent="0.25">
      <c r="B1111" s="44" t="s">
        <v>399</v>
      </c>
      <c r="C1111" s="28">
        <v>3</v>
      </c>
      <c r="D1111" s="45" t="s">
        <v>2115</v>
      </c>
      <c r="E1111" s="87"/>
      <c r="F1111" s="87" t="str">
        <f>IF(INDEX(I.Electricity.P4C3,3)="","",INDEX(I.Electricity.P4C3,3))</f>
        <v/>
      </c>
      <c r="G1111" s="87"/>
      <c r="H1111" s="28" t="str">
        <f t="shared" si="17"/>
        <v>Complete</v>
      </c>
      <c r="I1111" s="46" t="s">
        <v>1245</v>
      </c>
    </row>
    <row r="1112" spans="2:9" ht="14.45" customHeight="1" x14ac:dyDescent="0.25">
      <c r="B1112" s="44" t="s">
        <v>399</v>
      </c>
      <c r="C1112" s="28">
        <v>4</v>
      </c>
      <c r="D1112" s="45" t="s">
        <v>2115</v>
      </c>
      <c r="E1112" s="87"/>
      <c r="F1112" s="87" t="str">
        <f>IF(INDEX(I.Electricity.P4C3,4)="","",INDEX(I.Electricity.P4C3,4))</f>
        <v/>
      </c>
      <c r="G1112" s="87"/>
      <c r="H1112" s="28" t="str">
        <f t="shared" si="17"/>
        <v>Complete</v>
      </c>
      <c r="I1112" s="46" t="s">
        <v>1246</v>
      </c>
    </row>
    <row r="1113" spans="2:9" ht="14.45" customHeight="1" x14ac:dyDescent="0.25">
      <c r="B1113" s="44" t="s">
        <v>399</v>
      </c>
      <c r="C1113" s="28">
        <v>5</v>
      </c>
      <c r="D1113" s="45" t="s">
        <v>2115</v>
      </c>
      <c r="E1113" s="87"/>
      <c r="F1113" s="87" t="str">
        <f>IF(INDEX(I.Electricity.P4C3,5)="","",INDEX(I.Electricity.P4C3,5))</f>
        <v/>
      </c>
      <c r="G1113" s="87"/>
      <c r="H1113" s="28" t="str">
        <f t="shared" si="17"/>
        <v>Complete</v>
      </c>
      <c r="I1113" s="46" t="s">
        <v>1247</v>
      </c>
    </row>
    <row r="1114" spans="2:9" ht="14.45" customHeight="1" x14ac:dyDescent="0.25">
      <c r="B1114" s="44" t="s">
        <v>399</v>
      </c>
      <c r="C1114" s="28">
        <v>6</v>
      </c>
      <c r="D1114" s="45" t="s">
        <v>2115</v>
      </c>
      <c r="E1114" s="87"/>
      <c r="F1114" s="87" t="str">
        <f>IF(INDEX(I.Electricity.P4C3,6)="","",INDEX(I.Electricity.P4C3,6))</f>
        <v/>
      </c>
      <c r="G1114" s="87"/>
      <c r="H1114" s="28" t="str">
        <f t="shared" si="17"/>
        <v>Complete</v>
      </c>
      <c r="I1114" s="46" t="s">
        <v>1248</v>
      </c>
    </row>
    <row r="1115" spans="2:9" ht="14.45" customHeight="1" x14ac:dyDescent="0.25">
      <c r="B1115" s="44" t="s">
        <v>399</v>
      </c>
      <c r="C1115" s="28">
        <v>7</v>
      </c>
      <c r="D1115" s="45" t="s">
        <v>2115</v>
      </c>
      <c r="E1115" s="87"/>
      <c r="F1115" s="87" t="str">
        <f>IF(INDEX(I.Electricity.P4C3,7)="","",INDEX(I.Electricity.P4C3,7))</f>
        <v/>
      </c>
      <c r="G1115" s="87"/>
      <c r="H1115" s="28" t="str">
        <f t="shared" si="17"/>
        <v>Complete</v>
      </c>
      <c r="I1115" s="46" t="s">
        <v>1249</v>
      </c>
    </row>
    <row r="1116" spans="2:9" ht="14.45" customHeight="1" x14ac:dyDescent="0.25">
      <c r="B1116" s="44" t="s">
        <v>399</v>
      </c>
      <c r="C1116" s="28">
        <v>8</v>
      </c>
      <c r="D1116" s="45" t="s">
        <v>2115</v>
      </c>
      <c r="E1116" s="87"/>
      <c r="F1116" s="87" t="str">
        <f>IF(INDEX(I.Electricity.P4C3,8)="","",INDEX(I.Electricity.P4C3,8))</f>
        <v/>
      </c>
      <c r="G1116" s="87"/>
      <c r="H1116" s="28" t="str">
        <f t="shared" si="17"/>
        <v>Complete</v>
      </c>
      <c r="I1116" s="46" t="s">
        <v>1250</v>
      </c>
    </row>
    <row r="1117" spans="2:9" ht="14.45" customHeight="1" x14ac:dyDescent="0.25">
      <c r="B1117" s="44" t="s">
        <v>399</v>
      </c>
      <c r="C1117" s="28">
        <v>9</v>
      </c>
      <c r="D1117" s="45" t="s">
        <v>2115</v>
      </c>
      <c r="E1117" s="87"/>
      <c r="F1117" s="87" t="str">
        <f>IF(INDEX(I.Electricity.P4C3,9)="","",INDEX(I.Electricity.P4C3,9))</f>
        <v/>
      </c>
      <c r="G1117" s="87"/>
      <c r="H1117" s="28" t="str">
        <f t="shared" si="17"/>
        <v>Complete</v>
      </c>
      <c r="I1117" s="46" t="s">
        <v>1251</v>
      </c>
    </row>
    <row r="1118" spans="2:9" ht="14.45" customHeight="1" x14ac:dyDescent="0.25">
      <c r="B1118" s="44" t="s">
        <v>399</v>
      </c>
      <c r="C1118" s="28">
        <v>10</v>
      </c>
      <c r="D1118" s="45" t="s">
        <v>2115</v>
      </c>
      <c r="E1118" s="87"/>
      <c r="F1118" s="87" t="str">
        <f>IF(INDEX(I.Electricity.P4C3,10)="","",INDEX(I.Electricity.P4C3,10))</f>
        <v/>
      </c>
      <c r="G1118" s="87"/>
      <c r="H1118" s="28" t="str">
        <f t="shared" si="17"/>
        <v>Complete</v>
      </c>
      <c r="I1118" s="46" t="s">
        <v>1252</v>
      </c>
    </row>
    <row r="1119" spans="2:9" ht="14.45" customHeight="1" x14ac:dyDescent="0.25">
      <c r="B1119" s="44" t="s">
        <v>399</v>
      </c>
      <c r="C1119" s="28">
        <v>11</v>
      </c>
      <c r="D1119" s="45" t="s">
        <v>2115</v>
      </c>
      <c r="E1119" s="87"/>
      <c r="F1119" s="87" t="str">
        <f>IF(INDEX(I.Electricity.P4C3,11)="","",INDEX(I.Electricity.P4C3,11))</f>
        <v/>
      </c>
      <c r="G1119" s="87"/>
      <c r="H1119" s="28" t="str">
        <f t="shared" si="17"/>
        <v>Complete</v>
      </c>
      <c r="I1119" s="46" t="s">
        <v>1253</v>
      </c>
    </row>
    <row r="1120" spans="2:9" ht="14.45" customHeight="1" x14ac:dyDescent="0.25">
      <c r="B1120" s="44" t="s">
        <v>399</v>
      </c>
      <c r="C1120" s="28">
        <v>12</v>
      </c>
      <c r="D1120" s="45" t="s">
        <v>2115</v>
      </c>
      <c r="E1120" s="87"/>
      <c r="F1120" s="87" t="str">
        <f>IF(INDEX(I.Electricity.P4C3,12)="","",INDEX(I.Electricity.P4C3,12))</f>
        <v/>
      </c>
      <c r="G1120" s="87"/>
      <c r="H1120" s="28" t="str">
        <f t="shared" si="17"/>
        <v>Complete</v>
      </c>
      <c r="I1120" s="46" t="s">
        <v>1254</v>
      </c>
    </row>
    <row r="1121" spans="2:9" ht="14.45" customHeight="1" x14ac:dyDescent="0.25">
      <c r="B1121" s="44" t="s">
        <v>399</v>
      </c>
      <c r="C1121" s="28">
        <v>13</v>
      </c>
      <c r="D1121" s="45" t="s">
        <v>2115</v>
      </c>
      <c r="E1121" s="87"/>
      <c r="F1121" s="87" t="str">
        <f>IF(INDEX(I.Electricity.P4C3,13)="","",INDEX(I.Electricity.P4C3,13))</f>
        <v/>
      </c>
      <c r="G1121" s="87"/>
      <c r="H1121" s="28" t="str">
        <f t="shared" si="17"/>
        <v>Complete</v>
      </c>
      <c r="I1121" s="46" t="s">
        <v>1255</v>
      </c>
    </row>
    <row r="1122" spans="2:9" ht="14.45" customHeight="1" x14ac:dyDescent="0.25">
      <c r="B1122" s="44" t="s">
        <v>399</v>
      </c>
      <c r="C1122" s="28">
        <v>14</v>
      </c>
      <c r="D1122" s="45" t="s">
        <v>2115</v>
      </c>
      <c r="E1122" s="87"/>
      <c r="F1122" s="87" t="str">
        <f>IF(INDEX(I.Electricity.P4C3,14)="","",INDEX(I.Electricity.P4C3,14))</f>
        <v/>
      </c>
      <c r="G1122" s="87"/>
      <c r="H1122" s="28" t="str">
        <f t="shared" si="17"/>
        <v>Complete</v>
      </c>
      <c r="I1122" s="46" t="s">
        <v>1256</v>
      </c>
    </row>
    <row r="1123" spans="2:9" ht="14.45" customHeight="1" x14ac:dyDescent="0.25">
      <c r="B1123" s="44" t="s">
        <v>399</v>
      </c>
      <c r="C1123" s="28">
        <v>15</v>
      </c>
      <c r="D1123" s="45" t="s">
        <v>2115</v>
      </c>
      <c r="E1123" s="87"/>
      <c r="F1123" s="87" t="str">
        <f>IF(INDEX(I.Electricity.P4C3,15)="","",INDEX(I.Electricity.P4C3,15))</f>
        <v/>
      </c>
      <c r="G1123" s="87"/>
      <c r="H1123" s="28" t="str">
        <f t="shared" si="17"/>
        <v>Complete</v>
      </c>
      <c r="I1123" s="46" t="s">
        <v>1257</v>
      </c>
    </row>
    <row r="1124" spans="2:9" ht="14.45" customHeight="1" x14ac:dyDescent="0.25">
      <c r="B1124" s="44" t="s">
        <v>399</v>
      </c>
      <c r="C1124" s="28">
        <v>16</v>
      </c>
      <c r="D1124" s="45" t="s">
        <v>2115</v>
      </c>
      <c r="E1124" s="87"/>
      <c r="F1124" s="87" t="str">
        <f>IF(INDEX(I.Electricity.P4C3,16)="","",INDEX(I.Electricity.P4C3,16))</f>
        <v/>
      </c>
      <c r="G1124" s="87"/>
      <c r="H1124" s="28" t="str">
        <f t="shared" si="17"/>
        <v>Complete</v>
      </c>
      <c r="I1124" s="46" t="s">
        <v>1258</v>
      </c>
    </row>
    <row r="1125" spans="2:9" ht="14.45" customHeight="1" x14ac:dyDescent="0.25">
      <c r="B1125" s="44" t="s">
        <v>399</v>
      </c>
      <c r="C1125" s="28">
        <v>17</v>
      </c>
      <c r="D1125" s="45" t="s">
        <v>2115</v>
      </c>
      <c r="E1125" s="87"/>
      <c r="F1125" s="87" t="str">
        <f>IF(INDEX(I.Electricity.P4C3,17)="","",INDEX(I.Electricity.P4C3,17))</f>
        <v/>
      </c>
      <c r="G1125" s="87"/>
      <c r="H1125" s="28" t="str">
        <f t="shared" si="17"/>
        <v>Complete</v>
      </c>
      <c r="I1125" s="46" t="s">
        <v>1259</v>
      </c>
    </row>
    <row r="1126" spans="2:9" ht="14.45" customHeight="1" x14ac:dyDescent="0.25">
      <c r="B1126" s="44" t="s">
        <v>399</v>
      </c>
      <c r="C1126" s="28">
        <v>18</v>
      </c>
      <c r="D1126" s="45" t="s">
        <v>2115</v>
      </c>
      <c r="E1126" s="87"/>
      <c r="F1126" s="87" t="str">
        <f>IF(INDEX(I.Electricity.P4C3,18)="","",INDEX(I.Electricity.P4C3,18))</f>
        <v/>
      </c>
      <c r="G1126" s="87"/>
      <c r="H1126" s="28" t="str">
        <f t="shared" si="17"/>
        <v>Complete</v>
      </c>
      <c r="I1126" s="46" t="s">
        <v>1260</v>
      </c>
    </row>
    <row r="1127" spans="2:9" ht="14.45" customHeight="1" x14ac:dyDescent="0.25">
      <c r="B1127" s="44" t="s">
        <v>399</v>
      </c>
      <c r="C1127" s="28">
        <v>19</v>
      </c>
      <c r="D1127" s="45" t="s">
        <v>2115</v>
      </c>
      <c r="E1127" s="87"/>
      <c r="F1127" s="87" t="str">
        <f>IF(INDEX(I.Electricity.P4C3,19)="","",INDEX(I.Electricity.P4C3,19))</f>
        <v/>
      </c>
      <c r="G1127" s="87"/>
      <c r="H1127" s="28" t="str">
        <f t="shared" si="17"/>
        <v>Complete</v>
      </c>
      <c r="I1127" s="46" t="s">
        <v>1261</v>
      </c>
    </row>
    <row r="1128" spans="2:9" ht="14.45" customHeight="1" x14ac:dyDescent="0.25">
      <c r="B1128" s="44" t="s">
        <v>399</v>
      </c>
      <c r="C1128" s="28">
        <v>20</v>
      </c>
      <c r="D1128" s="45" t="s">
        <v>2115</v>
      </c>
      <c r="E1128" s="87"/>
      <c r="F1128" s="87" t="str">
        <f>IF(INDEX(I.Electricity.P4C3,20)="","",INDEX(I.Electricity.P4C3,20))</f>
        <v/>
      </c>
      <c r="G1128" s="87"/>
      <c r="H1128" s="28" t="str">
        <f t="shared" si="17"/>
        <v>Complete</v>
      </c>
      <c r="I1128" s="46" t="s">
        <v>1262</v>
      </c>
    </row>
    <row r="1129" spans="2:9" ht="14.45" customHeight="1" x14ac:dyDescent="0.25">
      <c r="B1129" s="53" t="s">
        <v>399</v>
      </c>
      <c r="C1129" s="66">
        <v>21</v>
      </c>
      <c r="D1129" s="54" t="s">
        <v>2115</v>
      </c>
      <c r="E1129" s="88"/>
      <c r="F1129" s="88" t="str">
        <f>IF(INDEX(I.Electricity.P4C3,21)="","",INDEX(I.Electricity.P4C3,21))</f>
        <v/>
      </c>
      <c r="G1129" s="88"/>
      <c r="H1129" s="66" t="str">
        <f t="shared" si="17"/>
        <v>Complete</v>
      </c>
      <c r="I1129" s="68" t="s">
        <v>1263</v>
      </c>
    </row>
    <row r="1130" spans="2:9" ht="14.45" customHeight="1" x14ac:dyDescent="0.25">
      <c r="B1130" s="44" t="s">
        <v>400</v>
      </c>
      <c r="C1130" s="28">
        <v>1</v>
      </c>
      <c r="D1130" s="45" t="s">
        <v>2116</v>
      </c>
      <c r="E1130" s="87"/>
      <c r="F1130" s="87" t="str">
        <f>IF(INDEX(I.Electricity.P4C4,1)="","",INDEX(I.Electricity.P4C4,1))</f>
        <v/>
      </c>
      <c r="G1130" s="87"/>
      <c r="H1130" s="28" t="str">
        <f>IF(AND(I.Facility.ProductCount&gt;=4,I.Product.P4Electricity="Yes",I.Developer.P4C4=TRUE,F1130=""),"Incomplete","Complete")</f>
        <v>Complete</v>
      </c>
      <c r="I1130" s="46" t="s">
        <v>1264</v>
      </c>
    </row>
    <row r="1131" spans="2:9" ht="14.45" customHeight="1" x14ac:dyDescent="0.25">
      <c r="B1131" s="44" t="s">
        <v>400</v>
      </c>
      <c r="C1131" s="28">
        <v>2</v>
      </c>
      <c r="D1131" s="45" t="s">
        <v>2116</v>
      </c>
      <c r="E1131" s="87"/>
      <c r="F1131" s="87" t="str">
        <f>IF(INDEX(I.Electricity.P4C4,2)="","",INDEX(I.Electricity.P4C4,2))</f>
        <v/>
      </c>
      <c r="G1131" s="87"/>
      <c r="H1131" s="28" t="str">
        <f>IF(AND(I.Facility.ProductCount&gt;=4,I.Product.P4Electricity="Yes",I.Developer.P4C4=TRUE,F1131=""),"Incomplete","Complete")</f>
        <v>Complete</v>
      </c>
      <c r="I1131" s="46" t="s">
        <v>1265</v>
      </c>
    </row>
    <row r="1132" spans="2:9" ht="14.45" customHeight="1" x14ac:dyDescent="0.25">
      <c r="B1132" s="53" t="s">
        <v>400</v>
      </c>
      <c r="C1132" s="66">
        <v>3</v>
      </c>
      <c r="D1132" s="54" t="s">
        <v>2116</v>
      </c>
      <c r="E1132" s="88"/>
      <c r="F1132" s="88" t="str">
        <f>IF(INDEX(I.Electricity.P4C4,3)="","",INDEX(I.Electricity.P4C4,3))</f>
        <v/>
      </c>
      <c r="G1132" s="88"/>
      <c r="H1132" s="66" t="str">
        <f>IF(AND(I.Facility.ProductCount&gt;=4,I.Product.P4Electricity="Yes",I.Developer.P4C4=TRUE,F1132=""),"Incomplete","Complete")</f>
        <v>Complete</v>
      </c>
      <c r="I1132" s="68" t="s">
        <v>1266</v>
      </c>
    </row>
    <row r="1133" spans="2:9" ht="14.45" customHeight="1" x14ac:dyDescent="0.25">
      <c r="B1133" s="44" t="s">
        <v>401</v>
      </c>
      <c r="C1133" s="28">
        <v>1</v>
      </c>
      <c r="D1133" s="45" t="s">
        <v>2117</v>
      </c>
      <c r="E1133" s="87"/>
      <c r="F1133" s="87" t="str">
        <f>IF(INDEX(I.Electricity.P4C5,1)="","",INDEX(I.Electricity.P4C5,1))</f>
        <v/>
      </c>
      <c r="G1133" s="87"/>
      <c r="H1133" s="28" t="str">
        <f>IF(AND(I.Facility.ProductCount&gt;=4,I.Product.P4Electricity="Yes",I.Developer.P4C5=TRUE,F1133=""),"Incomplete","Complete")</f>
        <v>Complete</v>
      </c>
      <c r="I1133" s="46" t="s">
        <v>1267</v>
      </c>
    </row>
    <row r="1134" spans="2:9" ht="14.45" customHeight="1" x14ac:dyDescent="0.25">
      <c r="B1134" s="44" t="s">
        <v>401</v>
      </c>
      <c r="C1134" s="28">
        <v>2</v>
      </c>
      <c r="D1134" s="45" t="s">
        <v>2117</v>
      </c>
      <c r="E1134" s="87"/>
      <c r="F1134" s="87" t="str">
        <f>IF(INDEX(I.Electricity.P4C5,2)="","",INDEX(I.Electricity.P4C5,2))</f>
        <v/>
      </c>
      <c r="G1134" s="87"/>
      <c r="H1134" s="28" t="str">
        <f>IF(AND(I.Facility.ProductCount&gt;=4,I.Product.P4Electricity="Yes",I.Developer.P4C5=TRUE,F1134=""),"Incomplete","Complete")</f>
        <v>Complete</v>
      </c>
      <c r="I1134" s="46" t="s">
        <v>1268</v>
      </c>
    </row>
    <row r="1135" spans="2:9" ht="14.45" customHeight="1" x14ac:dyDescent="0.25">
      <c r="B1135" s="53" t="s">
        <v>401</v>
      </c>
      <c r="C1135" s="66">
        <v>3</v>
      </c>
      <c r="D1135" s="54" t="s">
        <v>2117</v>
      </c>
      <c r="E1135" s="88"/>
      <c r="F1135" s="88" t="str">
        <f>IF(INDEX(I.Electricity.P4C5,3)="","",INDEX(I.Electricity.P4C5,3))</f>
        <v/>
      </c>
      <c r="G1135" s="88"/>
      <c r="H1135" s="66" t="str">
        <f>IF(AND(I.Facility.ProductCount&gt;=4,I.Product.P4Electricity="Yes",I.Developer.P4C5=TRUE,F1135=""),"Incomplete","Complete")</f>
        <v>Complete</v>
      </c>
      <c r="I1135" s="68" t="s">
        <v>1269</v>
      </c>
    </row>
    <row r="1136" spans="2:9" ht="14.45" customHeight="1" x14ac:dyDescent="0.25">
      <c r="B1136" s="44" t="s">
        <v>402</v>
      </c>
      <c r="C1136" s="28">
        <v>1</v>
      </c>
      <c r="D1136" s="45" t="s">
        <v>2118</v>
      </c>
      <c r="E1136" s="87"/>
      <c r="F1136" s="87" t="str">
        <f>IF(INDEX(I.Electricity.P4C6,1)="","",INDEX(I.Electricity.P4C6,1))</f>
        <v/>
      </c>
      <c r="G1136" s="87"/>
      <c r="H1136" s="28" t="str">
        <f>IF(AND(I.Facility.ProductCount&gt;=4,I.Product.P4Electricity="Yes",I.Developer.P4C6=TRUE,F1136=""),"Incomplete","Complete")</f>
        <v>Complete</v>
      </c>
      <c r="I1136" s="46" t="s">
        <v>1270</v>
      </c>
    </row>
    <row r="1137" spans="2:9" ht="14.45" customHeight="1" x14ac:dyDescent="0.25">
      <c r="B1137" s="44" t="s">
        <v>402</v>
      </c>
      <c r="C1137" s="28">
        <v>2</v>
      </c>
      <c r="D1137" s="45" t="s">
        <v>2118</v>
      </c>
      <c r="E1137" s="87"/>
      <c r="F1137" s="87" t="str">
        <f>IF(INDEX(I.Electricity.P4C6,2)="","",INDEX(I.Electricity.P4C6,2))</f>
        <v/>
      </c>
      <c r="G1137" s="87"/>
      <c r="H1137" s="28" t="str">
        <f>IF(AND(I.Facility.ProductCount&gt;=4,I.Product.P4Electricity="Yes",I.Developer.P4C6=TRUE,F1137=""),"Incomplete","Complete")</f>
        <v>Complete</v>
      </c>
      <c r="I1137" s="46" t="s">
        <v>1271</v>
      </c>
    </row>
    <row r="1138" spans="2:9" ht="14.45" customHeight="1" x14ac:dyDescent="0.25">
      <c r="B1138" s="53" t="s">
        <v>402</v>
      </c>
      <c r="C1138" s="66">
        <v>3</v>
      </c>
      <c r="D1138" s="54" t="s">
        <v>2118</v>
      </c>
      <c r="E1138" s="88"/>
      <c r="F1138" s="88" t="str">
        <f>IF(INDEX(I.Electricity.P4C6,3)="","",INDEX(I.Electricity.P4C6,3))</f>
        <v/>
      </c>
      <c r="G1138" s="88"/>
      <c r="H1138" s="66" t="str">
        <f>IF(AND(I.Facility.ProductCount&gt;=4,I.Product.P4Electricity="Yes",I.Developer.P4C6=TRUE,F1138=""),"Incomplete","Complete")</f>
        <v>Complete</v>
      </c>
      <c r="I1138" s="68" t="s">
        <v>1272</v>
      </c>
    </row>
    <row r="1139" spans="2:9" ht="14.45" customHeight="1" x14ac:dyDescent="0.25">
      <c r="B1139" s="44" t="s">
        <v>403</v>
      </c>
      <c r="C1139" s="28">
        <v>1</v>
      </c>
      <c r="D1139" s="45" t="s">
        <v>2119</v>
      </c>
      <c r="E1139" s="87"/>
      <c r="F1139" s="87" t="str">
        <f>IF(INDEX(I.Electricity.P4C7,1)="","",INDEX(I.Electricity.P4C7,1))</f>
        <v/>
      </c>
      <c r="G1139" s="87"/>
      <c r="H1139" s="28" t="str">
        <f>IF(AND(I.Facility.ProductCount&gt;=4,I.Product.P4Electricity="Yes",I.Developer.P4C7=TRUE,F1139=""),"Incomplete","Complete")</f>
        <v>Complete</v>
      </c>
      <c r="I1139" s="46" t="s">
        <v>1273</v>
      </c>
    </row>
    <row r="1140" spans="2:9" ht="14.45" customHeight="1" x14ac:dyDescent="0.25">
      <c r="B1140" s="44" t="s">
        <v>403</v>
      </c>
      <c r="C1140" s="28">
        <v>2</v>
      </c>
      <c r="D1140" s="45" t="s">
        <v>2119</v>
      </c>
      <c r="E1140" s="87"/>
      <c r="F1140" s="87" t="str">
        <f>IF(INDEX(I.Electricity.P4C7,2)="","",INDEX(I.Electricity.P4C7,2))</f>
        <v/>
      </c>
      <c r="G1140" s="87"/>
      <c r="H1140" s="28" t="str">
        <f>IF(AND(I.Facility.ProductCount&gt;=4,I.Product.P4Electricity="Yes",I.Developer.P4C7=TRUE,F1140=""),"Incomplete","Complete")</f>
        <v>Complete</v>
      </c>
      <c r="I1140" s="46" t="s">
        <v>1274</v>
      </c>
    </row>
    <row r="1141" spans="2:9" ht="14.45" customHeight="1" x14ac:dyDescent="0.25">
      <c r="B1141" s="53" t="s">
        <v>403</v>
      </c>
      <c r="C1141" s="66">
        <v>3</v>
      </c>
      <c r="D1141" s="54" t="s">
        <v>2119</v>
      </c>
      <c r="E1141" s="88"/>
      <c r="F1141" s="88" t="str">
        <f>IF(INDEX(I.Electricity.P4C7,3)="","",INDEX(I.Electricity.P4C7,3))</f>
        <v/>
      </c>
      <c r="G1141" s="88"/>
      <c r="H1141" s="66" t="str">
        <f>IF(AND(I.Facility.ProductCount&gt;=4,I.Product.P4Electricity="Yes",I.Developer.P4C7=TRUE,F1141=""),"Incomplete","Complete")</f>
        <v>Complete</v>
      </c>
      <c r="I1141" s="68" t="s">
        <v>1275</v>
      </c>
    </row>
    <row r="1142" spans="2:9" ht="14.45" customHeight="1" x14ac:dyDescent="0.25">
      <c r="B1142" s="44" t="s">
        <v>404</v>
      </c>
      <c r="C1142" s="28">
        <v>1</v>
      </c>
      <c r="D1142" s="45" t="s">
        <v>2120</v>
      </c>
      <c r="E1142" s="87"/>
      <c r="F1142" s="87" t="str">
        <f>IF(INDEX(I.Electricity.P4C8,1)="","",INDEX(I.Electricity.P4C8,1))</f>
        <v/>
      </c>
      <c r="G1142" s="87"/>
      <c r="H1142" s="28" t="str">
        <f>IF(AND(I.Facility.ProductCount&gt;=4,I.Product.P4Electricity="Yes",I.Developer.P4C8=TRUE,F1142=""),"Incomplete","Complete")</f>
        <v>Complete</v>
      </c>
      <c r="I1142" s="46" t="s">
        <v>1276</v>
      </c>
    </row>
    <row r="1143" spans="2:9" ht="14.45" customHeight="1" x14ac:dyDescent="0.25">
      <c r="B1143" s="44" t="s">
        <v>404</v>
      </c>
      <c r="C1143" s="28">
        <v>2</v>
      </c>
      <c r="D1143" s="45" t="s">
        <v>2120</v>
      </c>
      <c r="E1143" s="87"/>
      <c r="F1143" s="87" t="str">
        <f>IF(INDEX(I.Electricity.P4C8,2)="","",INDEX(I.Electricity.P4C8,2))</f>
        <v/>
      </c>
      <c r="G1143" s="87"/>
      <c r="H1143" s="28" t="str">
        <f>IF(AND(I.Facility.ProductCount&gt;=4,I.Product.P4Electricity="Yes",I.Developer.P4C8=TRUE,F1143=""),"Incomplete","Complete")</f>
        <v>Complete</v>
      </c>
      <c r="I1143" s="46" t="s">
        <v>1277</v>
      </c>
    </row>
    <row r="1144" spans="2:9" ht="14.45" customHeight="1" x14ac:dyDescent="0.25">
      <c r="B1144" s="53" t="s">
        <v>404</v>
      </c>
      <c r="C1144" s="66">
        <v>3</v>
      </c>
      <c r="D1144" s="54" t="s">
        <v>2120</v>
      </c>
      <c r="E1144" s="88"/>
      <c r="F1144" s="88" t="str">
        <f>IF(INDEX(I.Electricity.P4C8,3)="","",INDEX(I.Electricity.P4C8,3))</f>
        <v/>
      </c>
      <c r="G1144" s="88"/>
      <c r="H1144" s="66" t="str">
        <f>IF(AND(I.Facility.ProductCount&gt;=4,I.Product.P4Electricity="Yes",I.Developer.P4C8=TRUE,F1144=""),"Incomplete","Complete")</f>
        <v>Complete</v>
      </c>
      <c r="I1144" s="68" t="s">
        <v>1278</v>
      </c>
    </row>
    <row r="1145" spans="2:9" ht="14.45" customHeight="1" x14ac:dyDescent="0.25">
      <c r="B1145" s="44" t="s">
        <v>405</v>
      </c>
      <c r="C1145" s="28">
        <v>1</v>
      </c>
      <c r="D1145" s="45" t="s">
        <v>2121</v>
      </c>
      <c r="E1145" s="87"/>
      <c r="F1145" s="87" t="str">
        <f>IF(INDEX(I.Electricity.P4C9,1)="","",INDEX(I.Electricity.P4C9,1))</f>
        <v/>
      </c>
      <c r="G1145" s="87"/>
      <c r="H1145" s="28" t="str">
        <f>IF(AND(I.Facility.ProductCount&gt;=4,I.Product.P4Electricity="Yes",I.Developer.P4C9=TRUE,F1145=""),"Incomplete","Complete")</f>
        <v>Complete</v>
      </c>
      <c r="I1145" s="46" t="s">
        <v>1279</v>
      </c>
    </row>
    <row r="1146" spans="2:9" ht="14.45" customHeight="1" x14ac:dyDescent="0.25">
      <c r="B1146" s="44" t="s">
        <v>405</v>
      </c>
      <c r="C1146" s="28">
        <v>2</v>
      </c>
      <c r="D1146" s="45" t="s">
        <v>2121</v>
      </c>
      <c r="E1146" s="87"/>
      <c r="F1146" s="87" t="str">
        <f>IF(INDEX(I.Electricity.P4C9,2)="","",INDEX(I.Electricity.P4C9,2))</f>
        <v/>
      </c>
      <c r="G1146" s="87"/>
      <c r="H1146" s="28" t="str">
        <f>IF(AND(I.Facility.ProductCount&gt;=4,I.Product.P4Electricity="Yes",I.Developer.P4C9=TRUE,F1146=""),"Incomplete","Complete")</f>
        <v>Complete</v>
      </c>
      <c r="I1146" s="46" t="s">
        <v>1280</v>
      </c>
    </row>
    <row r="1147" spans="2:9" ht="14.45" customHeight="1" x14ac:dyDescent="0.25">
      <c r="B1147" s="53" t="s">
        <v>405</v>
      </c>
      <c r="C1147" s="66">
        <v>3</v>
      </c>
      <c r="D1147" s="54" t="s">
        <v>2121</v>
      </c>
      <c r="E1147" s="88"/>
      <c r="F1147" s="88" t="str">
        <f>IF(INDEX(I.Electricity.P4C9,3)="","",INDEX(I.Electricity.P4C9,3))</f>
        <v/>
      </c>
      <c r="G1147" s="88"/>
      <c r="H1147" s="66" t="str">
        <f>IF(AND(I.Facility.ProductCount&gt;=4,I.Product.P4Electricity="Yes",I.Developer.P4C9=TRUE,F1147=""),"Incomplete","Complete")</f>
        <v>Complete</v>
      </c>
      <c r="I1147" s="68" t="s">
        <v>1281</v>
      </c>
    </row>
    <row r="1148" spans="2:9" ht="14.45" customHeight="1" x14ac:dyDescent="0.25">
      <c r="B1148" s="44" t="s">
        <v>406</v>
      </c>
      <c r="C1148" s="28">
        <v>1</v>
      </c>
      <c r="D1148" s="45" t="s">
        <v>2122</v>
      </c>
      <c r="E1148" s="87"/>
      <c r="F1148" s="87" t="str">
        <f>IF(INDEX(I.Electricity.P5C1,1)="","",INDEX(I.Electricity.P5C1,1))</f>
        <v/>
      </c>
      <c r="G1148" s="87"/>
      <c r="H1148" s="28" t="str">
        <f>IF(AND(I.Facility.ProductCount&gt;=5,I.Product.P5Electricity="Yes",I.Developer.P5C1=TRUE,F1148=""),"Incomplete","Complete")</f>
        <v>Complete</v>
      </c>
      <c r="I1148" s="46" t="s">
        <v>1284</v>
      </c>
    </row>
    <row r="1149" spans="2:9" ht="14.45" customHeight="1" x14ac:dyDescent="0.25">
      <c r="B1149" s="44" t="s">
        <v>406</v>
      </c>
      <c r="C1149" s="28">
        <v>2</v>
      </c>
      <c r="D1149" s="45" t="s">
        <v>2122</v>
      </c>
      <c r="E1149" s="87"/>
      <c r="F1149" s="87" t="str">
        <f>IF(INDEX(I.Electricity.P5C1,2)="","",INDEX(I.Electricity.P5C1,2))</f>
        <v/>
      </c>
      <c r="G1149" s="87"/>
      <c r="H1149" s="28" t="str">
        <f>IF(AND(I.Facility.ProductCount&gt;=5,I.Product.P5Electricity="Yes",I.Developer.P5C1=TRUE,F1149=""),"Incomplete","Complete")</f>
        <v>Complete</v>
      </c>
      <c r="I1149" s="46" t="s">
        <v>1285</v>
      </c>
    </row>
    <row r="1150" spans="2:9" ht="14.45" customHeight="1" x14ac:dyDescent="0.25">
      <c r="B1150" s="53" t="s">
        <v>406</v>
      </c>
      <c r="C1150" s="66">
        <v>3</v>
      </c>
      <c r="D1150" s="54" t="s">
        <v>2122</v>
      </c>
      <c r="E1150" s="88"/>
      <c r="F1150" s="88" t="str">
        <f>IF(INDEX(I.Electricity.P5C1,3)="","",INDEX(I.Electricity.P5C1,3))</f>
        <v/>
      </c>
      <c r="G1150" s="88"/>
      <c r="H1150" s="66" t="str">
        <f>IF(AND(I.Facility.ProductCount&gt;=5,I.Product.P5Electricity="Yes",I.Developer.P5C1=TRUE,F1150=""),"Incomplete","Complete")</f>
        <v>Complete</v>
      </c>
      <c r="I1150" s="68" t="s">
        <v>1286</v>
      </c>
    </row>
    <row r="1151" spans="2:9" ht="14.45" customHeight="1" x14ac:dyDescent="0.25">
      <c r="B1151" s="44" t="s">
        <v>407</v>
      </c>
      <c r="C1151" s="28">
        <v>1</v>
      </c>
      <c r="D1151" s="45" t="s">
        <v>2123</v>
      </c>
      <c r="E1151" s="87"/>
      <c r="F1151" s="87" t="str">
        <f>IF(INDEX(I.Electricity.P5C2,1)="","",INDEX(I.Electricity.P5C2,1))</f>
        <v/>
      </c>
      <c r="G1151" s="87"/>
      <c r="H1151" s="28" t="str">
        <f t="shared" ref="H1151:H1174" si="18">IF(AND(I.Facility.ProductCount&gt;=5,I.Product.P5Electricity="Yes",I.Developer.P5C2=TRUE,F1151=""),"Incomplete","Complete")</f>
        <v>Complete</v>
      </c>
      <c r="I1151" s="46" t="s">
        <v>1287</v>
      </c>
    </row>
    <row r="1152" spans="2:9" ht="14.45" customHeight="1" x14ac:dyDescent="0.25">
      <c r="B1152" s="44" t="s">
        <v>407</v>
      </c>
      <c r="C1152" s="28">
        <v>2</v>
      </c>
      <c r="D1152" s="45" t="s">
        <v>2123</v>
      </c>
      <c r="E1152" s="87"/>
      <c r="F1152" s="87" t="str">
        <f>IF(INDEX(I.Electricity.P5C2,2)="","",INDEX(I.Electricity.P5C2,2))</f>
        <v/>
      </c>
      <c r="G1152" s="87"/>
      <c r="H1152" s="28" t="str">
        <f t="shared" si="18"/>
        <v>Complete</v>
      </c>
      <c r="I1152" s="46" t="s">
        <v>1288</v>
      </c>
    </row>
    <row r="1153" spans="2:9" ht="14.45" customHeight="1" x14ac:dyDescent="0.25">
      <c r="B1153" s="44" t="s">
        <v>407</v>
      </c>
      <c r="C1153" s="28">
        <v>3</v>
      </c>
      <c r="D1153" s="45" t="s">
        <v>2123</v>
      </c>
      <c r="E1153" s="87"/>
      <c r="F1153" s="87" t="str">
        <f>IF(INDEX(I.Electricity.P5C2,3)="","",INDEX(I.Electricity.P5C2,3))</f>
        <v/>
      </c>
      <c r="G1153" s="87"/>
      <c r="H1153" s="28" t="str">
        <f t="shared" si="18"/>
        <v>Complete</v>
      </c>
      <c r="I1153" s="46" t="s">
        <v>1289</v>
      </c>
    </row>
    <row r="1154" spans="2:9" ht="14.45" customHeight="1" x14ac:dyDescent="0.25">
      <c r="B1154" s="44" t="s">
        <v>407</v>
      </c>
      <c r="C1154" s="28">
        <v>4</v>
      </c>
      <c r="D1154" s="45" t="s">
        <v>2123</v>
      </c>
      <c r="E1154" s="87"/>
      <c r="F1154" s="87" t="str">
        <f>IF(INDEX(I.Electricity.P5C2,4)="","",INDEX(I.Electricity.P5C2,4))</f>
        <v/>
      </c>
      <c r="G1154" s="87"/>
      <c r="H1154" s="28" t="str">
        <f t="shared" si="18"/>
        <v>Complete</v>
      </c>
      <c r="I1154" s="46" t="s">
        <v>1290</v>
      </c>
    </row>
    <row r="1155" spans="2:9" ht="14.45" customHeight="1" x14ac:dyDescent="0.25">
      <c r="B1155" s="44" t="s">
        <v>407</v>
      </c>
      <c r="C1155" s="28">
        <v>5</v>
      </c>
      <c r="D1155" s="45" t="s">
        <v>2123</v>
      </c>
      <c r="E1155" s="87"/>
      <c r="F1155" s="87" t="str">
        <f>IF(INDEX(I.Electricity.P5C2,5)="","",INDEX(I.Electricity.P5C2,5))</f>
        <v/>
      </c>
      <c r="G1155" s="87"/>
      <c r="H1155" s="28" t="str">
        <f t="shared" si="18"/>
        <v>Complete</v>
      </c>
      <c r="I1155" s="46" t="s">
        <v>1291</v>
      </c>
    </row>
    <row r="1156" spans="2:9" ht="14.45" customHeight="1" x14ac:dyDescent="0.25">
      <c r="B1156" s="44" t="s">
        <v>407</v>
      </c>
      <c r="C1156" s="28">
        <v>6</v>
      </c>
      <c r="D1156" s="45" t="s">
        <v>2123</v>
      </c>
      <c r="E1156" s="87"/>
      <c r="F1156" s="87" t="str">
        <f>IF(INDEX(I.Electricity.P5C2,6)="","",INDEX(I.Electricity.P5C2,6))</f>
        <v/>
      </c>
      <c r="G1156" s="87"/>
      <c r="H1156" s="28" t="str">
        <f t="shared" si="18"/>
        <v>Complete</v>
      </c>
      <c r="I1156" s="46" t="s">
        <v>1292</v>
      </c>
    </row>
    <row r="1157" spans="2:9" ht="14.45" customHeight="1" x14ac:dyDescent="0.25">
      <c r="B1157" s="44" t="s">
        <v>407</v>
      </c>
      <c r="C1157" s="28">
        <v>7</v>
      </c>
      <c r="D1157" s="45" t="s">
        <v>2123</v>
      </c>
      <c r="E1157" s="87"/>
      <c r="F1157" s="87" t="str">
        <f>IF(INDEX(I.Electricity.P5C2,7)="","",INDEX(I.Electricity.P5C2,7))</f>
        <v/>
      </c>
      <c r="G1157" s="87"/>
      <c r="H1157" s="28" t="str">
        <f t="shared" si="18"/>
        <v>Complete</v>
      </c>
      <c r="I1157" s="46" t="s">
        <v>1293</v>
      </c>
    </row>
    <row r="1158" spans="2:9" ht="14.45" customHeight="1" x14ac:dyDescent="0.25">
      <c r="B1158" s="44" t="s">
        <v>407</v>
      </c>
      <c r="C1158" s="28">
        <v>8</v>
      </c>
      <c r="D1158" s="45" t="s">
        <v>2123</v>
      </c>
      <c r="E1158" s="87"/>
      <c r="F1158" s="87" t="str">
        <f>IF(INDEX(I.Electricity.P5C2,8)="","",INDEX(I.Electricity.P5C2,8))</f>
        <v/>
      </c>
      <c r="G1158" s="87"/>
      <c r="H1158" s="28" t="str">
        <f t="shared" si="18"/>
        <v>Complete</v>
      </c>
      <c r="I1158" s="46" t="s">
        <v>1294</v>
      </c>
    </row>
    <row r="1159" spans="2:9" ht="14.45" customHeight="1" x14ac:dyDescent="0.25">
      <c r="B1159" s="44" t="s">
        <v>407</v>
      </c>
      <c r="C1159" s="28">
        <v>9</v>
      </c>
      <c r="D1159" s="45" t="s">
        <v>2123</v>
      </c>
      <c r="E1159" s="87"/>
      <c r="F1159" s="87" t="str">
        <f>IF(INDEX(I.Electricity.P5C2,9)="","",INDEX(I.Electricity.P5C2,9))</f>
        <v/>
      </c>
      <c r="G1159" s="87"/>
      <c r="H1159" s="28" t="str">
        <f t="shared" si="18"/>
        <v>Complete</v>
      </c>
      <c r="I1159" s="46" t="s">
        <v>1295</v>
      </c>
    </row>
    <row r="1160" spans="2:9" ht="14.45" customHeight="1" x14ac:dyDescent="0.25">
      <c r="B1160" s="44" t="s">
        <v>407</v>
      </c>
      <c r="C1160" s="28">
        <v>10</v>
      </c>
      <c r="D1160" s="45" t="s">
        <v>2123</v>
      </c>
      <c r="E1160" s="87"/>
      <c r="F1160" s="87" t="str">
        <f>IF(INDEX(I.Electricity.P5C2,10)="","",INDEX(I.Electricity.P5C2,10))</f>
        <v/>
      </c>
      <c r="G1160" s="87"/>
      <c r="H1160" s="28" t="str">
        <f t="shared" si="18"/>
        <v>Complete</v>
      </c>
      <c r="I1160" s="46" t="s">
        <v>1296</v>
      </c>
    </row>
    <row r="1161" spans="2:9" ht="14.45" customHeight="1" x14ac:dyDescent="0.25">
      <c r="B1161" s="44" t="s">
        <v>407</v>
      </c>
      <c r="C1161" s="28">
        <v>11</v>
      </c>
      <c r="D1161" s="45" t="s">
        <v>2123</v>
      </c>
      <c r="E1161" s="87"/>
      <c r="F1161" s="87" t="str">
        <f>IF(INDEX(I.Electricity.P5C2,11)="","",INDEX(I.Electricity.P5C2,11))</f>
        <v/>
      </c>
      <c r="G1161" s="87"/>
      <c r="H1161" s="28" t="str">
        <f t="shared" si="18"/>
        <v>Complete</v>
      </c>
      <c r="I1161" s="46" t="s">
        <v>1297</v>
      </c>
    </row>
    <row r="1162" spans="2:9" ht="14.45" customHeight="1" x14ac:dyDescent="0.25">
      <c r="B1162" s="44" t="s">
        <v>407</v>
      </c>
      <c r="C1162" s="28">
        <v>12</v>
      </c>
      <c r="D1162" s="45" t="s">
        <v>2123</v>
      </c>
      <c r="E1162" s="87"/>
      <c r="F1162" s="87" t="str">
        <f>IF(INDEX(I.Electricity.P5C2,12)="","",INDEX(I.Electricity.P5C2,12))</f>
        <v/>
      </c>
      <c r="G1162" s="87"/>
      <c r="H1162" s="28" t="str">
        <f t="shared" si="18"/>
        <v>Complete</v>
      </c>
      <c r="I1162" s="46" t="s">
        <v>1298</v>
      </c>
    </row>
    <row r="1163" spans="2:9" ht="14.45" customHeight="1" x14ac:dyDescent="0.25">
      <c r="B1163" s="44" t="s">
        <v>407</v>
      </c>
      <c r="C1163" s="28">
        <v>13</v>
      </c>
      <c r="D1163" s="45" t="s">
        <v>2123</v>
      </c>
      <c r="E1163" s="87"/>
      <c r="F1163" s="87" t="str">
        <f>IF(INDEX(I.Electricity.P5C2,13)="","",INDEX(I.Electricity.P5C2,13))</f>
        <v/>
      </c>
      <c r="G1163" s="87"/>
      <c r="H1163" s="28" t="str">
        <f t="shared" si="18"/>
        <v>Complete</v>
      </c>
      <c r="I1163" s="46" t="s">
        <v>1299</v>
      </c>
    </row>
    <row r="1164" spans="2:9" ht="14.45" customHeight="1" x14ac:dyDescent="0.25">
      <c r="B1164" s="44" t="s">
        <v>407</v>
      </c>
      <c r="C1164" s="28">
        <v>14</v>
      </c>
      <c r="D1164" s="45" t="s">
        <v>2123</v>
      </c>
      <c r="E1164" s="87"/>
      <c r="F1164" s="87" t="str">
        <f>IF(INDEX(I.Electricity.P5C2,14)="","",INDEX(I.Electricity.P5C2,14))</f>
        <v/>
      </c>
      <c r="G1164" s="87"/>
      <c r="H1164" s="28" t="str">
        <f t="shared" si="18"/>
        <v>Complete</v>
      </c>
      <c r="I1164" s="46" t="s">
        <v>1300</v>
      </c>
    </row>
    <row r="1165" spans="2:9" ht="14.45" customHeight="1" x14ac:dyDescent="0.25">
      <c r="B1165" s="44" t="s">
        <v>407</v>
      </c>
      <c r="C1165" s="28">
        <v>15</v>
      </c>
      <c r="D1165" s="45" t="s">
        <v>2123</v>
      </c>
      <c r="E1165" s="87"/>
      <c r="F1165" s="87" t="str">
        <f>IF(INDEX(I.Electricity.P5C2,15)="","",INDEX(I.Electricity.P5C2,15))</f>
        <v/>
      </c>
      <c r="G1165" s="87"/>
      <c r="H1165" s="28" t="str">
        <f t="shared" si="18"/>
        <v>Complete</v>
      </c>
      <c r="I1165" s="46" t="s">
        <v>1301</v>
      </c>
    </row>
    <row r="1166" spans="2:9" ht="14.45" customHeight="1" x14ac:dyDescent="0.25">
      <c r="B1166" s="44" t="s">
        <v>407</v>
      </c>
      <c r="C1166" s="28">
        <v>16</v>
      </c>
      <c r="D1166" s="45" t="s">
        <v>2123</v>
      </c>
      <c r="E1166" s="87"/>
      <c r="F1166" s="87" t="str">
        <f>IF(INDEX(I.Electricity.P5C2,16)="","",INDEX(I.Electricity.P5C2,16))</f>
        <v/>
      </c>
      <c r="G1166" s="87"/>
      <c r="H1166" s="28" t="str">
        <f t="shared" si="18"/>
        <v>Complete</v>
      </c>
      <c r="I1166" s="46" t="s">
        <v>1302</v>
      </c>
    </row>
    <row r="1167" spans="2:9" ht="14.45" customHeight="1" x14ac:dyDescent="0.25">
      <c r="B1167" s="44" t="s">
        <v>407</v>
      </c>
      <c r="C1167" s="28">
        <v>17</v>
      </c>
      <c r="D1167" s="45" t="s">
        <v>2123</v>
      </c>
      <c r="E1167" s="87"/>
      <c r="F1167" s="87" t="str">
        <f>IF(INDEX(I.Electricity.P5C2,17)="","",INDEX(I.Electricity.P5C2,17))</f>
        <v/>
      </c>
      <c r="G1167" s="87"/>
      <c r="H1167" s="28" t="str">
        <f t="shared" si="18"/>
        <v>Complete</v>
      </c>
      <c r="I1167" s="46" t="s">
        <v>1303</v>
      </c>
    </row>
    <row r="1168" spans="2:9" ht="14.45" customHeight="1" x14ac:dyDescent="0.25">
      <c r="B1168" s="44" t="s">
        <v>407</v>
      </c>
      <c r="C1168" s="28">
        <v>18</v>
      </c>
      <c r="D1168" s="45" t="s">
        <v>2123</v>
      </c>
      <c r="E1168" s="87"/>
      <c r="F1168" s="87" t="str">
        <f>IF(INDEX(I.Electricity.P5C2,18)="","",INDEX(I.Electricity.P5C2,18))</f>
        <v/>
      </c>
      <c r="G1168" s="87"/>
      <c r="H1168" s="28" t="str">
        <f t="shared" si="18"/>
        <v>Complete</v>
      </c>
      <c r="I1168" s="46" t="s">
        <v>1304</v>
      </c>
    </row>
    <row r="1169" spans="2:9" ht="14.45" customHeight="1" x14ac:dyDescent="0.25">
      <c r="B1169" s="44" t="s">
        <v>407</v>
      </c>
      <c r="C1169" s="28">
        <v>19</v>
      </c>
      <c r="D1169" s="45" t="s">
        <v>2123</v>
      </c>
      <c r="E1169" s="87"/>
      <c r="F1169" s="87" t="str">
        <f>IF(INDEX(I.Electricity.P5C2,19)="","",INDEX(I.Electricity.P5C2,19))</f>
        <v/>
      </c>
      <c r="G1169" s="87"/>
      <c r="H1169" s="28" t="str">
        <f t="shared" si="18"/>
        <v>Complete</v>
      </c>
      <c r="I1169" s="46" t="s">
        <v>1305</v>
      </c>
    </row>
    <row r="1170" spans="2:9" ht="14.45" customHeight="1" x14ac:dyDescent="0.25">
      <c r="B1170" s="44" t="s">
        <v>407</v>
      </c>
      <c r="C1170" s="28">
        <v>20</v>
      </c>
      <c r="D1170" s="45" t="s">
        <v>2123</v>
      </c>
      <c r="E1170" s="87"/>
      <c r="F1170" s="87" t="str">
        <f>IF(INDEX(I.Electricity.P5C2,20)="","",INDEX(I.Electricity.P5C2,20))</f>
        <v/>
      </c>
      <c r="G1170" s="87"/>
      <c r="H1170" s="28" t="str">
        <f t="shared" si="18"/>
        <v>Complete</v>
      </c>
      <c r="I1170" s="46" t="s">
        <v>1306</v>
      </c>
    </row>
    <row r="1171" spans="2:9" ht="14.45" customHeight="1" x14ac:dyDescent="0.25">
      <c r="B1171" s="44" t="s">
        <v>407</v>
      </c>
      <c r="C1171" s="28">
        <v>21</v>
      </c>
      <c r="D1171" s="45" t="s">
        <v>2123</v>
      </c>
      <c r="E1171" s="87"/>
      <c r="F1171" s="87" t="str">
        <f>IF(INDEX(I.Electricity.P5C2,21)="","",INDEX(I.Electricity.P5C2,21))</f>
        <v/>
      </c>
      <c r="G1171" s="87"/>
      <c r="H1171" s="28" t="str">
        <f t="shared" si="18"/>
        <v>Complete</v>
      </c>
      <c r="I1171" s="46" t="s">
        <v>1307</v>
      </c>
    </row>
    <row r="1172" spans="2:9" ht="14.45" customHeight="1" x14ac:dyDescent="0.25">
      <c r="B1172" s="44" t="s">
        <v>407</v>
      </c>
      <c r="C1172" s="28">
        <v>22</v>
      </c>
      <c r="D1172" s="45" t="s">
        <v>2123</v>
      </c>
      <c r="E1172" s="87"/>
      <c r="F1172" s="87" t="str">
        <f>IF(INDEX(I.Electricity.P5C2,22)="","",INDEX(I.Electricity.P5C2,22))</f>
        <v/>
      </c>
      <c r="G1172" s="87"/>
      <c r="H1172" s="28" t="str">
        <f t="shared" si="18"/>
        <v>Complete</v>
      </c>
      <c r="I1172" s="46" t="s">
        <v>1308</v>
      </c>
    </row>
    <row r="1173" spans="2:9" ht="14.45" customHeight="1" x14ac:dyDescent="0.25">
      <c r="B1173" s="44" t="s">
        <v>407</v>
      </c>
      <c r="C1173" s="28">
        <v>23</v>
      </c>
      <c r="D1173" s="45" t="s">
        <v>2123</v>
      </c>
      <c r="E1173" s="87"/>
      <c r="F1173" s="87" t="str">
        <f>IF(INDEX(I.Electricity.P5C2,23)="","",INDEX(I.Electricity.P5C2,23))</f>
        <v/>
      </c>
      <c r="G1173" s="87"/>
      <c r="H1173" s="28" t="str">
        <f t="shared" si="18"/>
        <v>Complete</v>
      </c>
      <c r="I1173" s="46" t="s">
        <v>1309</v>
      </c>
    </row>
    <row r="1174" spans="2:9" ht="14.45" customHeight="1" x14ac:dyDescent="0.25">
      <c r="B1174" s="53" t="s">
        <v>407</v>
      </c>
      <c r="C1174" s="66">
        <v>24</v>
      </c>
      <c r="D1174" s="54" t="s">
        <v>2123</v>
      </c>
      <c r="E1174" s="88"/>
      <c r="F1174" s="88" t="str">
        <f>IF(INDEX(I.Electricity.P5C2,24)="","",INDEX(I.Electricity.P5C2,24))</f>
        <v/>
      </c>
      <c r="G1174" s="88"/>
      <c r="H1174" s="66" t="str">
        <f t="shared" si="18"/>
        <v>Complete</v>
      </c>
      <c r="I1174" s="68" t="s">
        <v>1310</v>
      </c>
    </row>
    <row r="1175" spans="2:9" ht="14.45" customHeight="1" x14ac:dyDescent="0.25">
      <c r="B1175" s="44" t="s">
        <v>408</v>
      </c>
      <c r="C1175" s="28">
        <v>1</v>
      </c>
      <c r="D1175" s="45" t="s">
        <v>2124</v>
      </c>
      <c r="E1175" s="87"/>
      <c r="F1175" s="87" t="str">
        <f>IF(INDEX(I.Electricity.P5C3,1)="","",INDEX(I.Electricity.P5C3,1))</f>
        <v/>
      </c>
      <c r="G1175" s="87"/>
      <c r="H1175" s="28" t="str">
        <f t="shared" ref="H1175:H1195" si="19">IF(AND(I.Facility.ProductCount&gt;=5,I.Product.P5Electricity="Yes",I.Developer.P5C3=TRUE,F1175=""),"Incomplete","Complete")</f>
        <v>Complete</v>
      </c>
      <c r="I1175" s="46" t="s">
        <v>1311</v>
      </c>
    </row>
    <row r="1176" spans="2:9" ht="14.45" customHeight="1" x14ac:dyDescent="0.25">
      <c r="B1176" s="44" t="s">
        <v>408</v>
      </c>
      <c r="C1176" s="28">
        <v>2</v>
      </c>
      <c r="D1176" s="45" t="s">
        <v>2124</v>
      </c>
      <c r="E1176" s="87"/>
      <c r="F1176" s="87" t="str">
        <f>IF(INDEX(I.Electricity.P5C3,2)="","",INDEX(I.Electricity.P5C3,2))</f>
        <v/>
      </c>
      <c r="G1176" s="87"/>
      <c r="H1176" s="28" t="str">
        <f t="shared" si="19"/>
        <v>Complete</v>
      </c>
      <c r="I1176" s="46" t="s">
        <v>1312</v>
      </c>
    </row>
    <row r="1177" spans="2:9" ht="14.45" customHeight="1" x14ac:dyDescent="0.25">
      <c r="B1177" s="44" t="s">
        <v>408</v>
      </c>
      <c r="C1177" s="28">
        <v>3</v>
      </c>
      <c r="D1177" s="45" t="s">
        <v>2124</v>
      </c>
      <c r="E1177" s="87"/>
      <c r="F1177" s="87" t="str">
        <f>IF(INDEX(I.Electricity.P5C3,3)="","",INDEX(I.Electricity.P5C3,3))</f>
        <v/>
      </c>
      <c r="G1177" s="87"/>
      <c r="H1177" s="28" t="str">
        <f t="shared" si="19"/>
        <v>Complete</v>
      </c>
      <c r="I1177" s="46" t="s">
        <v>1313</v>
      </c>
    </row>
    <row r="1178" spans="2:9" ht="14.45" customHeight="1" x14ac:dyDescent="0.25">
      <c r="B1178" s="44" t="s">
        <v>408</v>
      </c>
      <c r="C1178" s="28">
        <v>4</v>
      </c>
      <c r="D1178" s="45" t="s">
        <v>2124</v>
      </c>
      <c r="E1178" s="87"/>
      <c r="F1178" s="87" t="str">
        <f>IF(INDEX(I.Electricity.P5C3,4)="","",INDEX(I.Electricity.P5C3,4))</f>
        <v/>
      </c>
      <c r="G1178" s="87"/>
      <c r="H1178" s="28" t="str">
        <f t="shared" si="19"/>
        <v>Complete</v>
      </c>
      <c r="I1178" s="46" t="s">
        <v>1314</v>
      </c>
    </row>
    <row r="1179" spans="2:9" ht="14.45" customHeight="1" x14ac:dyDescent="0.25">
      <c r="B1179" s="44" t="s">
        <v>408</v>
      </c>
      <c r="C1179" s="28">
        <v>5</v>
      </c>
      <c r="D1179" s="45" t="s">
        <v>2124</v>
      </c>
      <c r="E1179" s="87"/>
      <c r="F1179" s="87" t="str">
        <f>IF(INDEX(I.Electricity.P5C3,5)="","",INDEX(I.Electricity.P5C3,5))</f>
        <v/>
      </c>
      <c r="G1179" s="87"/>
      <c r="H1179" s="28" t="str">
        <f t="shared" si="19"/>
        <v>Complete</v>
      </c>
      <c r="I1179" s="46" t="s">
        <v>1315</v>
      </c>
    </row>
    <row r="1180" spans="2:9" ht="14.45" customHeight="1" x14ac:dyDescent="0.25">
      <c r="B1180" s="44" t="s">
        <v>408</v>
      </c>
      <c r="C1180" s="28">
        <v>6</v>
      </c>
      <c r="D1180" s="45" t="s">
        <v>2124</v>
      </c>
      <c r="E1180" s="87"/>
      <c r="F1180" s="87" t="str">
        <f>IF(INDEX(I.Electricity.P5C3,6)="","",INDEX(I.Electricity.P5C3,6))</f>
        <v/>
      </c>
      <c r="G1180" s="87"/>
      <c r="H1180" s="28" t="str">
        <f t="shared" si="19"/>
        <v>Complete</v>
      </c>
      <c r="I1180" s="46" t="s">
        <v>1316</v>
      </c>
    </row>
    <row r="1181" spans="2:9" ht="14.45" customHeight="1" x14ac:dyDescent="0.25">
      <c r="B1181" s="44" t="s">
        <v>408</v>
      </c>
      <c r="C1181" s="28">
        <v>7</v>
      </c>
      <c r="D1181" s="45" t="s">
        <v>2124</v>
      </c>
      <c r="E1181" s="87"/>
      <c r="F1181" s="87" t="str">
        <f>IF(INDEX(I.Electricity.P5C3,7)="","",INDEX(I.Electricity.P5C3,7))</f>
        <v/>
      </c>
      <c r="G1181" s="87"/>
      <c r="H1181" s="28" t="str">
        <f t="shared" si="19"/>
        <v>Complete</v>
      </c>
      <c r="I1181" s="46" t="s">
        <v>1317</v>
      </c>
    </row>
    <row r="1182" spans="2:9" ht="14.45" customHeight="1" x14ac:dyDescent="0.25">
      <c r="B1182" s="44" t="s">
        <v>408</v>
      </c>
      <c r="C1182" s="28">
        <v>8</v>
      </c>
      <c r="D1182" s="45" t="s">
        <v>2124</v>
      </c>
      <c r="E1182" s="87"/>
      <c r="F1182" s="87" t="str">
        <f>IF(INDEX(I.Electricity.P5C3,8)="","",INDEX(I.Electricity.P5C3,8))</f>
        <v/>
      </c>
      <c r="G1182" s="87"/>
      <c r="H1182" s="28" t="str">
        <f t="shared" si="19"/>
        <v>Complete</v>
      </c>
      <c r="I1182" s="46" t="s">
        <v>1318</v>
      </c>
    </row>
    <row r="1183" spans="2:9" ht="14.45" customHeight="1" x14ac:dyDescent="0.25">
      <c r="B1183" s="44" t="s">
        <v>408</v>
      </c>
      <c r="C1183" s="28">
        <v>9</v>
      </c>
      <c r="D1183" s="45" t="s">
        <v>2124</v>
      </c>
      <c r="E1183" s="87"/>
      <c r="F1183" s="87" t="str">
        <f>IF(INDEX(I.Electricity.P5C3,9)="","",INDEX(I.Electricity.P5C3,9))</f>
        <v/>
      </c>
      <c r="G1183" s="87"/>
      <c r="H1183" s="28" t="str">
        <f t="shared" si="19"/>
        <v>Complete</v>
      </c>
      <c r="I1183" s="46" t="s">
        <v>1319</v>
      </c>
    </row>
    <row r="1184" spans="2:9" ht="14.45" customHeight="1" x14ac:dyDescent="0.25">
      <c r="B1184" s="44" t="s">
        <v>408</v>
      </c>
      <c r="C1184" s="28">
        <v>10</v>
      </c>
      <c r="D1184" s="45" t="s">
        <v>2124</v>
      </c>
      <c r="E1184" s="87"/>
      <c r="F1184" s="87" t="str">
        <f>IF(INDEX(I.Electricity.P5C3,10)="","",INDEX(I.Electricity.P5C3,10))</f>
        <v/>
      </c>
      <c r="G1184" s="87"/>
      <c r="H1184" s="28" t="str">
        <f t="shared" si="19"/>
        <v>Complete</v>
      </c>
      <c r="I1184" s="46" t="s">
        <v>1320</v>
      </c>
    </row>
    <row r="1185" spans="2:9" ht="14.45" customHeight="1" x14ac:dyDescent="0.25">
      <c r="B1185" s="44" t="s">
        <v>408</v>
      </c>
      <c r="C1185" s="28">
        <v>11</v>
      </c>
      <c r="D1185" s="45" t="s">
        <v>2124</v>
      </c>
      <c r="E1185" s="87"/>
      <c r="F1185" s="87" t="str">
        <f>IF(INDEX(I.Electricity.P5C3,11)="","",INDEX(I.Electricity.P5C3,11))</f>
        <v/>
      </c>
      <c r="G1185" s="87"/>
      <c r="H1185" s="28" t="str">
        <f t="shared" si="19"/>
        <v>Complete</v>
      </c>
      <c r="I1185" s="46" t="s">
        <v>1321</v>
      </c>
    </row>
    <row r="1186" spans="2:9" ht="14.45" customHeight="1" x14ac:dyDescent="0.25">
      <c r="B1186" s="44" t="s">
        <v>408</v>
      </c>
      <c r="C1186" s="28">
        <v>12</v>
      </c>
      <c r="D1186" s="45" t="s">
        <v>2124</v>
      </c>
      <c r="E1186" s="87"/>
      <c r="F1186" s="87" t="str">
        <f>IF(INDEX(I.Electricity.P5C3,12)="","",INDEX(I.Electricity.P5C3,12))</f>
        <v/>
      </c>
      <c r="G1186" s="87"/>
      <c r="H1186" s="28" t="str">
        <f t="shared" si="19"/>
        <v>Complete</v>
      </c>
      <c r="I1186" s="46" t="s">
        <v>1322</v>
      </c>
    </row>
    <row r="1187" spans="2:9" ht="14.45" customHeight="1" x14ac:dyDescent="0.25">
      <c r="B1187" s="44" t="s">
        <v>408</v>
      </c>
      <c r="C1187" s="28">
        <v>13</v>
      </c>
      <c r="D1187" s="45" t="s">
        <v>2124</v>
      </c>
      <c r="E1187" s="87"/>
      <c r="F1187" s="87" t="str">
        <f>IF(INDEX(I.Electricity.P5C3,13)="","",INDEX(I.Electricity.P5C3,13))</f>
        <v/>
      </c>
      <c r="G1187" s="87"/>
      <c r="H1187" s="28" t="str">
        <f t="shared" si="19"/>
        <v>Complete</v>
      </c>
      <c r="I1187" s="46" t="s">
        <v>1323</v>
      </c>
    </row>
    <row r="1188" spans="2:9" ht="14.45" customHeight="1" x14ac:dyDescent="0.25">
      <c r="B1188" s="44" t="s">
        <v>408</v>
      </c>
      <c r="C1188" s="28">
        <v>14</v>
      </c>
      <c r="D1188" s="45" t="s">
        <v>2124</v>
      </c>
      <c r="E1188" s="87"/>
      <c r="F1188" s="87" t="str">
        <f>IF(INDEX(I.Electricity.P5C3,14)="","",INDEX(I.Electricity.P5C3,14))</f>
        <v/>
      </c>
      <c r="G1188" s="87"/>
      <c r="H1188" s="28" t="str">
        <f t="shared" si="19"/>
        <v>Complete</v>
      </c>
      <c r="I1188" s="46" t="s">
        <v>1324</v>
      </c>
    </row>
    <row r="1189" spans="2:9" ht="14.45" customHeight="1" x14ac:dyDescent="0.25">
      <c r="B1189" s="44" t="s">
        <v>408</v>
      </c>
      <c r="C1189" s="28">
        <v>15</v>
      </c>
      <c r="D1189" s="45" t="s">
        <v>2124</v>
      </c>
      <c r="E1189" s="87"/>
      <c r="F1189" s="87" t="str">
        <f>IF(INDEX(I.Electricity.P5C3,15)="","",INDEX(I.Electricity.P5C3,15))</f>
        <v/>
      </c>
      <c r="G1189" s="87"/>
      <c r="H1189" s="28" t="str">
        <f t="shared" si="19"/>
        <v>Complete</v>
      </c>
      <c r="I1189" s="46" t="s">
        <v>1325</v>
      </c>
    </row>
    <row r="1190" spans="2:9" ht="14.45" customHeight="1" x14ac:dyDescent="0.25">
      <c r="B1190" s="44" t="s">
        <v>408</v>
      </c>
      <c r="C1190" s="28">
        <v>16</v>
      </c>
      <c r="D1190" s="45" t="s">
        <v>2124</v>
      </c>
      <c r="E1190" s="87"/>
      <c r="F1190" s="87" t="str">
        <f>IF(INDEX(I.Electricity.P5C3,16)="","",INDEX(I.Electricity.P5C3,16))</f>
        <v/>
      </c>
      <c r="G1190" s="87"/>
      <c r="H1190" s="28" t="str">
        <f t="shared" si="19"/>
        <v>Complete</v>
      </c>
      <c r="I1190" s="46" t="s">
        <v>1326</v>
      </c>
    </row>
    <row r="1191" spans="2:9" ht="14.45" customHeight="1" x14ac:dyDescent="0.25">
      <c r="B1191" s="44" t="s">
        <v>408</v>
      </c>
      <c r="C1191" s="28">
        <v>17</v>
      </c>
      <c r="D1191" s="45" t="s">
        <v>2124</v>
      </c>
      <c r="E1191" s="87"/>
      <c r="F1191" s="87" t="str">
        <f>IF(INDEX(I.Electricity.P5C3,17)="","",INDEX(I.Electricity.P5C3,17))</f>
        <v/>
      </c>
      <c r="G1191" s="87"/>
      <c r="H1191" s="28" t="str">
        <f t="shared" si="19"/>
        <v>Complete</v>
      </c>
      <c r="I1191" s="46" t="s">
        <v>1327</v>
      </c>
    </row>
    <row r="1192" spans="2:9" ht="14.45" customHeight="1" x14ac:dyDescent="0.25">
      <c r="B1192" s="44" t="s">
        <v>408</v>
      </c>
      <c r="C1192" s="28">
        <v>18</v>
      </c>
      <c r="D1192" s="45" t="s">
        <v>2124</v>
      </c>
      <c r="E1192" s="87"/>
      <c r="F1192" s="87" t="str">
        <f>IF(INDEX(I.Electricity.P5C3,18)="","",INDEX(I.Electricity.P5C3,18))</f>
        <v/>
      </c>
      <c r="G1192" s="87"/>
      <c r="H1192" s="28" t="str">
        <f t="shared" si="19"/>
        <v>Complete</v>
      </c>
      <c r="I1192" s="46" t="s">
        <v>1328</v>
      </c>
    </row>
    <row r="1193" spans="2:9" ht="14.45" customHeight="1" x14ac:dyDescent="0.25">
      <c r="B1193" s="44" t="s">
        <v>408</v>
      </c>
      <c r="C1193" s="28">
        <v>19</v>
      </c>
      <c r="D1193" s="45" t="s">
        <v>2124</v>
      </c>
      <c r="E1193" s="87"/>
      <c r="F1193" s="87" t="str">
        <f>IF(INDEX(I.Electricity.P5C3,19)="","",INDEX(I.Electricity.P5C3,19))</f>
        <v/>
      </c>
      <c r="G1193" s="87"/>
      <c r="H1193" s="28" t="str">
        <f t="shared" si="19"/>
        <v>Complete</v>
      </c>
      <c r="I1193" s="46" t="s">
        <v>1329</v>
      </c>
    </row>
    <row r="1194" spans="2:9" ht="14.45" customHeight="1" x14ac:dyDescent="0.25">
      <c r="B1194" s="44" t="s">
        <v>408</v>
      </c>
      <c r="C1194" s="28">
        <v>20</v>
      </c>
      <c r="D1194" s="45" t="s">
        <v>2124</v>
      </c>
      <c r="E1194" s="87"/>
      <c r="F1194" s="87" t="str">
        <f>IF(INDEX(I.Electricity.P5C3,20)="","",INDEX(I.Electricity.P5C3,20))</f>
        <v/>
      </c>
      <c r="G1194" s="87"/>
      <c r="H1194" s="28" t="str">
        <f t="shared" si="19"/>
        <v>Complete</v>
      </c>
      <c r="I1194" s="46" t="s">
        <v>1330</v>
      </c>
    </row>
    <row r="1195" spans="2:9" ht="14.45" customHeight="1" x14ac:dyDescent="0.25">
      <c r="B1195" s="53" t="s">
        <v>408</v>
      </c>
      <c r="C1195" s="66">
        <v>21</v>
      </c>
      <c r="D1195" s="54" t="s">
        <v>2124</v>
      </c>
      <c r="E1195" s="88"/>
      <c r="F1195" s="88" t="str">
        <f>IF(INDEX(I.Electricity.P5C3,21)="","",INDEX(I.Electricity.P5C3,21))</f>
        <v/>
      </c>
      <c r="G1195" s="88"/>
      <c r="H1195" s="66" t="str">
        <f t="shared" si="19"/>
        <v>Complete</v>
      </c>
      <c r="I1195" s="68" t="s">
        <v>1331</v>
      </c>
    </row>
    <row r="1196" spans="2:9" ht="14.45" customHeight="1" x14ac:dyDescent="0.25">
      <c r="B1196" s="44" t="s">
        <v>409</v>
      </c>
      <c r="C1196" s="28">
        <v>1</v>
      </c>
      <c r="D1196" s="45" t="s">
        <v>2125</v>
      </c>
      <c r="E1196" s="87"/>
      <c r="F1196" s="87" t="str">
        <f>IF(INDEX(I.Electricity.P5C4,1)="","",INDEX(I.Electricity.P5C4,1))</f>
        <v/>
      </c>
      <c r="G1196" s="87"/>
      <c r="H1196" s="28" t="str">
        <f>IF(AND(I.Facility.ProductCount&gt;=5,I.Product.P5Electricity="Yes",I.Developer.P5C4=TRUE,F1196=""),"Incomplete","Complete")</f>
        <v>Complete</v>
      </c>
      <c r="I1196" s="46" t="s">
        <v>1332</v>
      </c>
    </row>
    <row r="1197" spans="2:9" ht="14.45" customHeight="1" x14ac:dyDescent="0.25">
      <c r="B1197" s="44" t="s">
        <v>409</v>
      </c>
      <c r="C1197" s="28">
        <v>2</v>
      </c>
      <c r="D1197" s="45" t="s">
        <v>2125</v>
      </c>
      <c r="E1197" s="87"/>
      <c r="F1197" s="87" t="str">
        <f>IF(INDEX(I.Electricity.P5C4,2)="","",INDEX(I.Electricity.P5C4,2))</f>
        <v/>
      </c>
      <c r="G1197" s="87"/>
      <c r="H1197" s="28" t="str">
        <f>IF(AND(I.Facility.ProductCount&gt;=5,I.Product.P5Electricity="Yes",I.Developer.P5C4=TRUE,F1197=""),"Incomplete","Complete")</f>
        <v>Complete</v>
      </c>
      <c r="I1197" s="46" t="s">
        <v>1333</v>
      </c>
    </row>
    <row r="1198" spans="2:9" ht="14.45" customHeight="1" x14ac:dyDescent="0.25">
      <c r="B1198" s="53" t="s">
        <v>409</v>
      </c>
      <c r="C1198" s="66">
        <v>3</v>
      </c>
      <c r="D1198" s="54" t="s">
        <v>2125</v>
      </c>
      <c r="E1198" s="88"/>
      <c r="F1198" s="88" t="str">
        <f>IF(INDEX(I.Electricity.P5C4,3)="","",INDEX(I.Electricity.P5C4,3))</f>
        <v/>
      </c>
      <c r="G1198" s="88"/>
      <c r="H1198" s="66" t="str">
        <f>IF(AND(I.Facility.ProductCount&gt;=5,I.Product.P5Electricity="Yes",I.Developer.P5C4=TRUE,F1198=""),"Incomplete","Complete")</f>
        <v>Complete</v>
      </c>
      <c r="I1198" s="68" t="s">
        <v>1334</v>
      </c>
    </row>
    <row r="1199" spans="2:9" ht="14.45" customHeight="1" x14ac:dyDescent="0.25">
      <c r="B1199" s="44" t="s">
        <v>410</v>
      </c>
      <c r="C1199" s="28">
        <v>1</v>
      </c>
      <c r="D1199" s="45" t="s">
        <v>2126</v>
      </c>
      <c r="E1199" s="87"/>
      <c r="F1199" s="87" t="str">
        <f>IF(INDEX(I.Electricity.P5C5,1)="","",INDEX(I.Electricity.P5C5,1))</f>
        <v/>
      </c>
      <c r="G1199" s="87"/>
      <c r="H1199" s="28" t="str">
        <f>IF(AND(I.Facility.ProductCount&gt;=5,I.Product.P5Electricity="Yes",I.Developer.P5C5=TRUE,F1199=""),"Incomplete","Complete")</f>
        <v>Complete</v>
      </c>
      <c r="I1199" s="46" t="s">
        <v>1335</v>
      </c>
    </row>
    <row r="1200" spans="2:9" ht="14.45" customHeight="1" x14ac:dyDescent="0.25">
      <c r="B1200" s="44" t="s">
        <v>410</v>
      </c>
      <c r="C1200" s="28">
        <v>2</v>
      </c>
      <c r="D1200" s="45" t="s">
        <v>2126</v>
      </c>
      <c r="E1200" s="87"/>
      <c r="F1200" s="87" t="str">
        <f>IF(INDEX(I.Electricity.P5C5,2)="","",INDEX(I.Electricity.P5C5,2))</f>
        <v/>
      </c>
      <c r="G1200" s="87"/>
      <c r="H1200" s="28" t="str">
        <f>IF(AND(I.Facility.ProductCount&gt;=5,I.Product.P5Electricity="Yes",I.Developer.P5C5=TRUE,F1200=""),"Incomplete","Complete")</f>
        <v>Complete</v>
      </c>
      <c r="I1200" s="46" t="s">
        <v>1336</v>
      </c>
    </row>
    <row r="1201" spans="2:9" ht="14.45" customHeight="1" x14ac:dyDescent="0.25">
      <c r="B1201" s="53" t="s">
        <v>410</v>
      </c>
      <c r="C1201" s="66">
        <v>3</v>
      </c>
      <c r="D1201" s="54" t="s">
        <v>2126</v>
      </c>
      <c r="E1201" s="88"/>
      <c r="F1201" s="88" t="str">
        <f>IF(INDEX(I.Electricity.P5C5,3)="","",INDEX(I.Electricity.P5C5,3))</f>
        <v/>
      </c>
      <c r="G1201" s="88"/>
      <c r="H1201" s="66" t="str">
        <f>IF(AND(I.Facility.ProductCount&gt;=5,I.Product.P5Electricity="Yes",I.Developer.P5C5=TRUE,F1201=""),"Incomplete","Complete")</f>
        <v>Complete</v>
      </c>
      <c r="I1201" s="68" t="s">
        <v>1337</v>
      </c>
    </row>
    <row r="1202" spans="2:9" ht="14.45" customHeight="1" x14ac:dyDescent="0.25">
      <c r="B1202" s="44" t="s">
        <v>411</v>
      </c>
      <c r="C1202" s="28">
        <v>1</v>
      </c>
      <c r="D1202" s="45" t="s">
        <v>2127</v>
      </c>
      <c r="E1202" s="87"/>
      <c r="F1202" s="87" t="str">
        <f>IF(INDEX(I.Electricity.P5C6,1)="","",INDEX(I.Electricity.P5C6,1))</f>
        <v/>
      </c>
      <c r="G1202" s="87"/>
      <c r="H1202" s="28" t="str">
        <f>IF(AND(I.Facility.ProductCount&gt;=5,I.Product.P5Electricity="Yes",I.Developer.P5C6=TRUE,F1202=""),"Incomplete","Complete")</f>
        <v>Complete</v>
      </c>
      <c r="I1202" s="46" t="s">
        <v>1338</v>
      </c>
    </row>
    <row r="1203" spans="2:9" ht="14.45" customHeight="1" x14ac:dyDescent="0.25">
      <c r="B1203" s="44" t="s">
        <v>411</v>
      </c>
      <c r="C1203" s="28">
        <v>2</v>
      </c>
      <c r="D1203" s="45" t="s">
        <v>2127</v>
      </c>
      <c r="E1203" s="87"/>
      <c r="F1203" s="87" t="str">
        <f>IF(INDEX(I.Electricity.P5C6,2)="","",INDEX(I.Electricity.P5C6,2))</f>
        <v/>
      </c>
      <c r="G1203" s="87"/>
      <c r="H1203" s="28" t="str">
        <f>IF(AND(I.Facility.ProductCount&gt;=5,I.Product.P5Electricity="Yes",I.Developer.P5C6=TRUE,F1203=""),"Incomplete","Complete")</f>
        <v>Complete</v>
      </c>
      <c r="I1203" s="46" t="s">
        <v>1339</v>
      </c>
    </row>
    <row r="1204" spans="2:9" ht="14.45" customHeight="1" x14ac:dyDescent="0.25">
      <c r="B1204" s="53" t="s">
        <v>411</v>
      </c>
      <c r="C1204" s="66">
        <v>3</v>
      </c>
      <c r="D1204" s="54" t="s">
        <v>2127</v>
      </c>
      <c r="E1204" s="88"/>
      <c r="F1204" s="88" t="str">
        <f>IF(INDEX(I.Electricity.P5C6,3)="","",INDEX(I.Electricity.P5C6,3))</f>
        <v/>
      </c>
      <c r="G1204" s="88"/>
      <c r="H1204" s="66" t="str">
        <f>IF(AND(I.Facility.ProductCount&gt;=5,I.Product.P5Electricity="Yes",I.Developer.P5C6=TRUE,F1204=""),"Incomplete","Complete")</f>
        <v>Complete</v>
      </c>
      <c r="I1204" s="68" t="s">
        <v>1340</v>
      </c>
    </row>
    <row r="1205" spans="2:9" ht="14.45" customHeight="1" x14ac:dyDescent="0.25">
      <c r="B1205" s="44" t="s">
        <v>412</v>
      </c>
      <c r="C1205" s="28">
        <v>1</v>
      </c>
      <c r="D1205" s="45" t="s">
        <v>2128</v>
      </c>
      <c r="E1205" s="87"/>
      <c r="F1205" s="87" t="str">
        <f>IF(INDEX(I.Electricity.P5C7,1)="","",INDEX(I.Electricity.P5C7,1))</f>
        <v/>
      </c>
      <c r="G1205" s="87"/>
      <c r="H1205" s="28" t="str">
        <f>IF(AND(I.Facility.ProductCount&gt;=5,I.Product.P5Electricity="Yes",I.Developer.P5C7=TRUE,F1205=""),"Incomplete","Complete")</f>
        <v>Complete</v>
      </c>
      <c r="I1205" s="46" t="s">
        <v>1341</v>
      </c>
    </row>
    <row r="1206" spans="2:9" ht="14.45" customHeight="1" x14ac:dyDescent="0.25">
      <c r="B1206" s="44" t="s">
        <v>412</v>
      </c>
      <c r="C1206" s="28">
        <v>2</v>
      </c>
      <c r="D1206" s="45" t="s">
        <v>2128</v>
      </c>
      <c r="E1206" s="87"/>
      <c r="F1206" s="87" t="str">
        <f>IF(INDEX(I.Electricity.P5C7,2)="","",INDEX(I.Electricity.P5C7,2))</f>
        <v/>
      </c>
      <c r="G1206" s="87"/>
      <c r="H1206" s="28" t="str">
        <f>IF(AND(I.Facility.ProductCount&gt;=5,I.Product.P5Electricity="Yes",I.Developer.P5C7=TRUE,F1206=""),"Incomplete","Complete")</f>
        <v>Complete</v>
      </c>
      <c r="I1206" s="46" t="s">
        <v>1342</v>
      </c>
    </row>
    <row r="1207" spans="2:9" ht="14.45" customHeight="1" x14ac:dyDescent="0.25">
      <c r="B1207" s="53" t="s">
        <v>412</v>
      </c>
      <c r="C1207" s="66">
        <v>3</v>
      </c>
      <c r="D1207" s="54" t="s">
        <v>2128</v>
      </c>
      <c r="E1207" s="88"/>
      <c r="F1207" s="88" t="str">
        <f>IF(INDEX(I.Electricity.P5C7,3)="","",INDEX(I.Electricity.P5C7,3))</f>
        <v/>
      </c>
      <c r="G1207" s="88"/>
      <c r="H1207" s="66" t="str">
        <f>IF(AND(I.Facility.ProductCount&gt;=5,I.Product.P5Electricity="Yes",I.Developer.P5C7=TRUE,F1207=""),"Incomplete","Complete")</f>
        <v>Complete</v>
      </c>
      <c r="I1207" s="68" t="s">
        <v>1343</v>
      </c>
    </row>
    <row r="1208" spans="2:9" ht="14.45" customHeight="1" x14ac:dyDescent="0.25">
      <c r="B1208" s="44" t="s">
        <v>413</v>
      </c>
      <c r="C1208" s="28">
        <v>1</v>
      </c>
      <c r="D1208" s="45" t="s">
        <v>2129</v>
      </c>
      <c r="E1208" s="87"/>
      <c r="F1208" s="87" t="str">
        <f>IF(INDEX(I.Electricity.P5C8,1)="","",INDEX(I.Electricity.P5C8,1))</f>
        <v/>
      </c>
      <c r="G1208" s="87"/>
      <c r="H1208" s="28" t="str">
        <f>IF(AND(I.Facility.ProductCount&gt;=5,I.Product.P5Electricity="Yes",I.Developer.P5C8=TRUE,F1208=""),"Incomplete","Complete")</f>
        <v>Complete</v>
      </c>
      <c r="I1208" s="46" t="s">
        <v>1344</v>
      </c>
    </row>
    <row r="1209" spans="2:9" ht="14.45" customHeight="1" x14ac:dyDescent="0.25">
      <c r="B1209" s="44" t="s">
        <v>413</v>
      </c>
      <c r="C1209" s="28">
        <v>2</v>
      </c>
      <c r="D1209" s="45" t="s">
        <v>2129</v>
      </c>
      <c r="E1209" s="87"/>
      <c r="F1209" s="87" t="str">
        <f>IF(INDEX(I.Electricity.P5C8,2)="","",INDEX(I.Electricity.P5C8,2))</f>
        <v/>
      </c>
      <c r="G1209" s="87"/>
      <c r="H1209" s="28" t="str">
        <f>IF(AND(I.Facility.ProductCount&gt;=5,I.Product.P5Electricity="Yes",I.Developer.P5C8=TRUE,F1209=""),"Incomplete","Complete")</f>
        <v>Complete</v>
      </c>
      <c r="I1209" s="46" t="s">
        <v>1345</v>
      </c>
    </row>
    <row r="1210" spans="2:9" ht="14.45" customHeight="1" x14ac:dyDescent="0.25">
      <c r="B1210" s="53" t="s">
        <v>413</v>
      </c>
      <c r="C1210" s="66">
        <v>3</v>
      </c>
      <c r="D1210" s="54" t="s">
        <v>2129</v>
      </c>
      <c r="E1210" s="88"/>
      <c r="F1210" s="88" t="str">
        <f>IF(INDEX(I.Electricity.P5C8,3)="","",INDEX(I.Electricity.P5C8,3))</f>
        <v/>
      </c>
      <c r="G1210" s="88"/>
      <c r="H1210" s="66" t="str">
        <f>IF(AND(I.Facility.ProductCount&gt;=5,I.Product.P5Electricity="Yes",I.Developer.P5C8=TRUE,F1210=""),"Incomplete","Complete")</f>
        <v>Complete</v>
      </c>
      <c r="I1210" s="68" t="s">
        <v>1346</v>
      </c>
    </row>
    <row r="1211" spans="2:9" ht="14.45" customHeight="1" x14ac:dyDescent="0.25">
      <c r="B1211" s="44" t="s">
        <v>414</v>
      </c>
      <c r="C1211" s="28">
        <v>1</v>
      </c>
      <c r="D1211" s="45" t="s">
        <v>2130</v>
      </c>
      <c r="E1211" s="87"/>
      <c r="F1211" s="87" t="str">
        <f>IF(INDEX(I.Electricity.P5C9,1)="","",INDEX(I.Electricity.P5C9,1))</f>
        <v/>
      </c>
      <c r="G1211" s="87"/>
      <c r="H1211" s="28" t="str">
        <f>IF(AND(I.Facility.ProductCount&gt;=5,I.Product.P5Electricity="Yes",I.Developer.P5C9=TRUE,F1211=""),"Incomplete","Complete")</f>
        <v>Complete</v>
      </c>
      <c r="I1211" s="46" t="s">
        <v>1347</v>
      </c>
    </row>
    <row r="1212" spans="2:9" ht="14.45" customHeight="1" x14ac:dyDescent="0.25">
      <c r="B1212" s="44" t="s">
        <v>414</v>
      </c>
      <c r="C1212" s="28">
        <v>2</v>
      </c>
      <c r="D1212" s="45" t="s">
        <v>2130</v>
      </c>
      <c r="E1212" s="87"/>
      <c r="F1212" s="87" t="str">
        <f>IF(INDEX(I.Electricity.P5C9,2)="","",INDEX(I.Electricity.P5C9,2))</f>
        <v/>
      </c>
      <c r="G1212" s="87"/>
      <c r="H1212" s="28" t="str">
        <f>IF(AND(I.Facility.ProductCount&gt;=5,I.Product.P5Electricity="Yes",I.Developer.P5C9=TRUE,F1212=""),"Incomplete","Complete")</f>
        <v>Complete</v>
      </c>
      <c r="I1212" s="46" t="s">
        <v>1348</v>
      </c>
    </row>
    <row r="1213" spans="2:9" ht="14.45" customHeight="1" x14ac:dyDescent="0.25">
      <c r="B1213" s="53" t="s">
        <v>414</v>
      </c>
      <c r="C1213" s="66">
        <v>3</v>
      </c>
      <c r="D1213" s="54" t="s">
        <v>2130</v>
      </c>
      <c r="E1213" s="88"/>
      <c r="F1213" s="88" t="str">
        <f>IF(INDEX(I.Electricity.P5C9,3)="","",INDEX(I.Electricity.P5C9,3))</f>
        <v/>
      </c>
      <c r="G1213" s="88"/>
      <c r="H1213" s="66" t="str">
        <f>IF(AND(I.Facility.ProductCount&gt;=5,I.Product.P5Electricity="Yes",I.Developer.P5C9=TRUE,F1213=""),"Incomplete","Complete")</f>
        <v>Complete</v>
      </c>
      <c r="I1213" s="68" t="s">
        <v>1349</v>
      </c>
    </row>
    <row r="1214" spans="2:9" ht="14.45" customHeight="1" x14ac:dyDescent="0.25">
      <c r="B1214" s="38" t="s">
        <v>415</v>
      </c>
      <c r="C1214" s="86">
        <v>1</v>
      </c>
      <c r="D1214" s="69" t="s">
        <v>2131</v>
      </c>
      <c r="E1214" s="89"/>
      <c r="F1214" s="89" t="str">
        <f>IF(I.Gas.Count="","",I.Gas.Count)</f>
        <v/>
      </c>
      <c r="G1214" s="89"/>
      <c r="H1214" s="86" t="str">
        <f>IF(AND(I.Facility.GasToPower="Yes",OR(I.Gas.Count="",I.Gas.Count=0)),"Incomplete","Complete")</f>
        <v>Complete</v>
      </c>
      <c r="I1214" s="71" t="s">
        <v>1350</v>
      </c>
    </row>
    <row r="1215" spans="2:9" ht="14.45" customHeight="1" x14ac:dyDescent="0.25">
      <c r="B1215" s="44" t="s">
        <v>416</v>
      </c>
      <c r="C1215" s="28">
        <v>1</v>
      </c>
      <c r="D1215" s="45" t="s">
        <v>2132</v>
      </c>
      <c r="E1215" s="87"/>
      <c r="F1215" s="87" t="str">
        <f>IF(INDEX(I.Gas.AssociatedGasEnergy,1)="","",INDEX(I.Gas.AssociatedGasEnergy,1))</f>
        <v/>
      </c>
      <c r="G1215" s="87"/>
      <c r="H1215" s="28" t="str">
        <f>IF(AND(I.Facility.GasToPower="Yes",I.Gas.Count&gt;=1,F1215=""),"Incomplete","Complete")</f>
        <v>Complete</v>
      </c>
      <c r="I1215" s="46" t="s">
        <v>1351</v>
      </c>
    </row>
    <row r="1216" spans="2:9" ht="14.45" customHeight="1" x14ac:dyDescent="0.25">
      <c r="B1216" s="44" t="s">
        <v>416</v>
      </c>
      <c r="C1216" s="28">
        <v>2</v>
      </c>
      <c r="D1216" s="45" t="s">
        <v>2132</v>
      </c>
      <c r="E1216" s="87"/>
      <c r="F1216" s="87" t="str">
        <f>IF(INDEX(I.Gas.AssociatedGasEnergy,2)="","",INDEX(I.Gas.AssociatedGasEnergy,2))</f>
        <v/>
      </c>
      <c r="G1216" s="87"/>
      <c r="H1216" s="28" t="str">
        <f>IF(AND(I.Facility.GasToPower="Yes",I.Gas.Count&gt;=2,F1216=""),"Incomplete","Complete")</f>
        <v>Complete</v>
      </c>
      <c r="I1216" s="46" t="s">
        <v>1352</v>
      </c>
    </row>
    <row r="1217" spans="2:9" ht="14.45" customHeight="1" x14ac:dyDescent="0.25">
      <c r="B1217" s="44" t="s">
        <v>416</v>
      </c>
      <c r="C1217" s="28">
        <v>3</v>
      </c>
      <c r="D1217" s="45" t="s">
        <v>2132</v>
      </c>
      <c r="E1217" s="87"/>
      <c r="F1217" s="87" t="str">
        <f>IF(INDEX(I.Gas.AssociatedGasEnergy,3)="","",INDEX(I.Gas.AssociatedGasEnergy,3))</f>
        <v/>
      </c>
      <c r="G1217" s="87"/>
      <c r="H1217" s="28" t="str">
        <f>IF(AND(I.Facility.GasToPower="Yes",I.Gas.Count&gt;=3,F1217=""),"Incomplete","Complete")</f>
        <v>Complete</v>
      </c>
      <c r="I1217" s="46" t="s">
        <v>1353</v>
      </c>
    </row>
    <row r="1218" spans="2:9" ht="14.45" customHeight="1" x14ac:dyDescent="0.25">
      <c r="B1218" s="44" t="s">
        <v>416</v>
      </c>
      <c r="C1218" s="28">
        <v>4</v>
      </c>
      <c r="D1218" s="45" t="s">
        <v>2132</v>
      </c>
      <c r="E1218" s="87"/>
      <c r="F1218" s="87" t="str">
        <f>IF(INDEX(I.Gas.AssociatedGasEnergy,4)="","",INDEX(I.Gas.AssociatedGasEnergy,4))</f>
        <v/>
      </c>
      <c r="G1218" s="87"/>
      <c r="H1218" s="28" t="str">
        <f>IF(AND(I.Facility.GasToPower="Yes",I.Gas.Count&gt;=4,F1218=""),"Incomplete","Complete")</f>
        <v>Complete</v>
      </c>
      <c r="I1218" s="46" t="s">
        <v>1354</v>
      </c>
    </row>
    <row r="1219" spans="2:9" ht="14.45" customHeight="1" x14ac:dyDescent="0.25">
      <c r="B1219" s="44" t="s">
        <v>416</v>
      </c>
      <c r="C1219" s="28">
        <v>5</v>
      </c>
      <c r="D1219" s="45" t="s">
        <v>2132</v>
      </c>
      <c r="E1219" s="87"/>
      <c r="F1219" s="87" t="str">
        <f>IF(INDEX(I.Gas.AssociatedGasEnergy,5)="","",INDEX(I.Gas.AssociatedGasEnergy,5))</f>
        <v/>
      </c>
      <c r="G1219" s="87"/>
      <c r="H1219" s="28" t="str">
        <f>IF(AND(I.Facility.GasToPower="Yes",I.Gas.Count&gt;=5,F1219=""),"Incomplete","Complete")</f>
        <v>Complete</v>
      </c>
      <c r="I1219" s="46" t="s">
        <v>1355</v>
      </c>
    </row>
    <row r="1220" spans="2:9" ht="14.45" customHeight="1" x14ac:dyDescent="0.25">
      <c r="B1220" s="44" t="s">
        <v>416</v>
      </c>
      <c r="C1220" s="28">
        <v>6</v>
      </c>
      <c r="D1220" s="45" t="s">
        <v>2132</v>
      </c>
      <c r="E1220" s="87"/>
      <c r="F1220" s="87" t="str">
        <f>IF(INDEX(I.Gas.AssociatedGasEnergy,6)="","",INDEX(I.Gas.AssociatedGasEnergy,6))</f>
        <v/>
      </c>
      <c r="G1220" s="87"/>
      <c r="H1220" s="28" t="str">
        <f>IF(AND(I.Facility.GasToPower="Yes",I.Gas.Count&gt;=6,F1220=""),"Incomplete","Complete")</f>
        <v>Complete</v>
      </c>
      <c r="I1220" s="46" t="s">
        <v>1356</v>
      </c>
    </row>
    <row r="1221" spans="2:9" ht="14.45" customHeight="1" x14ac:dyDescent="0.25">
      <c r="B1221" s="44" t="s">
        <v>416</v>
      </c>
      <c r="C1221" s="28">
        <v>7</v>
      </c>
      <c r="D1221" s="45" t="s">
        <v>2132</v>
      </c>
      <c r="E1221" s="87"/>
      <c r="F1221" s="87" t="str">
        <f>IF(INDEX(I.Gas.AssociatedGasEnergy,7)="","",INDEX(I.Gas.AssociatedGasEnergy,7))</f>
        <v/>
      </c>
      <c r="G1221" s="87"/>
      <c r="H1221" s="28" t="str">
        <f>IF(AND(I.Facility.GasToPower="Yes",I.Gas.Count&gt;=7,F1221=""),"Incomplete","Complete")</f>
        <v>Complete</v>
      </c>
      <c r="I1221" s="46" t="s">
        <v>1357</v>
      </c>
    </row>
    <row r="1222" spans="2:9" ht="14.45" customHeight="1" x14ac:dyDescent="0.25">
      <c r="B1222" s="44" t="s">
        <v>416</v>
      </c>
      <c r="C1222" s="28">
        <v>8</v>
      </c>
      <c r="D1222" s="45" t="s">
        <v>2132</v>
      </c>
      <c r="E1222" s="87"/>
      <c r="F1222" s="87" t="str">
        <f>IF(INDEX(I.Gas.AssociatedGasEnergy,8)="","",INDEX(I.Gas.AssociatedGasEnergy,8))</f>
        <v/>
      </c>
      <c r="G1222" s="87"/>
      <c r="H1222" s="28" t="str">
        <f>IF(AND(I.Facility.GasToPower="Yes",I.Gas.Count&gt;=8,F1222=""),"Incomplete","Complete")</f>
        <v>Complete</v>
      </c>
      <c r="I1222" s="46" t="s">
        <v>1358</v>
      </c>
    </row>
    <row r="1223" spans="2:9" ht="14.45" customHeight="1" x14ac:dyDescent="0.25">
      <c r="B1223" s="44" t="s">
        <v>416</v>
      </c>
      <c r="C1223" s="28">
        <v>9</v>
      </c>
      <c r="D1223" s="45" t="s">
        <v>2132</v>
      </c>
      <c r="E1223" s="87"/>
      <c r="F1223" s="87" t="str">
        <f>IF(INDEX(I.Gas.AssociatedGasEnergy,9)="","",INDEX(I.Gas.AssociatedGasEnergy,9))</f>
        <v/>
      </c>
      <c r="G1223" s="87"/>
      <c r="H1223" s="28" t="str">
        <f>IF(AND(I.Facility.GasToPower="Yes",I.Gas.Count&gt;=9,F1223=""),"Incomplete","Complete")</f>
        <v>Complete</v>
      </c>
      <c r="I1223" s="46" t="s">
        <v>1359</v>
      </c>
    </row>
    <row r="1224" spans="2:9" ht="14.45" customHeight="1" x14ac:dyDescent="0.25">
      <c r="B1224" s="44" t="s">
        <v>416</v>
      </c>
      <c r="C1224" s="28">
        <v>10</v>
      </c>
      <c r="D1224" s="45" t="s">
        <v>2132</v>
      </c>
      <c r="E1224" s="87"/>
      <c r="F1224" s="87" t="str">
        <f>IF(INDEX(I.Gas.AssociatedGasEnergy,10)="","",INDEX(I.Gas.AssociatedGasEnergy,10))</f>
        <v/>
      </c>
      <c r="G1224" s="87"/>
      <c r="H1224" s="28" t="str">
        <f>IF(AND(I.Facility.GasToPower="Yes",I.Gas.Count&gt;=10,F1224=""),"Incomplete","Complete")</f>
        <v>Complete</v>
      </c>
      <c r="I1224" s="46" t="s">
        <v>1360</v>
      </c>
    </row>
    <row r="1225" spans="2:9" ht="14.45" customHeight="1" x14ac:dyDescent="0.25">
      <c r="B1225" s="44" t="s">
        <v>416</v>
      </c>
      <c r="C1225" s="28">
        <v>11</v>
      </c>
      <c r="D1225" s="45" t="s">
        <v>2132</v>
      </c>
      <c r="E1225" s="87"/>
      <c r="F1225" s="87" t="str">
        <f>IF(INDEX(I.Gas.AssociatedGasEnergy,11)="","",INDEX(I.Gas.AssociatedGasEnergy,11))</f>
        <v/>
      </c>
      <c r="G1225" s="87"/>
      <c r="H1225" s="28" t="str">
        <f>IF(AND(I.Facility.GasToPower="Yes",I.Gas.Count&gt;=11,F1225=""),"Incomplete","Complete")</f>
        <v>Complete</v>
      </c>
      <c r="I1225" s="46" t="s">
        <v>1361</v>
      </c>
    </row>
    <row r="1226" spans="2:9" ht="14.45" customHeight="1" x14ac:dyDescent="0.25">
      <c r="B1226" s="44" t="s">
        <v>416</v>
      </c>
      <c r="C1226" s="28">
        <v>12</v>
      </c>
      <c r="D1226" s="45" t="s">
        <v>2132</v>
      </c>
      <c r="E1226" s="87"/>
      <c r="F1226" s="87" t="str">
        <f>IF(INDEX(I.Gas.AssociatedGasEnergy,12)="","",INDEX(I.Gas.AssociatedGasEnergy,12))</f>
        <v/>
      </c>
      <c r="G1226" s="87"/>
      <c r="H1226" s="28" t="str">
        <f>IF(AND(I.Facility.GasToPower="Yes",I.Gas.Count&gt;=12,F1226=""),"Incomplete","Complete")</f>
        <v>Complete</v>
      </c>
      <c r="I1226" s="46" t="s">
        <v>1362</v>
      </c>
    </row>
    <row r="1227" spans="2:9" ht="14.45" customHeight="1" x14ac:dyDescent="0.25">
      <c r="B1227" s="44" t="s">
        <v>416</v>
      </c>
      <c r="C1227" s="28">
        <v>13</v>
      </c>
      <c r="D1227" s="45" t="s">
        <v>2132</v>
      </c>
      <c r="E1227" s="87"/>
      <c r="F1227" s="87" t="str">
        <f>IF(INDEX(I.Gas.AssociatedGasEnergy,13)="","",INDEX(I.Gas.AssociatedGasEnergy,13))</f>
        <v/>
      </c>
      <c r="G1227" s="87"/>
      <c r="H1227" s="28" t="str">
        <f>IF(AND(I.Facility.GasToPower="Yes",I.Gas.Count&gt;=13,F1227=""),"Incomplete","Complete")</f>
        <v>Complete</v>
      </c>
      <c r="I1227" s="46" t="s">
        <v>1363</v>
      </c>
    </row>
    <row r="1228" spans="2:9" ht="14.45" customHeight="1" x14ac:dyDescent="0.25">
      <c r="B1228" s="44" t="s">
        <v>416</v>
      </c>
      <c r="C1228" s="28">
        <v>14</v>
      </c>
      <c r="D1228" s="45" t="s">
        <v>2132</v>
      </c>
      <c r="E1228" s="87"/>
      <c r="F1228" s="87" t="str">
        <f>IF(INDEX(I.Gas.AssociatedGasEnergy,14)="","",INDEX(I.Gas.AssociatedGasEnergy,14))</f>
        <v/>
      </c>
      <c r="G1228" s="87"/>
      <c r="H1228" s="28" t="str">
        <f>IF(AND(I.Facility.GasToPower="Yes",I.Gas.Count&gt;=14,F1228=""),"Incomplete","Complete")</f>
        <v>Complete</v>
      </c>
      <c r="I1228" s="46" t="s">
        <v>1364</v>
      </c>
    </row>
    <row r="1229" spans="2:9" ht="14.45" customHeight="1" x14ac:dyDescent="0.25">
      <c r="B1229" s="44" t="s">
        <v>416</v>
      </c>
      <c r="C1229" s="28">
        <v>15</v>
      </c>
      <c r="D1229" s="45" t="s">
        <v>2132</v>
      </c>
      <c r="E1229" s="87"/>
      <c r="F1229" s="87" t="str">
        <f>IF(INDEX(I.Gas.AssociatedGasEnergy,15)="","",INDEX(I.Gas.AssociatedGasEnergy,15))</f>
        <v/>
      </c>
      <c r="G1229" s="87"/>
      <c r="H1229" s="28" t="str">
        <f>IF(AND(I.Facility.GasToPower="Yes",I.Gas.Count&gt;=15,F1229=""),"Incomplete","Complete")</f>
        <v>Complete</v>
      </c>
      <c r="I1229" s="46" t="s">
        <v>1365</v>
      </c>
    </row>
    <row r="1230" spans="2:9" ht="14.45" customHeight="1" x14ac:dyDescent="0.25">
      <c r="B1230" s="44" t="s">
        <v>416</v>
      </c>
      <c r="C1230" s="28">
        <v>16</v>
      </c>
      <c r="D1230" s="45" t="s">
        <v>2132</v>
      </c>
      <c r="E1230" s="87"/>
      <c r="F1230" s="87" t="str">
        <f>IF(INDEX(I.Gas.AssociatedGasEnergy,16)="","",INDEX(I.Gas.AssociatedGasEnergy,16))</f>
        <v/>
      </c>
      <c r="G1230" s="87"/>
      <c r="H1230" s="28" t="str">
        <f>IF(AND(I.Facility.GasToPower="Yes",I.Gas.Count&gt;=16,F1230=""),"Incomplete","Complete")</f>
        <v>Complete</v>
      </c>
      <c r="I1230" s="46" t="s">
        <v>1366</v>
      </c>
    </row>
    <row r="1231" spans="2:9" ht="14.45" customHeight="1" x14ac:dyDescent="0.25">
      <c r="B1231" s="44" t="s">
        <v>416</v>
      </c>
      <c r="C1231" s="28">
        <v>17</v>
      </c>
      <c r="D1231" s="45" t="s">
        <v>2132</v>
      </c>
      <c r="E1231" s="87"/>
      <c r="F1231" s="87" t="str">
        <f>IF(INDEX(I.Gas.AssociatedGasEnergy,17)="","",INDEX(I.Gas.AssociatedGasEnergy,17))</f>
        <v/>
      </c>
      <c r="G1231" s="87"/>
      <c r="H1231" s="28" t="str">
        <f>IF(AND(I.Facility.GasToPower="Yes",I.Gas.Count&gt;=17,F1231=""),"Incomplete","Complete")</f>
        <v>Complete</v>
      </c>
      <c r="I1231" s="46" t="s">
        <v>1367</v>
      </c>
    </row>
    <row r="1232" spans="2:9" ht="14.45" customHeight="1" x14ac:dyDescent="0.25">
      <c r="B1232" s="44" t="s">
        <v>416</v>
      </c>
      <c r="C1232" s="28">
        <v>18</v>
      </c>
      <c r="D1232" s="45" t="s">
        <v>2132</v>
      </c>
      <c r="E1232" s="87"/>
      <c r="F1232" s="87" t="str">
        <f>IF(INDEX(I.Gas.AssociatedGasEnergy,18)="","",INDEX(I.Gas.AssociatedGasEnergy,18))</f>
        <v/>
      </c>
      <c r="G1232" s="87"/>
      <c r="H1232" s="28" t="str">
        <f>IF(AND(I.Facility.GasToPower="Yes",I.Gas.Count&gt;=18,F1232=""),"Incomplete","Complete")</f>
        <v>Complete</v>
      </c>
      <c r="I1232" s="46" t="s">
        <v>1368</v>
      </c>
    </row>
    <row r="1233" spans="2:9" ht="14.45" customHeight="1" x14ac:dyDescent="0.25">
      <c r="B1233" s="44" t="s">
        <v>416</v>
      </c>
      <c r="C1233" s="28">
        <v>19</v>
      </c>
      <c r="D1233" s="45" t="s">
        <v>2132</v>
      </c>
      <c r="E1233" s="87"/>
      <c r="F1233" s="87" t="str">
        <f>IF(INDEX(I.Gas.AssociatedGasEnergy,19)="","",INDEX(I.Gas.AssociatedGasEnergy,19))</f>
        <v/>
      </c>
      <c r="G1233" s="87"/>
      <c r="H1233" s="28" t="str">
        <f>IF(AND(I.Facility.GasToPower="Yes",I.Gas.Count&gt;=19,F1233=""),"Incomplete","Complete")</f>
        <v>Complete</v>
      </c>
      <c r="I1233" s="46" t="s">
        <v>1369</v>
      </c>
    </row>
    <row r="1234" spans="2:9" ht="14.45" customHeight="1" x14ac:dyDescent="0.25">
      <c r="B1234" s="44" t="s">
        <v>416</v>
      </c>
      <c r="C1234" s="28">
        <v>20</v>
      </c>
      <c r="D1234" s="45" t="s">
        <v>2132</v>
      </c>
      <c r="E1234" s="87"/>
      <c r="F1234" s="87" t="str">
        <f>IF(INDEX(I.Gas.AssociatedGasEnergy,20)="","",INDEX(I.Gas.AssociatedGasEnergy,20))</f>
        <v/>
      </c>
      <c r="G1234" s="87"/>
      <c r="H1234" s="28" t="str">
        <f>IF(AND(I.Facility.GasToPower="Yes",I.Gas.Count&gt;=20,F1234=""),"Incomplete","Complete")</f>
        <v>Complete</v>
      </c>
      <c r="I1234" s="46" t="s">
        <v>1370</v>
      </c>
    </row>
    <row r="1235" spans="2:9" ht="14.45" customHeight="1" x14ac:dyDescent="0.25">
      <c r="B1235" s="44" t="s">
        <v>416</v>
      </c>
      <c r="C1235" s="28">
        <v>21</v>
      </c>
      <c r="D1235" s="45" t="s">
        <v>2132</v>
      </c>
      <c r="E1235" s="87"/>
      <c r="F1235" s="87" t="str">
        <f>IF(INDEX(I.Gas.AssociatedGasEnergy,21)="","",INDEX(I.Gas.AssociatedGasEnergy,21))</f>
        <v/>
      </c>
      <c r="G1235" s="87"/>
      <c r="H1235" s="28" t="str">
        <f>IF(AND(I.Facility.GasToPower="Yes",I.Gas.Count&gt;=21,F1235=""),"Incomplete","Complete")</f>
        <v>Complete</v>
      </c>
      <c r="I1235" s="46" t="s">
        <v>1371</v>
      </c>
    </row>
    <row r="1236" spans="2:9" ht="14.45" customHeight="1" x14ac:dyDescent="0.25">
      <c r="B1236" s="44" t="s">
        <v>416</v>
      </c>
      <c r="C1236" s="28">
        <v>22</v>
      </c>
      <c r="D1236" s="45" t="s">
        <v>2132</v>
      </c>
      <c r="E1236" s="87"/>
      <c r="F1236" s="87" t="str">
        <f>IF(INDEX(I.Gas.AssociatedGasEnergy,22)="","",INDEX(I.Gas.AssociatedGasEnergy,22))</f>
        <v/>
      </c>
      <c r="G1236" s="87"/>
      <c r="H1236" s="28" t="str">
        <f>IF(AND(I.Facility.GasToPower="Yes",I.Gas.Count&gt;=22,F1236=""),"Incomplete","Complete")</f>
        <v>Complete</v>
      </c>
      <c r="I1236" s="46" t="s">
        <v>1372</v>
      </c>
    </row>
    <row r="1237" spans="2:9" ht="14.45" customHeight="1" x14ac:dyDescent="0.25">
      <c r="B1237" s="44" t="s">
        <v>416</v>
      </c>
      <c r="C1237" s="28">
        <v>23</v>
      </c>
      <c r="D1237" s="45" t="s">
        <v>2132</v>
      </c>
      <c r="E1237" s="87"/>
      <c r="F1237" s="87" t="str">
        <f>IF(INDEX(I.Gas.AssociatedGasEnergy,23)="","",INDEX(I.Gas.AssociatedGasEnergy,23))</f>
        <v/>
      </c>
      <c r="G1237" s="87"/>
      <c r="H1237" s="28" t="str">
        <f>IF(AND(I.Facility.GasToPower="Yes",I.Gas.Count&gt;=23,F1237=""),"Incomplete","Complete")</f>
        <v>Complete</v>
      </c>
      <c r="I1237" s="46" t="s">
        <v>1373</v>
      </c>
    </row>
    <row r="1238" spans="2:9" ht="14.45" customHeight="1" x14ac:dyDescent="0.25">
      <c r="B1238" s="44" t="s">
        <v>416</v>
      </c>
      <c r="C1238" s="28">
        <v>24</v>
      </c>
      <c r="D1238" s="45" t="s">
        <v>2132</v>
      </c>
      <c r="E1238" s="87"/>
      <c r="F1238" s="87" t="str">
        <f>IF(INDEX(I.Gas.AssociatedGasEnergy,24)="","",INDEX(I.Gas.AssociatedGasEnergy,24))</f>
        <v/>
      </c>
      <c r="G1238" s="87"/>
      <c r="H1238" s="28" t="str">
        <f>IF(AND(I.Facility.GasToPower="Yes",I.Gas.Count&gt;=24,F1238=""),"Incomplete","Complete")</f>
        <v>Complete</v>
      </c>
      <c r="I1238" s="46" t="s">
        <v>1374</v>
      </c>
    </row>
    <row r="1239" spans="2:9" ht="14.45" customHeight="1" x14ac:dyDescent="0.25">
      <c r="B1239" s="44" t="s">
        <v>416</v>
      </c>
      <c r="C1239" s="28">
        <v>25</v>
      </c>
      <c r="D1239" s="45" t="s">
        <v>2132</v>
      </c>
      <c r="E1239" s="87"/>
      <c r="F1239" s="87" t="str">
        <f>IF(INDEX(I.Gas.AssociatedGasEnergy,25)="","",INDEX(I.Gas.AssociatedGasEnergy,25))</f>
        <v/>
      </c>
      <c r="G1239" s="87"/>
      <c r="H1239" s="28" t="str">
        <f>IF(AND(I.Facility.GasToPower="Yes",I.Gas.Count&gt;=25,F1239=""),"Incomplete","Complete")</f>
        <v>Complete</v>
      </c>
      <c r="I1239" s="46" t="s">
        <v>1375</v>
      </c>
    </row>
    <row r="1240" spans="2:9" ht="14.45" customHeight="1" x14ac:dyDescent="0.25">
      <c r="B1240" s="44" t="s">
        <v>416</v>
      </c>
      <c r="C1240" s="28">
        <v>26</v>
      </c>
      <c r="D1240" s="45" t="s">
        <v>2132</v>
      </c>
      <c r="E1240" s="87"/>
      <c r="F1240" s="87" t="str">
        <f>IF(INDEX(I.Gas.AssociatedGasEnergy,26)="","",INDEX(I.Gas.AssociatedGasEnergy,26))</f>
        <v/>
      </c>
      <c r="G1240" s="87"/>
      <c r="H1240" s="28" t="str">
        <f>IF(AND(I.Facility.GasToPower="Yes",I.Gas.Count&gt;=26,F1240=""),"Incomplete","Complete")</f>
        <v>Complete</v>
      </c>
      <c r="I1240" s="46" t="s">
        <v>1376</v>
      </c>
    </row>
    <row r="1241" spans="2:9" ht="14.45" customHeight="1" x14ac:dyDescent="0.25">
      <c r="B1241" s="44" t="s">
        <v>416</v>
      </c>
      <c r="C1241" s="28">
        <v>27</v>
      </c>
      <c r="D1241" s="45" t="s">
        <v>2132</v>
      </c>
      <c r="E1241" s="87"/>
      <c r="F1241" s="87" t="str">
        <f>IF(INDEX(I.Gas.AssociatedGasEnergy,27)="","",INDEX(I.Gas.AssociatedGasEnergy,27))</f>
        <v/>
      </c>
      <c r="G1241" s="87"/>
      <c r="H1241" s="28" t="str">
        <f>IF(AND(I.Facility.GasToPower="Yes",I.Gas.Count&gt;=27,F1241=""),"Incomplete","Complete")</f>
        <v>Complete</v>
      </c>
      <c r="I1241" s="46" t="s">
        <v>1377</v>
      </c>
    </row>
    <row r="1242" spans="2:9" ht="14.45" customHeight="1" x14ac:dyDescent="0.25">
      <c r="B1242" s="44" t="s">
        <v>416</v>
      </c>
      <c r="C1242" s="28">
        <v>28</v>
      </c>
      <c r="D1242" s="45" t="s">
        <v>2132</v>
      </c>
      <c r="E1242" s="87"/>
      <c r="F1242" s="87" t="str">
        <f>IF(INDEX(I.Gas.AssociatedGasEnergy,28)="","",INDEX(I.Gas.AssociatedGasEnergy,28))</f>
        <v/>
      </c>
      <c r="G1242" s="87"/>
      <c r="H1242" s="28" t="str">
        <f>IF(AND(I.Facility.GasToPower="Yes",I.Gas.Count&gt;=28,F1242=""),"Incomplete","Complete")</f>
        <v>Complete</v>
      </c>
      <c r="I1242" s="46" t="s">
        <v>1378</v>
      </c>
    </row>
    <row r="1243" spans="2:9" ht="14.45" customHeight="1" x14ac:dyDescent="0.25">
      <c r="B1243" s="44" t="s">
        <v>416</v>
      </c>
      <c r="C1243" s="28">
        <v>29</v>
      </c>
      <c r="D1243" s="45" t="s">
        <v>2132</v>
      </c>
      <c r="E1243" s="87"/>
      <c r="F1243" s="87" t="str">
        <f>IF(INDEX(I.Gas.AssociatedGasEnergy,29)="","",INDEX(I.Gas.AssociatedGasEnergy,29))</f>
        <v/>
      </c>
      <c r="G1243" s="87"/>
      <c r="H1243" s="28" t="str">
        <f>IF(AND(I.Facility.GasToPower="Yes",I.Gas.Count&gt;=29,F1243=""),"Incomplete","Complete")</f>
        <v>Complete</v>
      </c>
      <c r="I1243" s="46" t="s">
        <v>1379</v>
      </c>
    </row>
    <row r="1244" spans="2:9" ht="14.45" customHeight="1" x14ac:dyDescent="0.25">
      <c r="B1244" s="44" t="s">
        <v>416</v>
      </c>
      <c r="C1244" s="28">
        <v>30</v>
      </c>
      <c r="D1244" s="45" t="s">
        <v>2132</v>
      </c>
      <c r="E1244" s="87"/>
      <c r="F1244" s="87" t="str">
        <f>IF(INDEX(I.Gas.AssociatedGasEnergy,30)="","",INDEX(I.Gas.AssociatedGasEnergy,30))</f>
        <v/>
      </c>
      <c r="G1244" s="87"/>
      <c r="H1244" s="28" t="str">
        <f>IF(AND(I.Facility.GasToPower="Yes",I.Gas.Count&gt;=30,F1244=""),"Incomplete","Complete")</f>
        <v>Complete</v>
      </c>
      <c r="I1244" s="46" t="s">
        <v>1380</v>
      </c>
    </row>
    <row r="1245" spans="2:9" ht="14.45" customHeight="1" x14ac:dyDescent="0.25">
      <c r="B1245" s="44" t="s">
        <v>416</v>
      </c>
      <c r="C1245" s="28">
        <v>31</v>
      </c>
      <c r="D1245" s="45" t="s">
        <v>2132</v>
      </c>
      <c r="E1245" s="87"/>
      <c r="F1245" s="87" t="str">
        <f>IF(INDEX(I.Gas.AssociatedGasEnergy,31)="","",INDEX(I.Gas.AssociatedGasEnergy,31))</f>
        <v/>
      </c>
      <c r="G1245" s="87"/>
      <c r="H1245" s="28" t="str">
        <f>IF(AND(I.Facility.GasToPower="Yes",I.Gas.Count&gt;=31,F1245=""),"Incomplete","Complete")</f>
        <v>Complete</v>
      </c>
      <c r="I1245" s="46" t="s">
        <v>1381</v>
      </c>
    </row>
    <row r="1246" spans="2:9" ht="14.45" customHeight="1" x14ac:dyDescent="0.25">
      <c r="B1246" s="44" t="s">
        <v>416</v>
      </c>
      <c r="C1246" s="28">
        <v>32</v>
      </c>
      <c r="D1246" s="45" t="s">
        <v>2132</v>
      </c>
      <c r="E1246" s="87"/>
      <c r="F1246" s="87" t="str">
        <f>IF(INDEX(I.Gas.AssociatedGasEnergy,32)="","",INDEX(I.Gas.AssociatedGasEnergy,32))</f>
        <v/>
      </c>
      <c r="G1246" s="87"/>
      <c r="H1246" s="28" t="str">
        <f>IF(AND(I.Facility.GasToPower="Yes",I.Gas.Count&gt;=32,F1246=""),"Incomplete","Complete")</f>
        <v>Complete</v>
      </c>
      <c r="I1246" s="46" t="s">
        <v>1382</v>
      </c>
    </row>
    <row r="1247" spans="2:9" ht="14.45" customHeight="1" x14ac:dyDescent="0.25">
      <c r="B1247" s="44" t="s">
        <v>416</v>
      </c>
      <c r="C1247" s="28">
        <v>33</v>
      </c>
      <c r="D1247" s="45" t="s">
        <v>2132</v>
      </c>
      <c r="E1247" s="87"/>
      <c r="F1247" s="87" t="str">
        <f>IF(INDEX(I.Gas.AssociatedGasEnergy,33)="","",INDEX(I.Gas.AssociatedGasEnergy,33))</f>
        <v/>
      </c>
      <c r="G1247" s="87"/>
      <c r="H1247" s="28" t="str">
        <f>IF(AND(I.Facility.GasToPower="Yes",I.Gas.Count&gt;=33,F1247=""),"Incomplete","Complete")</f>
        <v>Complete</v>
      </c>
      <c r="I1247" s="46" t="s">
        <v>1383</v>
      </c>
    </row>
    <row r="1248" spans="2:9" ht="14.45" customHeight="1" x14ac:dyDescent="0.25">
      <c r="B1248" s="44" t="s">
        <v>416</v>
      </c>
      <c r="C1248" s="28">
        <v>34</v>
      </c>
      <c r="D1248" s="45" t="s">
        <v>2132</v>
      </c>
      <c r="E1248" s="87"/>
      <c r="F1248" s="87" t="str">
        <f>IF(INDEX(I.Gas.AssociatedGasEnergy,34)="","",INDEX(I.Gas.AssociatedGasEnergy,34))</f>
        <v/>
      </c>
      <c r="G1248" s="87"/>
      <c r="H1248" s="28" t="str">
        <f>IF(AND(I.Facility.GasToPower="Yes",I.Gas.Count&gt;=34,F1248=""),"Incomplete","Complete")</f>
        <v>Complete</v>
      </c>
      <c r="I1248" s="46" t="s">
        <v>1384</v>
      </c>
    </row>
    <row r="1249" spans="2:9" ht="14.45" customHeight="1" x14ac:dyDescent="0.25">
      <c r="B1249" s="44" t="s">
        <v>416</v>
      </c>
      <c r="C1249" s="28">
        <v>35</v>
      </c>
      <c r="D1249" s="45" t="s">
        <v>2132</v>
      </c>
      <c r="E1249" s="87"/>
      <c r="F1249" s="87" t="str">
        <f>IF(INDEX(I.Gas.AssociatedGasEnergy,35)="","",INDEX(I.Gas.AssociatedGasEnergy,35))</f>
        <v/>
      </c>
      <c r="G1249" s="87"/>
      <c r="H1249" s="28" t="str">
        <f>IF(AND(I.Facility.GasToPower="Yes",I.Gas.Count&gt;=35,F1249=""),"Incomplete","Complete")</f>
        <v>Complete</v>
      </c>
      <c r="I1249" s="46" t="s">
        <v>1385</v>
      </c>
    </row>
    <row r="1250" spans="2:9" ht="14.45" customHeight="1" x14ac:dyDescent="0.25">
      <c r="B1250" s="44" t="s">
        <v>416</v>
      </c>
      <c r="C1250" s="28">
        <v>36</v>
      </c>
      <c r="D1250" s="45" t="s">
        <v>2132</v>
      </c>
      <c r="E1250" s="87"/>
      <c r="F1250" s="87" t="str">
        <f>IF(INDEX(I.Gas.AssociatedGasEnergy,36)="","",INDEX(I.Gas.AssociatedGasEnergy,36))</f>
        <v/>
      </c>
      <c r="G1250" s="87"/>
      <c r="H1250" s="28" t="str">
        <f>IF(AND(I.Facility.GasToPower="Yes",I.Gas.Count&gt;=36,F1250=""),"Incomplete","Complete")</f>
        <v>Complete</v>
      </c>
      <c r="I1250" s="46" t="s">
        <v>1386</v>
      </c>
    </row>
    <row r="1251" spans="2:9" ht="14.45" customHeight="1" x14ac:dyDescent="0.25">
      <c r="B1251" s="44" t="s">
        <v>416</v>
      </c>
      <c r="C1251" s="28">
        <v>37</v>
      </c>
      <c r="D1251" s="45" t="s">
        <v>2132</v>
      </c>
      <c r="E1251" s="87"/>
      <c r="F1251" s="87" t="str">
        <f>IF(INDEX(I.Gas.AssociatedGasEnergy,37)="","",INDEX(I.Gas.AssociatedGasEnergy,37))</f>
        <v/>
      </c>
      <c r="G1251" s="87"/>
      <c r="H1251" s="28" t="str">
        <f>IF(AND(I.Facility.GasToPower="Yes",I.Gas.Count&gt;=37,F1251=""),"Incomplete","Complete")</f>
        <v>Complete</v>
      </c>
      <c r="I1251" s="46" t="s">
        <v>1387</v>
      </c>
    </row>
    <row r="1252" spans="2:9" ht="14.45" customHeight="1" x14ac:dyDescent="0.25">
      <c r="B1252" s="44" t="s">
        <v>416</v>
      </c>
      <c r="C1252" s="28">
        <v>38</v>
      </c>
      <c r="D1252" s="45" t="s">
        <v>2132</v>
      </c>
      <c r="E1252" s="87"/>
      <c r="F1252" s="87" t="str">
        <f>IF(INDEX(I.Gas.AssociatedGasEnergy,38)="","",INDEX(I.Gas.AssociatedGasEnergy,38))</f>
        <v/>
      </c>
      <c r="G1252" s="87"/>
      <c r="H1252" s="28" t="str">
        <f>IF(AND(I.Facility.GasToPower="Yes",I.Gas.Count&gt;=38,F1252=""),"Incomplete","Complete")</f>
        <v>Complete</v>
      </c>
      <c r="I1252" s="46" t="s">
        <v>1388</v>
      </c>
    </row>
    <row r="1253" spans="2:9" ht="14.45" customHeight="1" x14ac:dyDescent="0.25">
      <c r="B1253" s="44" t="s">
        <v>416</v>
      </c>
      <c r="C1253" s="28">
        <v>39</v>
      </c>
      <c r="D1253" s="45" t="s">
        <v>2132</v>
      </c>
      <c r="E1253" s="87"/>
      <c r="F1253" s="87" t="str">
        <f>IF(INDEX(I.Gas.AssociatedGasEnergy,39)="","",INDEX(I.Gas.AssociatedGasEnergy,39))</f>
        <v/>
      </c>
      <c r="G1253" s="87"/>
      <c r="H1253" s="28" t="str">
        <f>IF(AND(I.Facility.GasToPower="Yes",I.Gas.Count&gt;=39,F1253=""),"Incomplete","Complete")</f>
        <v>Complete</v>
      </c>
      <c r="I1253" s="46" t="s">
        <v>1389</v>
      </c>
    </row>
    <row r="1254" spans="2:9" ht="14.45" customHeight="1" x14ac:dyDescent="0.25">
      <c r="B1254" s="44" t="s">
        <v>416</v>
      </c>
      <c r="C1254" s="28">
        <v>40</v>
      </c>
      <c r="D1254" s="45" t="s">
        <v>2132</v>
      </c>
      <c r="E1254" s="87"/>
      <c r="F1254" s="87" t="str">
        <f>IF(INDEX(I.Gas.AssociatedGasEnergy,40)="","",INDEX(I.Gas.AssociatedGasEnergy,40))</f>
        <v/>
      </c>
      <c r="G1254" s="87"/>
      <c r="H1254" s="28" t="str">
        <f>IF(AND(I.Facility.GasToPower="Yes",I.Gas.Count&gt;=40,F1254=""),"Incomplete","Complete")</f>
        <v>Complete</v>
      </c>
      <c r="I1254" s="46" t="s">
        <v>1390</v>
      </c>
    </row>
    <row r="1255" spans="2:9" ht="14.45" customHeight="1" x14ac:dyDescent="0.25">
      <c r="B1255" s="44" t="s">
        <v>416</v>
      </c>
      <c r="C1255" s="28">
        <v>41</v>
      </c>
      <c r="D1255" s="45" t="s">
        <v>2132</v>
      </c>
      <c r="E1255" s="87"/>
      <c r="F1255" s="87" t="str">
        <f>IF(INDEX(I.Gas.AssociatedGasEnergy,41)="","",INDEX(I.Gas.AssociatedGasEnergy,41))</f>
        <v/>
      </c>
      <c r="G1255" s="87"/>
      <c r="H1255" s="28" t="str">
        <f>IF(AND(I.Facility.GasToPower="Yes",I.Gas.Count&gt;=41,F1255=""),"Incomplete","Complete")</f>
        <v>Complete</v>
      </c>
      <c r="I1255" s="46" t="s">
        <v>1391</v>
      </c>
    </row>
    <row r="1256" spans="2:9" ht="14.45" customHeight="1" x14ac:dyDescent="0.25">
      <c r="B1256" s="44" t="s">
        <v>416</v>
      </c>
      <c r="C1256" s="28">
        <v>42</v>
      </c>
      <c r="D1256" s="45" t="s">
        <v>2132</v>
      </c>
      <c r="E1256" s="87"/>
      <c r="F1256" s="87" t="str">
        <f>IF(INDEX(I.Gas.AssociatedGasEnergy,42)="","",INDEX(I.Gas.AssociatedGasEnergy,42))</f>
        <v/>
      </c>
      <c r="G1256" s="87"/>
      <c r="H1256" s="28" t="str">
        <f>IF(AND(I.Facility.GasToPower="Yes",I.Gas.Count&gt;=42,F1256=""),"Incomplete","Complete")</f>
        <v>Complete</v>
      </c>
      <c r="I1256" s="46" t="s">
        <v>1392</v>
      </c>
    </row>
    <row r="1257" spans="2:9" ht="14.45" customHeight="1" x14ac:dyDescent="0.25">
      <c r="B1257" s="44" t="s">
        <v>416</v>
      </c>
      <c r="C1257" s="28">
        <v>43</v>
      </c>
      <c r="D1257" s="45" t="s">
        <v>2132</v>
      </c>
      <c r="E1257" s="87"/>
      <c r="F1257" s="87" t="str">
        <f>IF(INDEX(I.Gas.AssociatedGasEnergy,43)="","",INDEX(I.Gas.AssociatedGasEnergy,43))</f>
        <v/>
      </c>
      <c r="G1257" s="87"/>
      <c r="H1257" s="28" t="str">
        <f>IF(AND(I.Facility.GasToPower="Yes",I.Gas.Count&gt;=43,F1257=""),"Incomplete","Complete")</f>
        <v>Complete</v>
      </c>
      <c r="I1257" s="46" t="s">
        <v>1393</v>
      </c>
    </row>
    <row r="1258" spans="2:9" ht="14.45" customHeight="1" x14ac:dyDescent="0.25">
      <c r="B1258" s="44" t="s">
        <v>416</v>
      </c>
      <c r="C1258" s="28">
        <v>44</v>
      </c>
      <c r="D1258" s="45" t="s">
        <v>2132</v>
      </c>
      <c r="E1258" s="87"/>
      <c r="F1258" s="87" t="str">
        <f>IF(INDEX(I.Gas.AssociatedGasEnergy,44)="","",INDEX(I.Gas.AssociatedGasEnergy,44))</f>
        <v/>
      </c>
      <c r="G1258" s="87"/>
      <c r="H1258" s="28" t="str">
        <f>IF(AND(I.Facility.GasToPower="Yes",I.Gas.Count&gt;=44,F1258=""),"Incomplete","Complete")</f>
        <v>Complete</v>
      </c>
      <c r="I1258" s="46" t="s">
        <v>1394</v>
      </c>
    </row>
    <row r="1259" spans="2:9" ht="14.45" customHeight="1" x14ac:dyDescent="0.25">
      <c r="B1259" s="44" t="s">
        <v>416</v>
      </c>
      <c r="C1259" s="28">
        <v>45</v>
      </c>
      <c r="D1259" s="45" t="s">
        <v>2132</v>
      </c>
      <c r="E1259" s="87"/>
      <c r="F1259" s="87" t="str">
        <f>IF(INDEX(I.Gas.AssociatedGasEnergy,45)="","",INDEX(I.Gas.AssociatedGasEnergy,45))</f>
        <v/>
      </c>
      <c r="G1259" s="87"/>
      <c r="H1259" s="28" t="str">
        <f>IF(AND(I.Facility.GasToPower="Yes",I.Gas.Count&gt;=45,F1259=""),"Incomplete","Complete")</f>
        <v>Complete</v>
      </c>
      <c r="I1259" s="46" t="s">
        <v>1395</v>
      </c>
    </row>
    <row r="1260" spans="2:9" ht="14.45" customHeight="1" x14ac:dyDescent="0.25">
      <c r="B1260" s="44" t="s">
        <v>416</v>
      </c>
      <c r="C1260" s="28">
        <v>46</v>
      </c>
      <c r="D1260" s="45" t="s">
        <v>2132</v>
      </c>
      <c r="E1260" s="87"/>
      <c r="F1260" s="87" t="str">
        <f>IF(INDEX(I.Gas.AssociatedGasEnergy,46)="","",INDEX(I.Gas.AssociatedGasEnergy,46))</f>
        <v/>
      </c>
      <c r="G1260" s="87"/>
      <c r="H1260" s="28" t="str">
        <f>IF(AND(I.Facility.GasToPower="Yes",I.Gas.Count&gt;=46,F1260=""),"Incomplete","Complete")</f>
        <v>Complete</v>
      </c>
      <c r="I1260" s="46" t="s">
        <v>1396</v>
      </c>
    </row>
    <row r="1261" spans="2:9" ht="14.45" customHeight="1" x14ac:dyDescent="0.25">
      <c r="B1261" s="44" t="s">
        <v>416</v>
      </c>
      <c r="C1261" s="28">
        <v>47</v>
      </c>
      <c r="D1261" s="45" t="s">
        <v>2132</v>
      </c>
      <c r="E1261" s="87"/>
      <c r="F1261" s="87" t="str">
        <f>IF(INDEX(I.Gas.AssociatedGasEnergy,47)="","",INDEX(I.Gas.AssociatedGasEnergy,47))</f>
        <v/>
      </c>
      <c r="G1261" s="87"/>
      <c r="H1261" s="28" t="str">
        <f>IF(AND(I.Facility.GasToPower="Yes",I.Gas.Count&gt;=47,F1261=""),"Incomplete","Complete")</f>
        <v>Complete</v>
      </c>
      <c r="I1261" s="46" t="s">
        <v>1397</v>
      </c>
    </row>
    <row r="1262" spans="2:9" ht="14.45" customHeight="1" x14ac:dyDescent="0.25">
      <c r="B1262" s="44" t="s">
        <v>416</v>
      </c>
      <c r="C1262" s="28">
        <v>48</v>
      </c>
      <c r="D1262" s="45" t="s">
        <v>2132</v>
      </c>
      <c r="E1262" s="87"/>
      <c r="F1262" s="87" t="str">
        <f>IF(INDEX(I.Gas.AssociatedGasEnergy,48)="","",INDEX(I.Gas.AssociatedGasEnergy,48))</f>
        <v/>
      </c>
      <c r="G1262" s="87"/>
      <c r="H1262" s="28" t="str">
        <f>IF(AND(I.Facility.GasToPower="Yes",I.Gas.Count&gt;=48,F1262=""),"Incomplete","Complete")</f>
        <v>Complete</v>
      </c>
      <c r="I1262" s="46" t="s">
        <v>1398</v>
      </c>
    </row>
    <row r="1263" spans="2:9" ht="14.45" customHeight="1" x14ac:dyDescent="0.25">
      <c r="B1263" s="44" t="s">
        <v>416</v>
      </c>
      <c r="C1263" s="28">
        <v>49</v>
      </c>
      <c r="D1263" s="45" t="s">
        <v>2132</v>
      </c>
      <c r="E1263" s="87"/>
      <c r="F1263" s="87" t="str">
        <f>IF(INDEX(I.Gas.AssociatedGasEnergy,49)="","",INDEX(I.Gas.AssociatedGasEnergy,49))</f>
        <v/>
      </c>
      <c r="G1263" s="87"/>
      <c r="H1263" s="28" t="str">
        <f>IF(AND(I.Facility.GasToPower="Yes",I.Gas.Count&gt;=49,F1263=""),"Incomplete","Complete")</f>
        <v>Complete</v>
      </c>
      <c r="I1263" s="46" t="s">
        <v>1399</v>
      </c>
    </row>
    <row r="1264" spans="2:9" ht="14.45" customHeight="1" x14ac:dyDescent="0.25">
      <c r="B1264" s="53" t="s">
        <v>416</v>
      </c>
      <c r="C1264" s="66">
        <v>50</v>
      </c>
      <c r="D1264" s="54" t="s">
        <v>2132</v>
      </c>
      <c r="E1264" s="88"/>
      <c r="F1264" s="88" t="str">
        <f>IF(INDEX(I.Gas.AssociatedGasEnergy,50)="","",INDEX(I.Gas.AssociatedGasEnergy,50))</f>
        <v/>
      </c>
      <c r="G1264" s="88"/>
      <c r="H1264" s="66" t="str">
        <f>IF(AND(I.Facility.GasToPower="Yes",I.Gas.Count&gt;=50,F1264=""),"Incomplete","Complete")</f>
        <v>Complete</v>
      </c>
      <c r="I1264" s="68" t="s">
        <v>1400</v>
      </c>
    </row>
    <row r="1265" spans="2:9" ht="14.45" customHeight="1" x14ac:dyDescent="0.25">
      <c r="B1265" s="44" t="s">
        <v>417</v>
      </c>
      <c r="C1265" s="28">
        <v>1</v>
      </c>
      <c r="D1265" s="45" t="s">
        <v>2133</v>
      </c>
      <c r="E1265" s="87"/>
      <c r="F1265" s="87" t="str">
        <f>IF(INDEX(I.Gas.TotalGasEnergy,1)="","",INDEX(I.Gas.TotalGasEnergy,1))</f>
        <v/>
      </c>
      <c r="G1265" s="87"/>
      <c r="H1265" s="28" t="str">
        <f>IF(AND(I.Facility.GasToPower="Yes",I.Gas.Count&gt;=1,F1265=""),"Incomplete","Complete")</f>
        <v>Complete</v>
      </c>
      <c r="I1265" s="46" t="s">
        <v>1401</v>
      </c>
    </row>
    <row r="1266" spans="2:9" ht="14.45" customHeight="1" x14ac:dyDescent="0.25">
      <c r="B1266" s="44" t="s">
        <v>417</v>
      </c>
      <c r="C1266" s="28">
        <v>2</v>
      </c>
      <c r="D1266" s="45" t="s">
        <v>2133</v>
      </c>
      <c r="E1266" s="87"/>
      <c r="F1266" s="87" t="str">
        <f>IF(INDEX(I.Gas.TotalGasEnergy,2)="","",INDEX(I.Gas.TotalGasEnergy,2))</f>
        <v/>
      </c>
      <c r="G1266" s="87"/>
      <c r="H1266" s="28" t="str">
        <f>IF(AND(I.Facility.GasToPower="Yes",I.Gas.Count&gt;=2,F1266=""),"Incomplete","Complete")</f>
        <v>Complete</v>
      </c>
      <c r="I1266" s="46" t="s">
        <v>1402</v>
      </c>
    </row>
    <row r="1267" spans="2:9" ht="14.45" customHeight="1" x14ac:dyDescent="0.25">
      <c r="B1267" s="44" t="s">
        <v>417</v>
      </c>
      <c r="C1267" s="28">
        <v>3</v>
      </c>
      <c r="D1267" s="45" t="s">
        <v>2133</v>
      </c>
      <c r="E1267" s="87"/>
      <c r="F1267" s="87" t="str">
        <f>IF(INDEX(I.Gas.TotalGasEnergy,3)="","",INDEX(I.Gas.TotalGasEnergy,3))</f>
        <v/>
      </c>
      <c r="G1267" s="87"/>
      <c r="H1267" s="28" t="str">
        <f>IF(AND(I.Facility.GasToPower="Yes",I.Gas.Count&gt;=3,F1267=""),"Incomplete","Complete")</f>
        <v>Complete</v>
      </c>
      <c r="I1267" s="46" t="s">
        <v>1403</v>
      </c>
    </row>
    <row r="1268" spans="2:9" ht="14.45" customHeight="1" x14ac:dyDescent="0.25">
      <c r="B1268" s="44" t="s">
        <v>417</v>
      </c>
      <c r="C1268" s="28">
        <v>4</v>
      </c>
      <c r="D1268" s="45" t="s">
        <v>2133</v>
      </c>
      <c r="E1268" s="87"/>
      <c r="F1268" s="87" t="str">
        <f>IF(INDEX(I.Gas.TotalGasEnergy,4)="","",INDEX(I.Gas.TotalGasEnergy,4))</f>
        <v/>
      </c>
      <c r="G1268" s="87"/>
      <c r="H1268" s="28" t="str">
        <f>IF(AND(I.Facility.GasToPower="Yes",I.Gas.Count&gt;=4,F1268=""),"Incomplete","Complete")</f>
        <v>Complete</v>
      </c>
      <c r="I1268" s="46" t="s">
        <v>1404</v>
      </c>
    </row>
    <row r="1269" spans="2:9" ht="14.45" customHeight="1" x14ac:dyDescent="0.25">
      <c r="B1269" s="44" t="s">
        <v>417</v>
      </c>
      <c r="C1269" s="28">
        <v>5</v>
      </c>
      <c r="D1269" s="45" t="s">
        <v>2133</v>
      </c>
      <c r="E1269" s="87"/>
      <c r="F1269" s="87" t="str">
        <f>IF(INDEX(I.Gas.TotalGasEnergy,5)="","",INDEX(I.Gas.TotalGasEnergy,5))</f>
        <v/>
      </c>
      <c r="G1269" s="87"/>
      <c r="H1269" s="28" t="str">
        <f>IF(AND(I.Facility.GasToPower="Yes",I.Gas.Count&gt;=5,F1269=""),"Incomplete","Complete")</f>
        <v>Complete</v>
      </c>
      <c r="I1269" s="46" t="s">
        <v>1405</v>
      </c>
    </row>
    <row r="1270" spans="2:9" ht="14.45" customHeight="1" x14ac:dyDescent="0.25">
      <c r="B1270" s="44" t="s">
        <v>417</v>
      </c>
      <c r="C1270" s="28">
        <v>6</v>
      </c>
      <c r="D1270" s="45" t="s">
        <v>2133</v>
      </c>
      <c r="E1270" s="87"/>
      <c r="F1270" s="87" t="str">
        <f>IF(INDEX(I.Gas.TotalGasEnergy,6)="","",INDEX(I.Gas.TotalGasEnergy,6))</f>
        <v/>
      </c>
      <c r="G1270" s="87"/>
      <c r="H1270" s="28" t="str">
        <f>IF(AND(I.Facility.GasToPower="Yes",I.Gas.Count&gt;=6,F1270=""),"Incomplete","Complete")</f>
        <v>Complete</v>
      </c>
      <c r="I1270" s="46" t="s">
        <v>1406</v>
      </c>
    </row>
    <row r="1271" spans="2:9" ht="14.45" customHeight="1" x14ac:dyDescent="0.25">
      <c r="B1271" s="44" t="s">
        <v>417</v>
      </c>
      <c r="C1271" s="28">
        <v>7</v>
      </c>
      <c r="D1271" s="45" t="s">
        <v>2133</v>
      </c>
      <c r="E1271" s="87"/>
      <c r="F1271" s="87" t="str">
        <f>IF(INDEX(I.Gas.TotalGasEnergy,7)="","",INDEX(I.Gas.TotalGasEnergy,7))</f>
        <v/>
      </c>
      <c r="G1271" s="87"/>
      <c r="H1271" s="28" t="str">
        <f>IF(AND(I.Facility.GasToPower="Yes",I.Gas.Count&gt;=7,F1271=""),"Incomplete","Complete")</f>
        <v>Complete</v>
      </c>
      <c r="I1271" s="46" t="s">
        <v>1407</v>
      </c>
    </row>
    <row r="1272" spans="2:9" ht="14.45" customHeight="1" x14ac:dyDescent="0.25">
      <c r="B1272" s="44" t="s">
        <v>417</v>
      </c>
      <c r="C1272" s="28">
        <v>8</v>
      </c>
      <c r="D1272" s="45" t="s">
        <v>2133</v>
      </c>
      <c r="E1272" s="87"/>
      <c r="F1272" s="87" t="str">
        <f>IF(INDEX(I.Gas.TotalGasEnergy,8)="","",INDEX(I.Gas.TotalGasEnergy,8))</f>
        <v/>
      </c>
      <c r="G1272" s="87"/>
      <c r="H1272" s="28" t="str">
        <f>IF(AND(I.Facility.GasToPower="Yes",I.Gas.Count&gt;=8,F1272=""),"Incomplete","Complete")</f>
        <v>Complete</v>
      </c>
      <c r="I1272" s="46" t="s">
        <v>1408</v>
      </c>
    </row>
    <row r="1273" spans="2:9" ht="14.45" customHeight="1" x14ac:dyDescent="0.25">
      <c r="B1273" s="44" t="s">
        <v>417</v>
      </c>
      <c r="C1273" s="28">
        <v>9</v>
      </c>
      <c r="D1273" s="45" t="s">
        <v>2133</v>
      </c>
      <c r="E1273" s="87"/>
      <c r="F1273" s="87" t="str">
        <f>IF(INDEX(I.Gas.TotalGasEnergy,9)="","",INDEX(I.Gas.TotalGasEnergy,9))</f>
        <v/>
      </c>
      <c r="G1273" s="87"/>
      <c r="H1273" s="28" t="str">
        <f>IF(AND(I.Facility.GasToPower="Yes",I.Gas.Count&gt;=9,F1273=""),"Incomplete","Complete")</f>
        <v>Complete</v>
      </c>
      <c r="I1273" s="46" t="s">
        <v>1409</v>
      </c>
    </row>
    <row r="1274" spans="2:9" ht="14.45" customHeight="1" x14ac:dyDescent="0.25">
      <c r="B1274" s="44" t="s">
        <v>417</v>
      </c>
      <c r="C1274" s="28">
        <v>10</v>
      </c>
      <c r="D1274" s="45" t="s">
        <v>2133</v>
      </c>
      <c r="E1274" s="87"/>
      <c r="F1274" s="87" t="str">
        <f>IF(INDEX(I.Gas.TotalGasEnergy,10)="","",INDEX(I.Gas.TotalGasEnergy,10))</f>
        <v/>
      </c>
      <c r="G1274" s="87"/>
      <c r="H1274" s="28" t="str">
        <f>IF(AND(I.Facility.GasToPower="Yes",I.Gas.Count&gt;=10,F1274=""),"Incomplete","Complete")</f>
        <v>Complete</v>
      </c>
      <c r="I1274" s="46" t="s">
        <v>1410</v>
      </c>
    </row>
    <row r="1275" spans="2:9" ht="14.45" customHeight="1" x14ac:dyDescent="0.25">
      <c r="B1275" s="44" t="s">
        <v>417</v>
      </c>
      <c r="C1275" s="28">
        <v>11</v>
      </c>
      <c r="D1275" s="45" t="s">
        <v>2133</v>
      </c>
      <c r="E1275" s="87"/>
      <c r="F1275" s="87" t="str">
        <f>IF(INDEX(I.Gas.TotalGasEnergy,11)="","",INDEX(I.Gas.TotalGasEnergy,11))</f>
        <v/>
      </c>
      <c r="G1275" s="87"/>
      <c r="H1275" s="28" t="str">
        <f>IF(AND(I.Facility.GasToPower="Yes",I.Gas.Count&gt;=11,F1275=""),"Incomplete","Complete")</f>
        <v>Complete</v>
      </c>
      <c r="I1275" s="46" t="s">
        <v>1411</v>
      </c>
    </row>
    <row r="1276" spans="2:9" ht="14.45" customHeight="1" x14ac:dyDescent="0.25">
      <c r="B1276" s="44" t="s">
        <v>417</v>
      </c>
      <c r="C1276" s="28">
        <v>12</v>
      </c>
      <c r="D1276" s="45" t="s">
        <v>2133</v>
      </c>
      <c r="E1276" s="87"/>
      <c r="F1276" s="87" t="str">
        <f>IF(INDEX(I.Gas.TotalGasEnergy,12)="","",INDEX(I.Gas.TotalGasEnergy,12))</f>
        <v/>
      </c>
      <c r="G1276" s="87"/>
      <c r="H1276" s="28" t="str">
        <f>IF(AND(I.Facility.GasToPower="Yes",I.Gas.Count&gt;=12,F1276=""),"Incomplete","Complete")</f>
        <v>Complete</v>
      </c>
      <c r="I1276" s="46" t="s">
        <v>1412</v>
      </c>
    </row>
    <row r="1277" spans="2:9" ht="14.45" customHeight="1" x14ac:dyDescent="0.25">
      <c r="B1277" s="44" t="s">
        <v>417</v>
      </c>
      <c r="C1277" s="28">
        <v>13</v>
      </c>
      <c r="D1277" s="45" t="s">
        <v>2133</v>
      </c>
      <c r="E1277" s="87"/>
      <c r="F1277" s="87" t="str">
        <f>IF(INDEX(I.Gas.TotalGasEnergy,13)="","",INDEX(I.Gas.TotalGasEnergy,13))</f>
        <v/>
      </c>
      <c r="G1277" s="87"/>
      <c r="H1277" s="28" t="str">
        <f>IF(AND(I.Facility.GasToPower="Yes",I.Gas.Count&gt;=13,F1277=""),"Incomplete","Complete")</f>
        <v>Complete</v>
      </c>
      <c r="I1277" s="46" t="s">
        <v>1413</v>
      </c>
    </row>
    <row r="1278" spans="2:9" ht="14.45" customHeight="1" x14ac:dyDescent="0.25">
      <c r="B1278" s="44" t="s">
        <v>417</v>
      </c>
      <c r="C1278" s="28">
        <v>14</v>
      </c>
      <c r="D1278" s="45" t="s">
        <v>2133</v>
      </c>
      <c r="E1278" s="87"/>
      <c r="F1278" s="87" t="str">
        <f>IF(INDEX(I.Gas.TotalGasEnergy,14)="","",INDEX(I.Gas.TotalGasEnergy,14))</f>
        <v/>
      </c>
      <c r="G1278" s="87"/>
      <c r="H1278" s="28" t="str">
        <f>IF(AND(I.Facility.GasToPower="Yes",I.Gas.Count&gt;=14,F1278=""),"Incomplete","Complete")</f>
        <v>Complete</v>
      </c>
      <c r="I1278" s="46" t="s">
        <v>1414</v>
      </c>
    </row>
    <row r="1279" spans="2:9" ht="14.45" customHeight="1" x14ac:dyDescent="0.25">
      <c r="B1279" s="44" t="s">
        <v>417</v>
      </c>
      <c r="C1279" s="28">
        <v>15</v>
      </c>
      <c r="D1279" s="45" t="s">
        <v>2133</v>
      </c>
      <c r="E1279" s="87"/>
      <c r="F1279" s="87" t="str">
        <f>IF(INDEX(I.Gas.TotalGasEnergy,15)="","",INDEX(I.Gas.TotalGasEnergy,15))</f>
        <v/>
      </c>
      <c r="G1279" s="87"/>
      <c r="H1279" s="28" t="str">
        <f>IF(AND(I.Facility.GasToPower="Yes",I.Gas.Count&gt;=15,F1279=""),"Incomplete","Complete")</f>
        <v>Complete</v>
      </c>
      <c r="I1279" s="46" t="s">
        <v>1415</v>
      </c>
    </row>
    <row r="1280" spans="2:9" ht="14.45" customHeight="1" x14ac:dyDescent="0.25">
      <c r="B1280" s="44" t="s">
        <v>417</v>
      </c>
      <c r="C1280" s="28">
        <v>16</v>
      </c>
      <c r="D1280" s="45" t="s">
        <v>2133</v>
      </c>
      <c r="E1280" s="87"/>
      <c r="F1280" s="87" t="str">
        <f>IF(INDEX(I.Gas.TotalGasEnergy,16)="","",INDEX(I.Gas.TotalGasEnergy,16))</f>
        <v/>
      </c>
      <c r="G1280" s="87"/>
      <c r="H1280" s="28" t="str">
        <f>IF(AND(I.Facility.GasToPower="Yes",I.Gas.Count&gt;=16,F1280=""),"Incomplete","Complete")</f>
        <v>Complete</v>
      </c>
      <c r="I1280" s="46" t="s">
        <v>1416</v>
      </c>
    </row>
    <row r="1281" spans="2:9" ht="14.45" customHeight="1" x14ac:dyDescent="0.25">
      <c r="B1281" s="44" t="s">
        <v>417</v>
      </c>
      <c r="C1281" s="28">
        <v>17</v>
      </c>
      <c r="D1281" s="45" t="s">
        <v>2133</v>
      </c>
      <c r="E1281" s="87"/>
      <c r="F1281" s="87" t="str">
        <f>IF(INDEX(I.Gas.TotalGasEnergy,17)="","",INDEX(I.Gas.TotalGasEnergy,17))</f>
        <v/>
      </c>
      <c r="G1281" s="87"/>
      <c r="H1281" s="28" t="str">
        <f>IF(AND(I.Facility.GasToPower="Yes",I.Gas.Count&gt;=17,F1281=""),"Incomplete","Complete")</f>
        <v>Complete</v>
      </c>
      <c r="I1281" s="46" t="s">
        <v>1417</v>
      </c>
    </row>
    <row r="1282" spans="2:9" ht="14.45" customHeight="1" x14ac:dyDescent="0.25">
      <c r="B1282" s="44" t="s">
        <v>417</v>
      </c>
      <c r="C1282" s="28">
        <v>18</v>
      </c>
      <c r="D1282" s="45" t="s">
        <v>2133</v>
      </c>
      <c r="E1282" s="87"/>
      <c r="F1282" s="87" t="str">
        <f>IF(INDEX(I.Gas.TotalGasEnergy,18)="","",INDEX(I.Gas.TotalGasEnergy,18))</f>
        <v/>
      </c>
      <c r="G1282" s="87"/>
      <c r="H1282" s="28" t="str">
        <f>IF(AND(I.Facility.GasToPower="Yes",I.Gas.Count&gt;=18,F1282=""),"Incomplete","Complete")</f>
        <v>Complete</v>
      </c>
      <c r="I1282" s="46" t="s">
        <v>1418</v>
      </c>
    </row>
    <row r="1283" spans="2:9" ht="14.45" customHeight="1" x14ac:dyDescent="0.25">
      <c r="B1283" s="44" t="s">
        <v>417</v>
      </c>
      <c r="C1283" s="28">
        <v>19</v>
      </c>
      <c r="D1283" s="45" t="s">
        <v>2133</v>
      </c>
      <c r="E1283" s="87"/>
      <c r="F1283" s="87" t="str">
        <f>IF(INDEX(I.Gas.TotalGasEnergy,19)="","",INDEX(I.Gas.TotalGasEnergy,19))</f>
        <v/>
      </c>
      <c r="G1283" s="87"/>
      <c r="H1283" s="28" t="str">
        <f>IF(AND(I.Facility.GasToPower="Yes",I.Gas.Count&gt;=19,F1283=""),"Incomplete","Complete")</f>
        <v>Complete</v>
      </c>
      <c r="I1283" s="46" t="s">
        <v>1419</v>
      </c>
    </row>
    <row r="1284" spans="2:9" ht="14.45" customHeight="1" x14ac:dyDescent="0.25">
      <c r="B1284" s="44" t="s">
        <v>417</v>
      </c>
      <c r="C1284" s="28">
        <v>20</v>
      </c>
      <c r="D1284" s="45" t="s">
        <v>2133</v>
      </c>
      <c r="E1284" s="87"/>
      <c r="F1284" s="87" t="str">
        <f>IF(INDEX(I.Gas.TotalGasEnergy,20)="","",INDEX(I.Gas.TotalGasEnergy,20))</f>
        <v/>
      </c>
      <c r="G1284" s="87"/>
      <c r="H1284" s="28" t="str">
        <f>IF(AND(I.Facility.GasToPower="Yes",I.Gas.Count&gt;=20,F1284=""),"Incomplete","Complete")</f>
        <v>Complete</v>
      </c>
      <c r="I1284" s="46" t="s">
        <v>1420</v>
      </c>
    </row>
    <row r="1285" spans="2:9" ht="14.45" customHeight="1" x14ac:dyDescent="0.25">
      <c r="B1285" s="44" t="s">
        <v>417</v>
      </c>
      <c r="C1285" s="28">
        <v>21</v>
      </c>
      <c r="D1285" s="45" t="s">
        <v>2133</v>
      </c>
      <c r="E1285" s="87"/>
      <c r="F1285" s="87" t="str">
        <f>IF(INDEX(I.Gas.TotalGasEnergy,21)="","",INDEX(I.Gas.TotalGasEnergy,21))</f>
        <v/>
      </c>
      <c r="G1285" s="87"/>
      <c r="H1285" s="28" t="str">
        <f>IF(AND(I.Facility.GasToPower="Yes",I.Gas.Count&gt;=21,F1285=""),"Incomplete","Complete")</f>
        <v>Complete</v>
      </c>
      <c r="I1285" s="46" t="s">
        <v>1421</v>
      </c>
    </row>
    <row r="1286" spans="2:9" ht="14.45" customHeight="1" x14ac:dyDescent="0.25">
      <c r="B1286" s="44" t="s">
        <v>417</v>
      </c>
      <c r="C1286" s="28">
        <v>22</v>
      </c>
      <c r="D1286" s="45" t="s">
        <v>2133</v>
      </c>
      <c r="E1286" s="87"/>
      <c r="F1286" s="87" t="str">
        <f>IF(INDEX(I.Gas.TotalGasEnergy,22)="","",INDEX(I.Gas.TotalGasEnergy,22))</f>
        <v/>
      </c>
      <c r="G1286" s="87"/>
      <c r="H1286" s="28" t="str">
        <f>IF(AND(I.Facility.GasToPower="Yes",I.Gas.Count&gt;=22,F1286=""),"Incomplete","Complete")</f>
        <v>Complete</v>
      </c>
      <c r="I1286" s="46" t="s">
        <v>1422</v>
      </c>
    </row>
    <row r="1287" spans="2:9" ht="14.45" customHeight="1" x14ac:dyDescent="0.25">
      <c r="B1287" s="44" t="s">
        <v>417</v>
      </c>
      <c r="C1287" s="28">
        <v>23</v>
      </c>
      <c r="D1287" s="45" t="s">
        <v>2133</v>
      </c>
      <c r="E1287" s="87"/>
      <c r="F1287" s="87" t="str">
        <f>IF(INDEX(I.Gas.TotalGasEnergy,23)="","",INDEX(I.Gas.TotalGasEnergy,23))</f>
        <v/>
      </c>
      <c r="G1287" s="87"/>
      <c r="H1287" s="28" t="str">
        <f>IF(AND(I.Facility.GasToPower="Yes",I.Gas.Count&gt;=23,F1287=""),"Incomplete","Complete")</f>
        <v>Complete</v>
      </c>
      <c r="I1287" s="46" t="s">
        <v>1423</v>
      </c>
    </row>
    <row r="1288" spans="2:9" ht="14.45" customHeight="1" x14ac:dyDescent="0.25">
      <c r="B1288" s="44" t="s">
        <v>417</v>
      </c>
      <c r="C1288" s="28">
        <v>24</v>
      </c>
      <c r="D1288" s="45" t="s">
        <v>2133</v>
      </c>
      <c r="E1288" s="87"/>
      <c r="F1288" s="87" t="str">
        <f>IF(INDEX(I.Gas.TotalGasEnergy,24)="","",INDEX(I.Gas.TotalGasEnergy,24))</f>
        <v/>
      </c>
      <c r="G1288" s="87"/>
      <c r="H1288" s="28" t="str">
        <f>IF(AND(I.Facility.GasToPower="Yes",I.Gas.Count&gt;=24,F1288=""),"Incomplete","Complete")</f>
        <v>Complete</v>
      </c>
      <c r="I1288" s="46" t="s">
        <v>1424</v>
      </c>
    </row>
    <row r="1289" spans="2:9" ht="14.45" customHeight="1" x14ac:dyDescent="0.25">
      <c r="B1289" s="44" t="s">
        <v>417</v>
      </c>
      <c r="C1289" s="28">
        <v>25</v>
      </c>
      <c r="D1289" s="45" t="s">
        <v>2133</v>
      </c>
      <c r="E1289" s="87"/>
      <c r="F1289" s="87" t="str">
        <f>IF(INDEX(I.Gas.TotalGasEnergy,25)="","",INDEX(I.Gas.TotalGasEnergy,25))</f>
        <v/>
      </c>
      <c r="G1289" s="87"/>
      <c r="H1289" s="28" t="str">
        <f>IF(AND(I.Facility.GasToPower="Yes",I.Gas.Count&gt;=25,F1289=""),"Incomplete","Complete")</f>
        <v>Complete</v>
      </c>
      <c r="I1289" s="46" t="s">
        <v>1425</v>
      </c>
    </row>
    <row r="1290" spans="2:9" ht="14.45" customHeight="1" x14ac:dyDescent="0.25">
      <c r="B1290" s="44" t="s">
        <v>417</v>
      </c>
      <c r="C1290" s="28">
        <v>26</v>
      </c>
      <c r="D1290" s="45" t="s">
        <v>2133</v>
      </c>
      <c r="E1290" s="87"/>
      <c r="F1290" s="87" t="str">
        <f>IF(INDEX(I.Gas.TotalGasEnergy,26)="","",INDEX(I.Gas.TotalGasEnergy,26))</f>
        <v/>
      </c>
      <c r="G1290" s="87"/>
      <c r="H1290" s="28" t="str">
        <f>IF(AND(I.Facility.GasToPower="Yes",I.Gas.Count&gt;=26,F1290=""),"Incomplete","Complete")</f>
        <v>Complete</v>
      </c>
      <c r="I1290" s="46" t="s">
        <v>1426</v>
      </c>
    </row>
    <row r="1291" spans="2:9" ht="14.45" customHeight="1" x14ac:dyDescent="0.25">
      <c r="B1291" s="44" t="s">
        <v>417</v>
      </c>
      <c r="C1291" s="28">
        <v>27</v>
      </c>
      <c r="D1291" s="45" t="s">
        <v>2133</v>
      </c>
      <c r="E1291" s="87"/>
      <c r="F1291" s="87" t="str">
        <f>IF(INDEX(I.Gas.TotalGasEnergy,27)="","",INDEX(I.Gas.TotalGasEnergy,27))</f>
        <v/>
      </c>
      <c r="G1291" s="87"/>
      <c r="H1291" s="28" t="str">
        <f>IF(AND(I.Facility.GasToPower="Yes",I.Gas.Count&gt;=27,F1291=""),"Incomplete","Complete")</f>
        <v>Complete</v>
      </c>
      <c r="I1291" s="46" t="s">
        <v>1427</v>
      </c>
    </row>
    <row r="1292" spans="2:9" ht="14.45" customHeight="1" x14ac:dyDescent="0.25">
      <c r="B1292" s="44" t="s">
        <v>417</v>
      </c>
      <c r="C1292" s="28">
        <v>28</v>
      </c>
      <c r="D1292" s="45" t="s">
        <v>2133</v>
      </c>
      <c r="E1292" s="87"/>
      <c r="F1292" s="87" t="str">
        <f>IF(INDEX(I.Gas.TotalGasEnergy,28)="","",INDEX(I.Gas.TotalGasEnergy,28))</f>
        <v/>
      </c>
      <c r="G1292" s="87"/>
      <c r="H1292" s="28" t="str">
        <f>IF(AND(I.Facility.GasToPower="Yes",I.Gas.Count&gt;=28,F1292=""),"Incomplete","Complete")</f>
        <v>Complete</v>
      </c>
      <c r="I1292" s="46" t="s">
        <v>1428</v>
      </c>
    </row>
    <row r="1293" spans="2:9" ht="14.45" customHeight="1" x14ac:dyDescent="0.25">
      <c r="B1293" s="44" t="s">
        <v>417</v>
      </c>
      <c r="C1293" s="28">
        <v>29</v>
      </c>
      <c r="D1293" s="45" t="s">
        <v>2133</v>
      </c>
      <c r="E1293" s="87"/>
      <c r="F1293" s="87" t="str">
        <f>IF(INDEX(I.Gas.TotalGasEnergy,29)="","",INDEX(I.Gas.TotalGasEnergy,29))</f>
        <v/>
      </c>
      <c r="G1293" s="87"/>
      <c r="H1293" s="28" t="str">
        <f>IF(AND(I.Facility.GasToPower="Yes",I.Gas.Count&gt;=29,F1293=""),"Incomplete","Complete")</f>
        <v>Complete</v>
      </c>
      <c r="I1293" s="46" t="s">
        <v>1429</v>
      </c>
    </row>
    <row r="1294" spans="2:9" ht="14.45" customHeight="1" x14ac:dyDescent="0.25">
      <c r="B1294" s="44" t="s">
        <v>417</v>
      </c>
      <c r="C1294" s="28">
        <v>30</v>
      </c>
      <c r="D1294" s="45" t="s">
        <v>2133</v>
      </c>
      <c r="E1294" s="87"/>
      <c r="F1294" s="87" t="str">
        <f>IF(INDEX(I.Gas.TotalGasEnergy,30)="","",INDEX(I.Gas.TotalGasEnergy,30))</f>
        <v/>
      </c>
      <c r="G1294" s="87"/>
      <c r="H1294" s="28" t="str">
        <f>IF(AND(I.Facility.GasToPower="Yes",I.Gas.Count&gt;=30,F1294=""),"Incomplete","Complete")</f>
        <v>Complete</v>
      </c>
      <c r="I1294" s="46" t="s">
        <v>1430</v>
      </c>
    </row>
    <row r="1295" spans="2:9" ht="14.45" customHeight="1" x14ac:dyDescent="0.25">
      <c r="B1295" s="44" t="s">
        <v>417</v>
      </c>
      <c r="C1295" s="28">
        <v>31</v>
      </c>
      <c r="D1295" s="45" t="s">
        <v>2133</v>
      </c>
      <c r="E1295" s="87"/>
      <c r="F1295" s="87" t="str">
        <f>IF(INDEX(I.Gas.TotalGasEnergy,31)="","",INDEX(I.Gas.TotalGasEnergy,31))</f>
        <v/>
      </c>
      <c r="G1295" s="87"/>
      <c r="H1295" s="28" t="str">
        <f>IF(AND(I.Facility.GasToPower="Yes",I.Gas.Count&gt;=31,F1295=""),"Incomplete","Complete")</f>
        <v>Complete</v>
      </c>
      <c r="I1295" s="46" t="s">
        <v>1431</v>
      </c>
    </row>
    <row r="1296" spans="2:9" ht="14.45" customHeight="1" x14ac:dyDescent="0.25">
      <c r="B1296" s="44" t="s">
        <v>417</v>
      </c>
      <c r="C1296" s="28">
        <v>32</v>
      </c>
      <c r="D1296" s="45" t="s">
        <v>2133</v>
      </c>
      <c r="E1296" s="87"/>
      <c r="F1296" s="87" t="str">
        <f>IF(INDEX(I.Gas.TotalGasEnergy,32)="","",INDEX(I.Gas.TotalGasEnergy,32))</f>
        <v/>
      </c>
      <c r="G1296" s="87"/>
      <c r="H1296" s="28" t="str">
        <f>IF(AND(I.Facility.GasToPower="Yes",I.Gas.Count&gt;=32,F1296=""),"Incomplete","Complete")</f>
        <v>Complete</v>
      </c>
      <c r="I1296" s="46" t="s">
        <v>1432</v>
      </c>
    </row>
    <row r="1297" spans="2:9" ht="14.45" customHeight="1" x14ac:dyDescent="0.25">
      <c r="B1297" s="44" t="s">
        <v>417</v>
      </c>
      <c r="C1297" s="28">
        <v>33</v>
      </c>
      <c r="D1297" s="45" t="s">
        <v>2133</v>
      </c>
      <c r="E1297" s="87"/>
      <c r="F1297" s="87" t="str">
        <f>IF(INDEX(I.Gas.TotalGasEnergy,33)="","",INDEX(I.Gas.TotalGasEnergy,33))</f>
        <v/>
      </c>
      <c r="G1297" s="87"/>
      <c r="H1297" s="28" t="str">
        <f>IF(AND(I.Facility.GasToPower="Yes",I.Gas.Count&gt;=33,F1297=""),"Incomplete","Complete")</f>
        <v>Complete</v>
      </c>
      <c r="I1297" s="46" t="s">
        <v>1433</v>
      </c>
    </row>
    <row r="1298" spans="2:9" ht="14.45" customHeight="1" x14ac:dyDescent="0.25">
      <c r="B1298" s="44" t="s">
        <v>417</v>
      </c>
      <c r="C1298" s="28">
        <v>34</v>
      </c>
      <c r="D1298" s="45" t="s">
        <v>2133</v>
      </c>
      <c r="E1298" s="87"/>
      <c r="F1298" s="87" t="str">
        <f>IF(INDEX(I.Gas.TotalGasEnergy,34)="","",INDEX(I.Gas.TotalGasEnergy,34))</f>
        <v/>
      </c>
      <c r="G1298" s="87"/>
      <c r="H1298" s="28" t="str">
        <f>IF(AND(I.Facility.GasToPower="Yes",I.Gas.Count&gt;=34,F1298=""),"Incomplete","Complete")</f>
        <v>Complete</v>
      </c>
      <c r="I1298" s="46" t="s">
        <v>1434</v>
      </c>
    </row>
    <row r="1299" spans="2:9" ht="14.45" customHeight="1" x14ac:dyDescent="0.25">
      <c r="B1299" s="44" t="s">
        <v>417</v>
      </c>
      <c r="C1299" s="28">
        <v>35</v>
      </c>
      <c r="D1299" s="45" t="s">
        <v>2133</v>
      </c>
      <c r="E1299" s="87"/>
      <c r="F1299" s="87" t="str">
        <f>IF(INDEX(I.Gas.TotalGasEnergy,35)="","",INDEX(I.Gas.TotalGasEnergy,35))</f>
        <v/>
      </c>
      <c r="G1299" s="87"/>
      <c r="H1299" s="28" t="str">
        <f>IF(AND(I.Facility.GasToPower="Yes",I.Gas.Count&gt;=35,F1299=""),"Incomplete","Complete")</f>
        <v>Complete</v>
      </c>
      <c r="I1299" s="46" t="s">
        <v>1435</v>
      </c>
    </row>
    <row r="1300" spans="2:9" ht="14.45" customHeight="1" x14ac:dyDescent="0.25">
      <c r="B1300" s="44" t="s">
        <v>417</v>
      </c>
      <c r="C1300" s="28">
        <v>36</v>
      </c>
      <c r="D1300" s="45" t="s">
        <v>2133</v>
      </c>
      <c r="E1300" s="87"/>
      <c r="F1300" s="87" t="str">
        <f>IF(INDEX(I.Gas.TotalGasEnergy,36)="","",INDEX(I.Gas.TotalGasEnergy,36))</f>
        <v/>
      </c>
      <c r="G1300" s="87"/>
      <c r="H1300" s="28" t="str">
        <f>IF(AND(I.Facility.GasToPower="Yes",I.Gas.Count&gt;=36,F1300=""),"Incomplete","Complete")</f>
        <v>Complete</v>
      </c>
      <c r="I1300" s="46" t="s">
        <v>1436</v>
      </c>
    </row>
    <row r="1301" spans="2:9" ht="14.45" customHeight="1" x14ac:dyDescent="0.25">
      <c r="B1301" s="44" t="s">
        <v>417</v>
      </c>
      <c r="C1301" s="28">
        <v>37</v>
      </c>
      <c r="D1301" s="45" t="s">
        <v>2133</v>
      </c>
      <c r="E1301" s="87"/>
      <c r="F1301" s="87" t="str">
        <f>IF(INDEX(I.Gas.TotalGasEnergy,37)="","",INDEX(I.Gas.TotalGasEnergy,37))</f>
        <v/>
      </c>
      <c r="G1301" s="87"/>
      <c r="H1301" s="28" t="str">
        <f>IF(AND(I.Facility.GasToPower="Yes",I.Gas.Count&gt;=37,F1301=""),"Incomplete","Complete")</f>
        <v>Complete</v>
      </c>
      <c r="I1301" s="46" t="s">
        <v>1437</v>
      </c>
    </row>
    <row r="1302" spans="2:9" ht="14.45" customHeight="1" x14ac:dyDescent="0.25">
      <c r="B1302" s="44" t="s">
        <v>417</v>
      </c>
      <c r="C1302" s="28">
        <v>38</v>
      </c>
      <c r="D1302" s="45" t="s">
        <v>2133</v>
      </c>
      <c r="E1302" s="87"/>
      <c r="F1302" s="87" t="str">
        <f>IF(INDEX(I.Gas.TotalGasEnergy,38)="","",INDEX(I.Gas.TotalGasEnergy,38))</f>
        <v/>
      </c>
      <c r="G1302" s="87"/>
      <c r="H1302" s="28" t="str">
        <f>IF(AND(I.Facility.GasToPower="Yes",I.Gas.Count&gt;=38,F1302=""),"Incomplete","Complete")</f>
        <v>Complete</v>
      </c>
      <c r="I1302" s="46" t="s">
        <v>1438</v>
      </c>
    </row>
    <row r="1303" spans="2:9" ht="14.45" customHeight="1" x14ac:dyDescent="0.25">
      <c r="B1303" s="44" t="s">
        <v>417</v>
      </c>
      <c r="C1303" s="28">
        <v>39</v>
      </c>
      <c r="D1303" s="45" t="s">
        <v>2133</v>
      </c>
      <c r="E1303" s="87"/>
      <c r="F1303" s="87" t="str">
        <f>IF(INDEX(I.Gas.TotalGasEnergy,39)="","",INDEX(I.Gas.TotalGasEnergy,39))</f>
        <v/>
      </c>
      <c r="G1303" s="87"/>
      <c r="H1303" s="28" t="str">
        <f>IF(AND(I.Facility.GasToPower="Yes",I.Gas.Count&gt;=39,F1303=""),"Incomplete","Complete")</f>
        <v>Complete</v>
      </c>
      <c r="I1303" s="46" t="s">
        <v>1439</v>
      </c>
    </row>
    <row r="1304" spans="2:9" ht="14.45" customHeight="1" x14ac:dyDescent="0.25">
      <c r="B1304" s="44" t="s">
        <v>417</v>
      </c>
      <c r="C1304" s="28">
        <v>40</v>
      </c>
      <c r="D1304" s="45" t="s">
        <v>2133</v>
      </c>
      <c r="E1304" s="87"/>
      <c r="F1304" s="87" t="str">
        <f>IF(INDEX(I.Gas.TotalGasEnergy,40)="","",INDEX(I.Gas.TotalGasEnergy,40))</f>
        <v/>
      </c>
      <c r="G1304" s="87"/>
      <c r="H1304" s="28" t="str">
        <f>IF(AND(I.Facility.GasToPower="Yes",I.Gas.Count&gt;=40,F1304=""),"Incomplete","Complete")</f>
        <v>Complete</v>
      </c>
      <c r="I1304" s="46" t="s">
        <v>1440</v>
      </c>
    </row>
    <row r="1305" spans="2:9" ht="14.45" customHeight="1" x14ac:dyDescent="0.25">
      <c r="B1305" s="44" t="s">
        <v>417</v>
      </c>
      <c r="C1305" s="28">
        <v>41</v>
      </c>
      <c r="D1305" s="45" t="s">
        <v>2133</v>
      </c>
      <c r="E1305" s="87"/>
      <c r="F1305" s="87" t="str">
        <f>IF(INDEX(I.Gas.TotalGasEnergy,41)="","",INDEX(I.Gas.TotalGasEnergy,41))</f>
        <v/>
      </c>
      <c r="G1305" s="87"/>
      <c r="H1305" s="28" t="str">
        <f>IF(AND(I.Facility.GasToPower="Yes",I.Gas.Count&gt;=41,F1305=""),"Incomplete","Complete")</f>
        <v>Complete</v>
      </c>
      <c r="I1305" s="46" t="s">
        <v>1441</v>
      </c>
    </row>
    <row r="1306" spans="2:9" ht="14.45" customHeight="1" x14ac:dyDescent="0.25">
      <c r="B1306" s="44" t="s">
        <v>417</v>
      </c>
      <c r="C1306" s="28">
        <v>42</v>
      </c>
      <c r="D1306" s="45" t="s">
        <v>2133</v>
      </c>
      <c r="E1306" s="87"/>
      <c r="F1306" s="87" t="str">
        <f>IF(INDEX(I.Gas.TotalGasEnergy,42)="","",INDEX(I.Gas.TotalGasEnergy,42))</f>
        <v/>
      </c>
      <c r="G1306" s="87"/>
      <c r="H1306" s="28" t="str">
        <f>IF(AND(I.Facility.GasToPower="Yes",I.Gas.Count&gt;=42,F1306=""),"Incomplete","Complete")</f>
        <v>Complete</v>
      </c>
      <c r="I1306" s="46" t="s">
        <v>1442</v>
      </c>
    </row>
    <row r="1307" spans="2:9" ht="14.45" customHeight="1" x14ac:dyDescent="0.25">
      <c r="B1307" s="44" t="s">
        <v>417</v>
      </c>
      <c r="C1307" s="28">
        <v>43</v>
      </c>
      <c r="D1307" s="45" t="s">
        <v>2133</v>
      </c>
      <c r="E1307" s="87"/>
      <c r="F1307" s="87" t="str">
        <f>IF(INDEX(I.Gas.TotalGasEnergy,43)="","",INDEX(I.Gas.TotalGasEnergy,43))</f>
        <v/>
      </c>
      <c r="G1307" s="87"/>
      <c r="H1307" s="28" t="str">
        <f>IF(AND(I.Facility.GasToPower="Yes",I.Gas.Count&gt;=43,F1307=""),"Incomplete","Complete")</f>
        <v>Complete</v>
      </c>
      <c r="I1307" s="46" t="s">
        <v>1443</v>
      </c>
    </row>
    <row r="1308" spans="2:9" ht="14.45" customHeight="1" x14ac:dyDescent="0.25">
      <c r="B1308" s="44" t="s">
        <v>417</v>
      </c>
      <c r="C1308" s="28">
        <v>44</v>
      </c>
      <c r="D1308" s="45" t="s">
        <v>2133</v>
      </c>
      <c r="E1308" s="87"/>
      <c r="F1308" s="87" t="str">
        <f>IF(INDEX(I.Gas.TotalGasEnergy,44)="","",INDEX(I.Gas.TotalGasEnergy,44))</f>
        <v/>
      </c>
      <c r="G1308" s="87"/>
      <c r="H1308" s="28" t="str">
        <f>IF(AND(I.Facility.GasToPower="Yes",I.Gas.Count&gt;=44,F1308=""),"Incomplete","Complete")</f>
        <v>Complete</v>
      </c>
      <c r="I1308" s="46" t="s">
        <v>1444</v>
      </c>
    </row>
    <row r="1309" spans="2:9" ht="14.45" customHeight="1" x14ac:dyDescent="0.25">
      <c r="B1309" s="44" t="s">
        <v>417</v>
      </c>
      <c r="C1309" s="28">
        <v>45</v>
      </c>
      <c r="D1309" s="45" t="s">
        <v>2133</v>
      </c>
      <c r="E1309" s="87"/>
      <c r="F1309" s="87" t="str">
        <f>IF(INDEX(I.Gas.TotalGasEnergy,45)="","",INDEX(I.Gas.TotalGasEnergy,45))</f>
        <v/>
      </c>
      <c r="G1309" s="87"/>
      <c r="H1309" s="28" t="str">
        <f>IF(AND(I.Facility.GasToPower="Yes",I.Gas.Count&gt;=45,F1309=""),"Incomplete","Complete")</f>
        <v>Complete</v>
      </c>
      <c r="I1309" s="46" t="s">
        <v>1445</v>
      </c>
    </row>
    <row r="1310" spans="2:9" ht="14.45" customHeight="1" x14ac:dyDescent="0.25">
      <c r="B1310" s="44" t="s">
        <v>417</v>
      </c>
      <c r="C1310" s="28">
        <v>46</v>
      </c>
      <c r="D1310" s="45" t="s">
        <v>2133</v>
      </c>
      <c r="E1310" s="87"/>
      <c r="F1310" s="87" t="str">
        <f>IF(INDEX(I.Gas.TotalGasEnergy,46)="","",INDEX(I.Gas.TotalGasEnergy,46))</f>
        <v/>
      </c>
      <c r="G1310" s="87"/>
      <c r="H1310" s="28" t="str">
        <f>IF(AND(I.Facility.GasToPower="Yes",I.Gas.Count&gt;=46,F1310=""),"Incomplete","Complete")</f>
        <v>Complete</v>
      </c>
      <c r="I1310" s="46" t="s">
        <v>1446</v>
      </c>
    </row>
    <row r="1311" spans="2:9" ht="14.45" customHeight="1" x14ac:dyDescent="0.25">
      <c r="B1311" s="44" t="s">
        <v>417</v>
      </c>
      <c r="C1311" s="28">
        <v>47</v>
      </c>
      <c r="D1311" s="45" t="s">
        <v>2133</v>
      </c>
      <c r="E1311" s="87"/>
      <c r="F1311" s="87" t="str">
        <f>IF(INDEX(I.Gas.TotalGasEnergy,47)="","",INDEX(I.Gas.TotalGasEnergy,47))</f>
        <v/>
      </c>
      <c r="G1311" s="87"/>
      <c r="H1311" s="28" t="str">
        <f>IF(AND(I.Facility.GasToPower="Yes",I.Gas.Count&gt;=47,F1311=""),"Incomplete","Complete")</f>
        <v>Complete</v>
      </c>
      <c r="I1311" s="46" t="s">
        <v>1447</v>
      </c>
    </row>
    <row r="1312" spans="2:9" ht="14.45" customHeight="1" x14ac:dyDescent="0.25">
      <c r="B1312" s="44" t="s">
        <v>417</v>
      </c>
      <c r="C1312" s="28">
        <v>48</v>
      </c>
      <c r="D1312" s="45" t="s">
        <v>2133</v>
      </c>
      <c r="E1312" s="87"/>
      <c r="F1312" s="87" t="str">
        <f>IF(INDEX(I.Gas.TotalGasEnergy,48)="","",INDEX(I.Gas.TotalGasEnergy,48))</f>
        <v/>
      </c>
      <c r="G1312" s="87"/>
      <c r="H1312" s="28" t="str">
        <f>IF(AND(I.Facility.GasToPower="Yes",I.Gas.Count&gt;=48,F1312=""),"Incomplete","Complete")</f>
        <v>Complete</v>
      </c>
      <c r="I1312" s="46" t="s">
        <v>1448</v>
      </c>
    </row>
    <row r="1313" spans="2:9" ht="14.45" customHeight="1" x14ac:dyDescent="0.25">
      <c r="B1313" s="44" t="s">
        <v>417</v>
      </c>
      <c r="C1313" s="28">
        <v>49</v>
      </c>
      <c r="D1313" s="45" t="s">
        <v>2133</v>
      </c>
      <c r="E1313" s="87"/>
      <c r="F1313" s="87" t="str">
        <f>IF(INDEX(I.Gas.TotalGasEnergy,49)="","",INDEX(I.Gas.TotalGasEnergy,49))</f>
        <v/>
      </c>
      <c r="G1313" s="87"/>
      <c r="H1313" s="28" t="str">
        <f>IF(AND(I.Facility.GasToPower="Yes",I.Gas.Count&gt;=49,F1313=""),"Incomplete","Complete")</f>
        <v>Complete</v>
      </c>
      <c r="I1313" s="46" t="s">
        <v>1449</v>
      </c>
    </row>
    <row r="1314" spans="2:9" ht="14.45" customHeight="1" x14ac:dyDescent="0.25">
      <c r="B1314" s="53" t="s">
        <v>417</v>
      </c>
      <c r="C1314" s="66">
        <v>50</v>
      </c>
      <c r="D1314" s="54" t="s">
        <v>2133</v>
      </c>
      <c r="E1314" s="88"/>
      <c r="F1314" s="88" t="str">
        <f>IF(INDEX(I.Gas.TotalGasEnergy,50)="","",INDEX(I.Gas.TotalGasEnergy,50))</f>
        <v/>
      </c>
      <c r="G1314" s="88"/>
      <c r="H1314" s="66" t="str">
        <f>IF(AND(I.Facility.GasToPower="Yes",I.Gas.Count&gt;=50,F1314=""),"Incomplete","Complete")</f>
        <v>Complete</v>
      </c>
      <c r="I1314" s="68" t="s">
        <v>1450</v>
      </c>
    </row>
    <row r="1315" spans="2:9" ht="14.45" customHeight="1" x14ac:dyDescent="0.25">
      <c r="B1315" s="44" t="s">
        <v>418</v>
      </c>
      <c r="C1315" s="28">
        <v>1</v>
      </c>
      <c r="D1315" s="45" t="s">
        <v>2134</v>
      </c>
      <c r="E1315" s="87"/>
      <c r="F1315" s="87" t="str">
        <f>IF(INDEX(I.Gas.ElectricityGeneration,1)="","",INDEX(I.Gas.ElectricityGeneration,1))</f>
        <v/>
      </c>
      <c r="G1315" s="87"/>
      <c r="H1315" s="28" t="str">
        <f>IF(AND(I.Facility.GasToPower="Yes",I.Gas.Count&gt;=1,F1315=""),"Incomplete","Complete")</f>
        <v>Complete</v>
      </c>
      <c r="I1315" s="46" t="s">
        <v>1451</v>
      </c>
    </row>
    <row r="1316" spans="2:9" ht="14.45" customHeight="1" x14ac:dyDescent="0.25">
      <c r="B1316" s="44" t="s">
        <v>418</v>
      </c>
      <c r="C1316" s="28">
        <v>2</v>
      </c>
      <c r="D1316" s="45" t="s">
        <v>2134</v>
      </c>
      <c r="E1316" s="87"/>
      <c r="F1316" s="87" t="str">
        <f>IF(INDEX(I.Gas.ElectricityGeneration,2)="","",INDEX(I.Gas.ElectricityGeneration,2))</f>
        <v/>
      </c>
      <c r="G1316" s="87"/>
      <c r="H1316" s="28" t="str">
        <f>IF(AND(I.Facility.GasToPower="Yes",I.Gas.Count&gt;=2,F1316=""),"Incomplete","Complete")</f>
        <v>Complete</v>
      </c>
      <c r="I1316" s="46" t="s">
        <v>1452</v>
      </c>
    </row>
    <row r="1317" spans="2:9" ht="14.45" customHeight="1" x14ac:dyDescent="0.25">
      <c r="B1317" s="44" t="s">
        <v>418</v>
      </c>
      <c r="C1317" s="28">
        <v>3</v>
      </c>
      <c r="D1317" s="45" t="s">
        <v>2134</v>
      </c>
      <c r="E1317" s="87"/>
      <c r="F1317" s="87" t="str">
        <f>IF(INDEX(I.Gas.ElectricityGeneration,3)="","",INDEX(I.Gas.ElectricityGeneration,3))</f>
        <v/>
      </c>
      <c r="G1317" s="87"/>
      <c r="H1317" s="28" t="str">
        <f>IF(AND(I.Facility.GasToPower="Yes",I.Gas.Count&gt;=3,F1317=""),"Incomplete","Complete")</f>
        <v>Complete</v>
      </c>
      <c r="I1317" s="46" t="s">
        <v>1453</v>
      </c>
    </row>
    <row r="1318" spans="2:9" ht="14.45" customHeight="1" x14ac:dyDescent="0.25">
      <c r="B1318" s="44" t="s">
        <v>418</v>
      </c>
      <c r="C1318" s="28">
        <v>4</v>
      </c>
      <c r="D1318" s="45" t="s">
        <v>2134</v>
      </c>
      <c r="E1318" s="87"/>
      <c r="F1318" s="87" t="str">
        <f>IF(INDEX(I.Gas.ElectricityGeneration,4)="","",INDEX(I.Gas.ElectricityGeneration,4))</f>
        <v/>
      </c>
      <c r="G1318" s="87"/>
      <c r="H1318" s="28" t="str">
        <f>IF(AND(I.Facility.GasToPower="Yes",I.Gas.Count&gt;=4,F1318=""),"Incomplete","Complete")</f>
        <v>Complete</v>
      </c>
      <c r="I1318" s="46" t="s">
        <v>1454</v>
      </c>
    </row>
    <row r="1319" spans="2:9" ht="14.45" customHeight="1" x14ac:dyDescent="0.25">
      <c r="B1319" s="44" t="s">
        <v>418</v>
      </c>
      <c r="C1319" s="28">
        <v>5</v>
      </c>
      <c r="D1319" s="45" t="s">
        <v>2134</v>
      </c>
      <c r="E1319" s="87"/>
      <c r="F1319" s="87" t="str">
        <f>IF(INDEX(I.Gas.ElectricityGeneration,5)="","",INDEX(I.Gas.ElectricityGeneration,5))</f>
        <v/>
      </c>
      <c r="G1319" s="87"/>
      <c r="H1319" s="28" t="str">
        <f>IF(AND(I.Facility.GasToPower="Yes",I.Gas.Count&gt;=5,F1319=""),"Incomplete","Complete")</f>
        <v>Complete</v>
      </c>
      <c r="I1319" s="46" t="s">
        <v>1455</v>
      </c>
    </row>
    <row r="1320" spans="2:9" ht="14.45" customHeight="1" x14ac:dyDescent="0.25">
      <c r="B1320" s="44" t="s">
        <v>418</v>
      </c>
      <c r="C1320" s="28">
        <v>6</v>
      </c>
      <c r="D1320" s="45" t="s">
        <v>2134</v>
      </c>
      <c r="E1320" s="87"/>
      <c r="F1320" s="87" t="str">
        <f>IF(INDEX(I.Gas.ElectricityGeneration,6)="","",INDEX(I.Gas.ElectricityGeneration,6))</f>
        <v/>
      </c>
      <c r="G1320" s="87"/>
      <c r="H1320" s="28" t="str">
        <f>IF(AND(I.Facility.GasToPower="Yes",I.Gas.Count&gt;=6,F1320=""),"Incomplete","Complete")</f>
        <v>Complete</v>
      </c>
      <c r="I1320" s="46" t="s">
        <v>1456</v>
      </c>
    </row>
    <row r="1321" spans="2:9" ht="14.45" customHeight="1" x14ac:dyDescent="0.25">
      <c r="B1321" s="44" t="s">
        <v>418</v>
      </c>
      <c r="C1321" s="28">
        <v>7</v>
      </c>
      <c r="D1321" s="45" t="s">
        <v>2134</v>
      </c>
      <c r="E1321" s="87"/>
      <c r="F1321" s="87" t="str">
        <f>IF(INDEX(I.Gas.ElectricityGeneration,7)="","",INDEX(I.Gas.ElectricityGeneration,7))</f>
        <v/>
      </c>
      <c r="G1321" s="87"/>
      <c r="H1321" s="28" t="str">
        <f>IF(AND(I.Facility.GasToPower="Yes",I.Gas.Count&gt;=7,F1321=""),"Incomplete","Complete")</f>
        <v>Complete</v>
      </c>
      <c r="I1321" s="46" t="s">
        <v>1457</v>
      </c>
    </row>
    <row r="1322" spans="2:9" ht="14.45" customHeight="1" x14ac:dyDescent="0.25">
      <c r="B1322" s="44" t="s">
        <v>418</v>
      </c>
      <c r="C1322" s="28">
        <v>8</v>
      </c>
      <c r="D1322" s="45" t="s">
        <v>2134</v>
      </c>
      <c r="E1322" s="87"/>
      <c r="F1322" s="87" t="str">
        <f>IF(INDEX(I.Gas.ElectricityGeneration,8)="","",INDEX(I.Gas.ElectricityGeneration,8))</f>
        <v/>
      </c>
      <c r="G1322" s="87"/>
      <c r="H1322" s="28" t="str">
        <f>IF(AND(I.Facility.GasToPower="Yes",I.Gas.Count&gt;=8,F1322=""),"Incomplete","Complete")</f>
        <v>Complete</v>
      </c>
      <c r="I1322" s="46" t="s">
        <v>1458</v>
      </c>
    </row>
    <row r="1323" spans="2:9" ht="14.45" customHeight="1" x14ac:dyDescent="0.25">
      <c r="B1323" s="44" t="s">
        <v>418</v>
      </c>
      <c r="C1323" s="28">
        <v>9</v>
      </c>
      <c r="D1323" s="45" t="s">
        <v>2134</v>
      </c>
      <c r="E1323" s="87"/>
      <c r="F1323" s="87" t="str">
        <f>IF(INDEX(I.Gas.ElectricityGeneration,9)="","",INDEX(I.Gas.ElectricityGeneration,9))</f>
        <v/>
      </c>
      <c r="G1323" s="87"/>
      <c r="H1323" s="28" t="str">
        <f>IF(AND(I.Facility.GasToPower="Yes",I.Gas.Count&gt;=9,F1323=""),"Incomplete","Complete")</f>
        <v>Complete</v>
      </c>
      <c r="I1323" s="46" t="s">
        <v>1459</v>
      </c>
    </row>
    <row r="1324" spans="2:9" ht="14.45" customHeight="1" x14ac:dyDescent="0.25">
      <c r="B1324" s="44" t="s">
        <v>418</v>
      </c>
      <c r="C1324" s="28">
        <v>10</v>
      </c>
      <c r="D1324" s="45" t="s">
        <v>2134</v>
      </c>
      <c r="E1324" s="87"/>
      <c r="F1324" s="87" t="str">
        <f>IF(INDEX(I.Gas.ElectricityGeneration,10)="","",INDEX(I.Gas.ElectricityGeneration,10))</f>
        <v/>
      </c>
      <c r="G1324" s="87"/>
      <c r="H1324" s="28" t="str">
        <f>IF(AND(I.Facility.GasToPower="Yes",I.Gas.Count&gt;=10,F1324=""),"Incomplete","Complete")</f>
        <v>Complete</v>
      </c>
      <c r="I1324" s="46" t="s">
        <v>1460</v>
      </c>
    </row>
    <row r="1325" spans="2:9" ht="14.45" customHeight="1" x14ac:dyDescent="0.25">
      <c r="B1325" s="44" t="s">
        <v>418</v>
      </c>
      <c r="C1325" s="28">
        <v>11</v>
      </c>
      <c r="D1325" s="45" t="s">
        <v>2134</v>
      </c>
      <c r="E1325" s="87"/>
      <c r="F1325" s="87" t="str">
        <f>IF(INDEX(I.Gas.ElectricityGeneration,11)="","",INDEX(I.Gas.ElectricityGeneration,11))</f>
        <v/>
      </c>
      <c r="G1325" s="87"/>
      <c r="H1325" s="28" t="str">
        <f>IF(AND(I.Facility.GasToPower="Yes",I.Gas.Count&gt;=11,F1325=""),"Incomplete","Complete")</f>
        <v>Complete</v>
      </c>
      <c r="I1325" s="46" t="s">
        <v>1461</v>
      </c>
    </row>
    <row r="1326" spans="2:9" ht="14.45" customHeight="1" x14ac:dyDescent="0.25">
      <c r="B1326" s="44" t="s">
        <v>418</v>
      </c>
      <c r="C1326" s="28">
        <v>12</v>
      </c>
      <c r="D1326" s="45" t="s">
        <v>2134</v>
      </c>
      <c r="E1326" s="87"/>
      <c r="F1326" s="87" t="str">
        <f>IF(INDEX(I.Gas.ElectricityGeneration,12)="","",INDEX(I.Gas.ElectricityGeneration,12))</f>
        <v/>
      </c>
      <c r="G1326" s="87"/>
      <c r="H1326" s="28" t="str">
        <f>IF(AND(I.Facility.GasToPower="Yes",I.Gas.Count&gt;=12,F1326=""),"Incomplete","Complete")</f>
        <v>Complete</v>
      </c>
      <c r="I1326" s="46" t="s">
        <v>1462</v>
      </c>
    </row>
    <row r="1327" spans="2:9" ht="14.45" customHeight="1" x14ac:dyDescent="0.25">
      <c r="B1327" s="44" t="s">
        <v>418</v>
      </c>
      <c r="C1327" s="28">
        <v>13</v>
      </c>
      <c r="D1327" s="45" t="s">
        <v>2134</v>
      </c>
      <c r="E1327" s="87"/>
      <c r="F1327" s="87" t="str">
        <f>IF(INDEX(I.Gas.ElectricityGeneration,13)="","",INDEX(I.Gas.ElectricityGeneration,13))</f>
        <v/>
      </c>
      <c r="G1327" s="87"/>
      <c r="H1327" s="28" t="str">
        <f>IF(AND(I.Facility.GasToPower="Yes",I.Gas.Count&gt;=13,F1327=""),"Incomplete","Complete")</f>
        <v>Complete</v>
      </c>
      <c r="I1327" s="46" t="s">
        <v>1463</v>
      </c>
    </row>
    <row r="1328" spans="2:9" ht="14.45" customHeight="1" x14ac:dyDescent="0.25">
      <c r="B1328" s="44" t="s">
        <v>418</v>
      </c>
      <c r="C1328" s="28">
        <v>14</v>
      </c>
      <c r="D1328" s="45" t="s">
        <v>2134</v>
      </c>
      <c r="E1328" s="87"/>
      <c r="F1328" s="87" t="str">
        <f>IF(INDEX(I.Gas.ElectricityGeneration,14)="","",INDEX(I.Gas.ElectricityGeneration,14))</f>
        <v/>
      </c>
      <c r="G1328" s="87"/>
      <c r="H1328" s="28" t="str">
        <f>IF(AND(I.Facility.GasToPower="Yes",I.Gas.Count&gt;=14,F1328=""),"Incomplete","Complete")</f>
        <v>Complete</v>
      </c>
      <c r="I1328" s="46" t="s">
        <v>1464</v>
      </c>
    </row>
    <row r="1329" spans="2:9" ht="14.45" customHeight="1" x14ac:dyDescent="0.25">
      <c r="B1329" s="44" t="s">
        <v>418</v>
      </c>
      <c r="C1329" s="28">
        <v>15</v>
      </c>
      <c r="D1329" s="45" t="s">
        <v>2134</v>
      </c>
      <c r="E1329" s="87"/>
      <c r="F1329" s="87" t="str">
        <f>IF(INDEX(I.Gas.ElectricityGeneration,15)="","",INDEX(I.Gas.ElectricityGeneration,15))</f>
        <v/>
      </c>
      <c r="G1329" s="87"/>
      <c r="H1329" s="28" t="str">
        <f>IF(AND(I.Facility.GasToPower="Yes",I.Gas.Count&gt;=15,F1329=""),"Incomplete","Complete")</f>
        <v>Complete</v>
      </c>
      <c r="I1329" s="46" t="s">
        <v>1465</v>
      </c>
    </row>
    <row r="1330" spans="2:9" ht="14.45" customHeight="1" x14ac:dyDescent="0.25">
      <c r="B1330" s="44" t="s">
        <v>418</v>
      </c>
      <c r="C1330" s="28">
        <v>16</v>
      </c>
      <c r="D1330" s="45" t="s">
        <v>2134</v>
      </c>
      <c r="E1330" s="87"/>
      <c r="F1330" s="87" t="str">
        <f>IF(INDEX(I.Gas.ElectricityGeneration,16)="","",INDEX(I.Gas.ElectricityGeneration,16))</f>
        <v/>
      </c>
      <c r="G1330" s="87"/>
      <c r="H1330" s="28" t="str">
        <f>IF(AND(I.Facility.GasToPower="Yes",I.Gas.Count&gt;=16,F1330=""),"Incomplete","Complete")</f>
        <v>Complete</v>
      </c>
      <c r="I1330" s="46" t="s">
        <v>1466</v>
      </c>
    </row>
    <row r="1331" spans="2:9" ht="14.45" customHeight="1" x14ac:dyDescent="0.25">
      <c r="B1331" s="44" t="s">
        <v>418</v>
      </c>
      <c r="C1331" s="28">
        <v>17</v>
      </c>
      <c r="D1331" s="45" t="s">
        <v>2134</v>
      </c>
      <c r="E1331" s="87"/>
      <c r="F1331" s="87" t="str">
        <f>IF(INDEX(I.Gas.ElectricityGeneration,17)="","",INDEX(I.Gas.ElectricityGeneration,17))</f>
        <v/>
      </c>
      <c r="G1331" s="87"/>
      <c r="H1331" s="28" t="str">
        <f>IF(AND(I.Facility.GasToPower="Yes",I.Gas.Count&gt;=17,F1331=""),"Incomplete","Complete")</f>
        <v>Complete</v>
      </c>
      <c r="I1331" s="46" t="s">
        <v>1467</v>
      </c>
    </row>
    <row r="1332" spans="2:9" ht="14.45" customHeight="1" x14ac:dyDescent="0.25">
      <c r="B1332" s="44" t="s">
        <v>418</v>
      </c>
      <c r="C1332" s="28">
        <v>18</v>
      </c>
      <c r="D1332" s="45" t="s">
        <v>2134</v>
      </c>
      <c r="E1332" s="87"/>
      <c r="F1332" s="87" t="str">
        <f>IF(INDEX(I.Gas.ElectricityGeneration,18)="","",INDEX(I.Gas.ElectricityGeneration,18))</f>
        <v/>
      </c>
      <c r="G1332" s="87"/>
      <c r="H1332" s="28" t="str">
        <f>IF(AND(I.Facility.GasToPower="Yes",I.Gas.Count&gt;=18,F1332=""),"Incomplete","Complete")</f>
        <v>Complete</v>
      </c>
      <c r="I1332" s="46" t="s">
        <v>1468</v>
      </c>
    </row>
    <row r="1333" spans="2:9" ht="14.45" customHeight="1" x14ac:dyDescent="0.25">
      <c r="B1333" s="44" t="s">
        <v>418</v>
      </c>
      <c r="C1333" s="28">
        <v>19</v>
      </c>
      <c r="D1333" s="45" t="s">
        <v>2134</v>
      </c>
      <c r="E1333" s="87"/>
      <c r="F1333" s="87" t="str">
        <f>IF(INDEX(I.Gas.ElectricityGeneration,19)="","",INDEX(I.Gas.ElectricityGeneration,19))</f>
        <v/>
      </c>
      <c r="G1333" s="87"/>
      <c r="H1333" s="28" t="str">
        <f>IF(AND(I.Facility.GasToPower="Yes",I.Gas.Count&gt;=19,F1333=""),"Incomplete","Complete")</f>
        <v>Complete</v>
      </c>
      <c r="I1333" s="46" t="s">
        <v>1469</v>
      </c>
    </row>
    <row r="1334" spans="2:9" ht="14.45" customHeight="1" x14ac:dyDescent="0.25">
      <c r="B1334" s="44" t="s">
        <v>418</v>
      </c>
      <c r="C1334" s="28">
        <v>20</v>
      </c>
      <c r="D1334" s="45" t="s">
        <v>2134</v>
      </c>
      <c r="E1334" s="87"/>
      <c r="F1334" s="87" t="str">
        <f>IF(INDEX(I.Gas.ElectricityGeneration,20)="","",INDEX(I.Gas.ElectricityGeneration,20))</f>
        <v/>
      </c>
      <c r="G1334" s="87"/>
      <c r="H1334" s="28" t="str">
        <f>IF(AND(I.Facility.GasToPower="Yes",I.Gas.Count&gt;=20,F1334=""),"Incomplete","Complete")</f>
        <v>Complete</v>
      </c>
      <c r="I1334" s="46" t="s">
        <v>1470</v>
      </c>
    </row>
    <row r="1335" spans="2:9" ht="14.45" customHeight="1" x14ac:dyDescent="0.25">
      <c r="B1335" s="44" t="s">
        <v>418</v>
      </c>
      <c r="C1335" s="28">
        <v>21</v>
      </c>
      <c r="D1335" s="45" t="s">
        <v>2134</v>
      </c>
      <c r="E1335" s="87"/>
      <c r="F1335" s="87" t="str">
        <f>IF(INDEX(I.Gas.ElectricityGeneration,21)="","",INDEX(I.Gas.ElectricityGeneration,21))</f>
        <v/>
      </c>
      <c r="G1335" s="87"/>
      <c r="H1335" s="28" t="str">
        <f>IF(AND(I.Facility.GasToPower="Yes",I.Gas.Count&gt;=21,F1335=""),"Incomplete","Complete")</f>
        <v>Complete</v>
      </c>
      <c r="I1335" s="46" t="s">
        <v>1471</v>
      </c>
    </row>
    <row r="1336" spans="2:9" ht="14.45" customHeight="1" x14ac:dyDescent="0.25">
      <c r="B1336" s="44" t="s">
        <v>418</v>
      </c>
      <c r="C1336" s="28">
        <v>22</v>
      </c>
      <c r="D1336" s="45" t="s">
        <v>2134</v>
      </c>
      <c r="E1336" s="87"/>
      <c r="F1336" s="87" t="str">
        <f>IF(INDEX(I.Gas.ElectricityGeneration,22)="","",INDEX(I.Gas.ElectricityGeneration,22))</f>
        <v/>
      </c>
      <c r="G1336" s="87"/>
      <c r="H1336" s="28" t="str">
        <f>IF(AND(I.Facility.GasToPower="Yes",I.Gas.Count&gt;=22,F1336=""),"Incomplete","Complete")</f>
        <v>Complete</v>
      </c>
      <c r="I1336" s="46" t="s">
        <v>1472</v>
      </c>
    </row>
    <row r="1337" spans="2:9" ht="14.45" customHeight="1" x14ac:dyDescent="0.25">
      <c r="B1337" s="44" t="s">
        <v>418</v>
      </c>
      <c r="C1337" s="28">
        <v>23</v>
      </c>
      <c r="D1337" s="45" t="s">
        <v>2134</v>
      </c>
      <c r="E1337" s="87"/>
      <c r="F1337" s="87" t="str">
        <f>IF(INDEX(I.Gas.ElectricityGeneration,23)="","",INDEX(I.Gas.ElectricityGeneration,23))</f>
        <v/>
      </c>
      <c r="G1337" s="87"/>
      <c r="H1337" s="28" t="str">
        <f>IF(AND(I.Facility.GasToPower="Yes",I.Gas.Count&gt;=23,F1337=""),"Incomplete","Complete")</f>
        <v>Complete</v>
      </c>
      <c r="I1337" s="46" t="s">
        <v>1473</v>
      </c>
    </row>
    <row r="1338" spans="2:9" ht="14.45" customHeight="1" x14ac:dyDescent="0.25">
      <c r="B1338" s="44" t="s">
        <v>418</v>
      </c>
      <c r="C1338" s="28">
        <v>24</v>
      </c>
      <c r="D1338" s="45" t="s">
        <v>2134</v>
      </c>
      <c r="E1338" s="87"/>
      <c r="F1338" s="87" t="str">
        <f>IF(INDEX(I.Gas.ElectricityGeneration,24)="","",INDEX(I.Gas.ElectricityGeneration,24))</f>
        <v/>
      </c>
      <c r="G1338" s="87"/>
      <c r="H1338" s="28" t="str">
        <f>IF(AND(I.Facility.GasToPower="Yes",I.Gas.Count&gt;=24,F1338=""),"Incomplete","Complete")</f>
        <v>Complete</v>
      </c>
      <c r="I1338" s="46" t="s">
        <v>1474</v>
      </c>
    </row>
    <row r="1339" spans="2:9" ht="14.45" customHeight="1" x14ac:dyDescent="0.25">
      <c r="B1339" s="44" t="s">
        <v>418</v>
      </c>
      <c r="C1339" s="28">
        <v>25</v>
      </c>
      <c r="D1339" s="45" t="s">
        <v>2134</v>
      </c>
      <c r="E1339" s="87"/>
      <c r="F1339" s="87" t="str">
        <f>IF(INDEX(I.Gas.ElectricityGeneration,25)="","",INDEX(I.Gas.ElectricityGeneration,25))</f>
        <v/>
      </c>
      <c r="G1339" s="87"/>
      <c r="H1339" s="28" t="str">
        <f>IF(AND(I.Facility.GasToPower="Yes",I.Gas.Count&gt;=25,F1339=""),"Incomplete","Complete")</f>
        <v>Complete</v>
      </c>
      <c r="I1339" s="46" t="s">
        <v>1475</v>
      </c>
    </row>
    <row r="1340" spans="2:9" ht="14.45" customHeight="1" x14ac:dyDescent="0.25">
      <c r="B1340" s="44" t="s">
        <v>418</v>
      </c>
      <c r="C1340" s="28">
        <v>26</v>
      </c>
      <c r="D1340" s="45" t="s">
        <v>2134</v>
      </c>
      <c r="E1340" s="87"/>
      <c r="F1340" s="87" t="str">
        <f>IF(INDEX(I.Gas.ElectricityGeneration,26)="","",INDEX(I.Gas.ElectricityGeneration,26))</f>
        <v/>
      </c>
      <c r="G1340" s="87"/>
      <c r="H1340" s="28" t="str">
        <f>IF(AND(I.Facility.GasToPower="Yes",I.Gas.Count&gt;=26,F1340=""),"Incomplete","Complete")</f>
        <v>Complete</v>
      </c>
      <c r="I1340" s="46" t="s">
        <v>1476</v>
      </c>
    </row>
    <row r="1341" spans="2:9" ht="14.45" customHeight="1" x14ac:dyDescent="0.25">
      <c r="B1341" s="44" t="s">
        <v>418</v>
      </c>
      <c r="C1341" s="28">
        <v>27</v>
      </c>
      <c r="D1341" s="45" t="s">
        <v>2134</v>
      </c>
      <c r="E1341" s="87"/>
      <c r="F1341" s="87" t="str">
        <f>IF(INDEX(I.Gas.ElectricityGeneration,27)="","",INDEX(I.Gas.ElectricityGeneration,27))</f>
        <v/>
      </c>
      <c r="G1341" s="87"/>
      <c r="H1341" s="28" t="str">
        <f>IF(AND(I.Facility.GasToPower="Yes",I.Gas.Count&gt;=27,F1341=""),"Incomplete","Complete")</f>
        <v>Complete</v>
      </c>
      <c r="I1341" s="46" t="s">
        <v>1477</v>
      </c>
    </row>
    <row r="1342" spans="2:9" ht="14.45" customHeight="1" x14ac:dyDescent="0.25">
      <c r="B1342" s="44" t="s">
        <v>418</v>
      </c>
      <c r="C1342" s="28">
        <v>28</v>
      </c>
      <c r="D1342" s="45" t="s">
        <v>2134</v>
      </c>
      <c r="E1342" s="87"/>
      <c r="F1342" s="87" t="str">
        <f>IF(INDEX(I.Gas.ElectricityGeneration,28)="","",INDEX(I.Gas.ElectricityGeneration,28))</f>
        <v/>
      </c>
      <c r="G1342" s="87"/>
      <c r="H1342" s="28" t="str">
        <f>IF(AND(I.Facility.GasToPower="Yes",I.Gas.Count&gt;=28,F1342=""),"Incomplete","Complete")</f>
        <v>Complete</v>
      </c>
      <c r="I1342" s="46" t="s">
        <v>1478</v>
      </c>
    </row>
    <row r="1343" spans="2:9" ht="14.45" customHeight="1" x14ac:dyDescent="0.25">
      <c r="B1343" s="44" t="s">
        <v>418</v>
      </c>
      <c r="C1343" s="28">
        <v>29</v>
      </c>
      <c r="D1343" s="45" t="s">
        <v>2134</v>
      </c>
      <c r="E1343" s="87"/>
      <c r="F1343" s="87" t="str">
        <f>IF(INDEX(I.Gas.ElectricityGeneration,29)="","",INDEX(I.Gas.ElectricityGeneration,29))</f>
        <v/>
      </c>
      <c r="G1343" s="87"/>
      <c r="H1343" s="28" t="str">
        <f>IF(AND(I.Facility.GasToPower="Yes",I.Gas.Count&gt;=29,F1343=""),"Incomplete","Complete")</f>
        <v>Complete</v>
      </c>
      <c r="I1343" s="46" t="s">
        <v>1479</v>
      </c>
    </row>
    <row r="1344" spans="2:9" ht="14.45" customHeight="1" x14ac:dyDescent="0.25">
      <c r="B1344" s="44" t="s">
        <v>418</v>
      </c>
      <c r="C1344" s="28">
        <v>30</v>
      </c>
      <c r="D1344" s="45" t="s">
        <v>2134</v>
      </c>
      <c r="E1344" s="87"/>
      <c r="F1344" s="87" t="str">
        <f>IF(INDEX(I.Gas.ElectricityGeneration,30)="","",INDEX(I.Gas.ElectricityGeneration,30))</f>
        <v/>
      </c>
      <c r="G1344" s="87"/>
      <c r="H1344" s="28" t="str">
        <f>IF(AND(I.Facility.GasToPower="Yes",I.Gas.Count&gt;=30,F1344=""),"Incomplete","Complete")</f>
        <v>Complete</v>
      </c>
      <c r="I1344" s="46" t="s">
        <v>1480</v>
      </c>
    </row>
    <row r="1345" spans="2:9" ht="14.45" customHeight="1" x14ac:dyDescent="0.25">
      <c r="B1345" s="44" t="s">
        <v>418</v>
      </c>
      <c r="C1345" s="28">
        <v>31</v>
      </c>
      <c r="D1345" s="45" t="s">
        <v>2134</v>
      </c>
      <c r="E1345" s="87"/>
      <c r="F1345" s="87" t="str">
        <f>IF(INDEX(I.Gas.ElectricityGeneration,31)="","",INDEX(I.Gas.ElectricityGeneration,31))</f>
        <v/>
      </c>
      <c r="G1345" s="87"/>
      <c r="H1345" s="28" t="str">
        <f>IF(AND(I.Facility.GasToPower="Yes",I.Gas.Count&gt;=31,F1345=""),"Incomplete","Complete")</f>
        <v>Complete</v>
      </c>
      <c r="I1345" s="46" t="s">
        <v>1481</v>
      </c>
    </row>
    <row r="1346" spans="2:9" ht="14.45" customHeight="1" x14ac:dyDescent="0.25">
      <c r="B1346" s="44" t="s">
        <v>418</v>
      </c>
      <c r="C1346" s="28">
        <v>32</v>
      </c>
      <c r="D1346" s="45" t="s">
        <v>2134</v>
      </c>
      <c r="E1346" s="87"/>
      <c r="F1346" s="87" t="str">
        <f>IF(INDEX(I.Gas.ElectricityGeneration,32)="","",INDEX(I.Gas.ElectricityGeneration,32))</f>
        <v/>
      </c>
      <c r="G1346" s="87"/>
      <c r="H1346" s="28" t="str">
        <f>IF(AND(I.Facility.GasToPower="Yes",I.Gas.Count&gt;=32,F1346=""),"Incomplete","Complete")</f>
        <v>Complete</v>
      </c>
      <c r="I1346" s="46" t="s">
        <v>1482</v>
      </c>
    </row>
    <row r="1347" spans="2:9" ht="14.45" customHeight="1" x14ac:dyDescent="0.25">
      <c r="B1347" s="44" t="s">
        <v>418</v>
      </c>
      <c r="C1347" s="28">
        <v>33</v>
      </c>
      <c r="D1347" s="45" t="s">
        <v>2134</v>
      </c>
      <c r="E1347" s="87"/>
      <c r="F1347" s="87" t="str">
        <f>IF(INDEX(I.Gas.ElectricityGeneration,33)="","",INDEX(I.Gas.ElectricityGeneration,33))</f>
        <v/>
      </c>
      <c r="G1347" s="87"/>
      <c r="H1347" s="28" t="str">
        <f>IF(AND(I.Facility.GasToPower="Yes",I.Gas.Count&gt;=33,F1347=""),"Incomplete","Complete")</f>
        <v>Complete</v>
      </c>
      <c r="I1347" s="46" t="s">
        <v>1483</v>
      </c>
    </row>
    <row r="1348" spans="2:9" ht="14.45" customHeight="1" x14ac:dyDescent="0.25">
      <c r="B1348" s="44" t="s">
        <v>418</v>
      </c>
      <c r="C1348" s="28">
        <v>34</v>
      </c>
      <c r="D1348" s="45" t="s">
        <v>2134</v>
      </c>
      <c r="E1348" s="87"/>
      <c r="F1348" s="87" t="str">
        <f>IF(INDEX(I.Gas.ElectricityGeneration,34)="","",INDEX(I.Gas.ElectricityGeneration,34))</f>
        <v/>
      </c>
      <c r="G1348" s="87"/>
      <c r="H1348" s="28" t="str">
        <f>IF(AND(I.Facility.GasToPower="Yes",I.Gas.Count&gt;=34,F1348=""),"Incomplete","Complete")</f>
        <v>Complete</v>
      </c>
      <c r="I1348" s="46" t="s">
        <v>1484</v>
      </c>
    </row>
    <row r="1349" spans="2:9" ht="14.45" customHeight="1" x14ac:dyDescent="0.25">
      <c r="B1349" s="44" t="s">
        <v>418</v>
      </c>
      <c r="C1349" s="28">
        <v>35</v>
      </c>
      <c r="D1349" s="45" t="s">
        <v>2134</v>
      </c>
      <c r="E1349" s="87"/>
      <c r="F1349" s="87" t="str">
        <f>IF(INDEX(I.Gas.ElectricityGeneration,35)="","",INDEX(I.Gas.ElectricityGeneration,35))</f>
        <v/>
      </c>
      <c r="G1349" s="87"/>
      <c r="H1349" s="28" t="str">
        <f>IF(AND(I.Facility.GasToPower="Yes",I.Gas.Count&gt;=35,F1349=""),"Incomplete","Complete")</f>
        <v>Complete</v>
      </c>
      <c r="I1349" s="46" t="s">
        <v>1485</v>
      </c>
    </row>
    <row r="1350" spans="2:9" ht="14.45" customHeight="1" x14ac:dyDescent="0.25">
      <c r="B1350" s="44" t="s">
        <v>418</v>
      </c>
      <c r="C1350" s="28">
        <v>36</v>
      </c>
      <c r="D1350" s="45" t="s">
        <v>2134</v>
      </c>
      <c r="E1350" s="87"/>
      <c r="F1350" s="87" t="str">
        <f>IF(INDEX(I.Gas.ElectricityGeneration,36)="","",INDEX(I.Gas.ElectricityGeneration,36))</f>
        <v/>
      </c>
      <c r="G1350" s="87"/>
      <c r="H1350" s="28" t="str">
        <f>IF(AND(I.Facility.GasToPower="Yes",I.Gas.Count&gt;=36,F1350=""),"Incomplete","Complete")</f>
        <v>Complete</v>
      </c>
      <c r="I1350" s="46" t="s">
        <v>1486</v>
      </c>
    </row>
    <row r="1351" spans="2:9" ht="14.45" customHeight="1" x14ac:dyDescent="0.25">
      <c r="B1351" s="44" t="s">
        <v>418</v>
      </c>
      <c r="C1351" s="28">
        <v>37</v>
      </c>
      <c r="D1351" s="45" t="s">
        <v>2134</v>
      </c>
      <c r="E1351" s="87"/>
      <c r="F1351" s="87" t="str">
        <f>IF(INDEX(I.Gas.ElectricityGeneration,37)="","",INDEX(I.Gas.ElectricityGeneration,37))</f>
        <v/>
      </c>
      <c r="G1351" s="87"/>
      <c r="H1351" s="28" t="str">
        <f>IF(AND(I.Facility.GasToPower="Yes",I.Gas.Count&gt;=37,F1351=""),"Incomplete","Complete")</f>
        <v>Complete</v>
      </c>
      <c r="I1351" s="46" t="s">
        <v>1487</v>
      </c>
    </row>
    <row r="1352" spans="2:9" ht="14.45" customHeight="1" x14ac:dyDescent="0.25">
      <c r="B1352" s="44" t="s">
        <v>418</v>
      </c>
      <c r="C1352" s="28">
        <v>38</v>
      </c>
      <c r="D1352" s="45" t="s">
        <v>2134</v>
      </c>
      <c r="E1352" s="87"/>
      <c r="F1352" s="87" t="str">
        <f>IF(INDEX(I.Gas.ElectricityGeneration,38)="","",INDEX(I.Gas.ElectricityGeneration,38))</f>
        <v/>
      </c>
      <c r="G1352" s="87"/>
      <c r="H1352" s="28" t="str">
        <f>IF(AND(I.Facility.GasToPower="Yes",I.Gas.Count&gt;=38,F1352=""),"Incomplete","Complete")</f>
        <v>Complete</v>
      </c>
      <c r="I1352" s="46" t="s">
        <v>1488</v>
      </c>
    </row>
    <row r="1353" spans="2:9" ht="14.45" customHeight="1" x14ac:dyDescent="0.25">
      <c r="B1353" s="44" t="s">
        <v>418</v>
      </c>
      <c r="C1353" s="28">
        <v>39</v>
      </c>
      <c r="D1353" s="45" t="s">
        <v>2134</v>
      </c>
      <c r="E1353" s="87"/>
      <c r="F1353" s="87" t="str">
        <f>IF(INDEX(I.Gas.ElectricityGeneration,39)="","",INDEX(I.Gas.ElectricityGeneration,39))</f>
        <v/>
      </c>
      <c r="G1353" s="87"/>
      <c r="H1353" s="28" t="str">
        <f>IF(AND(I.Facility.GasToPower="Yes",I.Gas.Count&gt;=39,F1353=""),"Incomplete","Complete")</f>
        <v>Complete</v>
      </c>
      <c r="I1353" s="46" t="s">
        <v>1489</v>
      </c>
    </row>
    <row r="1354" spans="2:9" ht="14.45" customHeight="1" x14ac:dyDescent="0.25">
      <c r="B1354" s="44" t="s">
        <v>418</v>
      </c>
      <c r="C1354" s="28">
        <v>40</v>
      </c>
      <c r="D1354" s="45" t="s">
        <v>2134</v>
      </c>
      <c r="E1354" s="87"/>
      <c r="F1354" s="87" t="str">
        <f>IF(INDEX(I.Gas.ElectricityGeneration,40)="","",INDEX(I.Gas.ElectricityGeneration,40))</f>
        <v/>
      </c>
      <c r="G1354" s="87"/>
      <c r="H1354" s="28" t="str">
        <f>IF(AND(I.Facility.GasToPower="Yes",I.Gas.Count&gt;=40,F1354=""),"Incomplete","Complete")</f>
        <v>Complete</v>
      </c>
      <c r="I1354" s="46" t="s">
        <v>1490</v>
      </c>
    </row>
    <row r="1355" spans="2:9" ht="14.45" customHeight="1" x14ac:dyDescent="0.25">
      <c r="B1355" s="44" t="s">
        <v>418</v>
      </c>
      <c r="C1355" s="28">
        <v>41</v>
      </c>
      <c r="D1355" s="45" t="s">
        <v>2134</v>
      </c>
      <c r="E1355" s="87"/>
      <c r="F1355" s="87" t="str">
        <f>IF(INDEX(I.Gas.ElectricityGeneration,41)="","",INDEX(I.Gas.ElectricityGeneration,41))</f>
        <v/>
      </c>
      <c r="G1355" s="87"/>
      <c r="H1355" s="28" t="str">
        <f>IF(AND(I.Facility.GasToPower="Yes",I.Gas.Count&gt;=41,F1355=""),"Incomplete","Complete")</f>
        <v>Complete</v>
      </c>
      <c r="I1355" s="46" t="s">
        <v>1491</v>
      </c>
    </row>
    <row r="1356" spans="2:9" ht="14.45" customHeight="1" x14ac:dyDescent="0.25">
      <c r="B1356" s="44" t="s">
        <v>418</v>
      </c>
      <c r="C1356" s="28">
        <v>42</v>
      </c>
      <c r="D1356" s="45" t="s">
        <v>2134</v>
      </c>
      <c r="E1356" s="87"/>
      <c r="F1356" s="87" t="str">
        <f>IF(INDEX(I.Gas.ElectricityGeneration,42)="","",INDEX(I.Gas.ElectricityGeneration,42))</f>
        <v/>
      </c>
      <c r="G1356" s="87"/>
      <c r="H1356" s="28" t="str">
        <f>IF(AND(I.Facility.GasToPower="Yes",I.Gas.Count&gt;=42,F1356=""),"Incomplete","Complete")</f>
        <v>Complete</v>
      </c>
      <c r="I1356" s="46" t="s">
        <v>1492</v>
      </c>
    </row>
    <row r="1357" spans="2:9" ht="14.45" customHeight="1" x14ac:dyDescent="0.25">
      <c r="B1357" s="44" t="s">
        <v>418</v>
      </c>
      <c r="C1357" s="28">
        <v>43</v>
      </c>
      <c r="D1357" s="45" t="s">
        <v>2134</v>
      </c>
      <c r="E1357" s="87"/>
      <c r="F1357" s="87" t="str">
        <f>IF(INDEX(I.Gas.ElectricityGeneration,43)="","",INDEX(I.Gas.ElectricityGeneration,43))</f>
        <v/>
      </c>
      <c r="G1357" s="87"/>
      <c r="H1357" s="28" t="str">
        <f>IF(AND(I.Facility.GasToPower="Yes",I.Gas.Count&gt;=43,F1357=""),"Incomplete","Complete")</f>
        <v>Complete</v>
      </c>
      <c r="I1357" s="46" t="s">
        <v>1493</v>
      </c>
    </row>
    <row r="1358" spans="2:9" ht="14.45" customHeight="1" x14ac:dyDescent="0.25">
      <c r="B1358" s="44" t="s">
        <v>418</v>
      </c>
      <c r="C1358" s="28">
        <v>44</v>
      </c>
      <c r="D1358" s="45" t="s">
        <v>2134</v>
      </c>
      <c r="E1358" s="87"/>
      <c r="F1358" s="87" t="str">
        <f>IF(INDEX(I.Gas.ElectricityGeneration,44)="","",INDEX(I.Gas.ElectricityGeneration,44))</f>
        <v/>
      </c>
      <c r="G1358" s="87"/>
      <c r="H1358" s="28" t="str">
        <f>IF(AND(I.Facility.GasToPower="Yes",I.Gas.Count&gt;=44,F1358=""),"Incomplete","Complete")</f>
        <v>Complete</v>
      </c>
      <c r="I1358" s="46" t="s">
        <v>1494</v>
      </c>
    </row>
    <row r="1359" spans="2:9" ht="14.45" customHeight="1" x14ac:dyDescent="0.25">
      <c r="B1359" s="44" t="s">
        <v>418</v>
      </c>
      <c r="C1359" s="28">
        <v>45</v>
      </c>
      <c r="D1359" s="45" t="s">
        <v>2134</v>
      </c>
      <c r="E1359" s="87"/>
      <c r="F1359" s="87" t="str">
        <f>IF(INDEX(I.Gas.ElectricityGeneration,45)="","",INDEX(I.Gas.ElectricityGeneration,45))</f>
        <v/>
      </c>
      <c r="G1359" s="87"/>
      <c r="H1359" s="28" t="str">
        <f>IF(AND(I.Facility.GasToPower="Yes",I.Gas.Count&gt;=45,F1359=""),"Incomplete","Complete")</f>
        <v>Complete</v>
      </c>
      <c r="I1359" s="46" t="s">
        <v>1495</v>
      </c>
    </row>
    <row r="1360" spans="2:9" ht="14.45" customHeight="1" x14ac:dyDescent="0.25">
      <c r="B1360" s="44" t="s">
        <v>418</v>
      </c>
      <c r="C1360" s="28">
        <v>46</v>
      </c>
      <c r="D1360" s="45" t="s">
        <v>2134</v>
      </c>
      <c r="E1360" s="87"/>
      <c r="F1360" s="87" t="str">
        <f>IF(INDEX(I.Gas.ElectricityGeneration,46)="","",INDEX(I.Gas.ElectricityGeneration,46))</f>
        <v/>
      </c>
      <c r="G1360" s="87"/>
      <c r="H1360" s="28" t="str">
        <f>IF(AND(I.Facility.GasToPower="Yes",I.Gas.Count&gt;=46,F1360=""),"Incomplete","Complete")</f>
        <v>Complete</v>
      </c>
      <c r="I1360" s="46" t="s">
        <v>1496</v>
      </c>
    </row>
    <row r="1361" spans="2:9" ht="14.45" customHeight="1" x14ac:dyDescent="0.25">
      <c r="B1361" s="44" t="s">
        <v>418</v>
      </c>
      <c r="C1361" s="28">
        <v>47</v>
      </c>
      <c r="D1361" s="45" t="s">
        <v>2134</v>
      </c>
      <c r="E1361" s="87"/>
      <c r="F1361" s="87" t="str">
        <f>IF(INDEX(I.Gas.ElectricityGeneration,47)="","",INDEX(I.Gas.ElectricityGeneration,47))</f>
        <v/>
      </c>
      <c r="G1361" s="87"/>
      <c r="H1361" s="28" t="str">
        <f>IF(AND(I.Facility.GasToPower="Yes",I.Gas.Count&gt;=47,F1361=""),"Incomplete","Complete")</f>
        <v>Complete</v>
      </c>
      <c r="I1361" s="46" t="s">
        <v>1497</v>
      </c>
    </row>
    <row r="1362" spans="2:9" ht="14.45" customHeight="1" x14ac:dyDescent="0.25">
      <c r="B1362" s="44" t="s">
        <v>418</v>
      </c>
      <c r="C1362" s="28">
        <v>48</v>
      </c>
      <c r="D1362" s="45" t="s">
        <v>2134</v>
      </c>
      <c r="E1362" s="87"/>
      <c r="F1362" s="87" t="str">
        <f>IF(INDEX(I.Gas.ElectricityGeneration,48)="","",INDEX(I.Gas.ElectricityGeneration,48))</f>
        <v/>
      </c>
      <c r="G1362" s="87"/>
      <c r="H1362" s="28" t="str">
        <f>IF(AND(I.Facility.GasToPower="Yes",I.Gas.Count&gt;=48,F1362=""),"Incomplete","Complete")</f>
        <v>Complete</v>
      </c>
      <c r="I1362" s="46" t="s">
        <v>1498</v>
      </c>
    </row>
    <row r="1363" spans="2:9" ht="14.45" customHeight="1" x14ac:dyDescent="0.25">
      <c r="B1363" s="44" t="s">
        <v>418</v>
      </c>
      <c r="C1363" s="28">
        <v>49</v>
      </c>
      <c r="D1363" s="45" t="s">
        <v>2134</v>
      </c>
      <c r="E1363" s="87"/>
      <c r="F1363" s="87" t="str">
        <f>IF(INDEX(I.Gas.ElectricityGeneration,49)="","",INDEX(I.Gas.ElectricityGeneration,49))</f>
        <v/>
      </c>
      <c r="G1363" s="87"/>
      <c r="H1363" s="28" t="str">
        <f>IF(AND(I.Facility.GasToPower="Yes",I.Gas.Count&gt;=49,F1363=""),"Incomplete","Complete")</f>
        <v>Complete</v>
      </c>
      <c r="I1363" s="46" t="s">
        <v>1499</v>
      </c>
    </row>
    <row r="1364" spans="2:9" ht="14.45" customHeight="1" x14ac:dyDescent="0.25">
      <c r="B1364" s="53" t="s">
        <v>418</v>
      </c>
      <c r="C1364" s="66">
        <v>50</v>
      </c>
      <c r="D1364" s="54" t="s">
        <v>2134</v>
      </c>
      <c r="E1364" s="88"/>
      <c r="F1364" s="88" t="str">
        <f>IF(INDEX(I.Gas.ElectricityGeneration,50)="","",INDEX(I.Gas.ElectricityGeneration,50))</f>
        <v/>
      </c>
      <c r="G1364" s="88"/>
      <c r="H1364" s="66" t="str">
        <f>IF(AND(I.Facility.GasToPower="Yes",I.Gas.Count&gt;=50,F1364=""),"Incomplete","Complete")</f>
        <v>Complete</v>
      </c>
      <c r="I1364" s="68" t="s">
        <v>1500</v>
      </c>
    </row>
    <row r="1365" spans="2:9" ht="14.45" customHeight="1" x14ac:dyDescent="0.25">
      <c r="B1365" s="44" t="s">
        <v>419</v>
      </c>
      <c r="C1365" s="28">
        <v>1</v>
      </c>
      <c r="D1365" s="45" t="s">
        <v>2135</v>
      </c>
      <c r="E1365" s="87"/>
      <c r="F1365" s="87" t="str">
        <f>IF(INDEX(I.Gas.C1E1,1)="","",INDEX(I.Gas.C1E1,1))</f>
        <v/>
      </c>
      <c r="G1365" s="87"/>
      <c r="H1365" s="28" t="str">
        <f>IF(AND(I.Facility.GasToPower="Yes",I.Gas.Count&gt;=1,F1365=""),"Incomplete","Complete")</f>
        <v>Complete</v>
      </c>
      <c r="I1365" s="46" t="s">
        <v>1501</v>
      </c>
    </row>
    <row r="1366" spans="2:9" ht="14.45" customHeight="1" x14ac:dyDescent="0.25">
      <c r="B1366" s="44" t="s">
        <v>419</v>
      </c>
      <c r="C1366" s="28">
        <v>2</v>
      </c>
      <c r="D1366" s="45" t="s">
        <v>2135</v>
      </c>
      <c r="E1366" s="87"/>
      <c r="F1366" s="87" t="str">
        <f>IF(INDEX(I.Gas.C1E1,2)="","",INDEX(I.Gas.C1E1,2))</f>
        <v/>
      </c>
      <c r="G1366" s="87"/>
      <c r="H1366" s="28" t="str">
        <f>IF(AND(I.Facility.GasToPower="Yes",I.Gas.Count&gt;=2,F1366=""),"Incomplete","Complete")</f>
        <v>Complete</v>
      </c>
      <c r="I1366" s="46" t="s">
        <v>1502</v>
      </c>
    </row>
    <row r="1367" spans="2:9" ht="14.45" customHeight="1" x14ac:dyDescent="0.25">
      <c r="B1367" s="44" t="s">
        <v>419</v>
      </c>
      <c r="C1367" s="28">
        <v>3</v>
      </c>
      <c r="D1367" s="45" t="s">
        <v>2135</v>
      </c>
      <c r="E1367" s="87"/>
      <c r="F1367" s="87" t="str">
        <f>IF(INDEX(I.Gas.C1E1,3)="","",INDEX(I.Gas.C1E1,3))</f>
        <v/>
      </c>
      <c r="G1367" s="87"/>
      <c r="H1367" s="28" t="str">
        <f>IF(AND(I.Facility.GasToPower="Yes",I.Gas.Count&gt;=3,F1367=""),"Incomplete","Complete")</f>
        <v>Complete</v>
      </c>
      <c r="I1367" s="46" t="s">
        <v>1503</v>
      </c>
    </row>
    <row r="1368" spans="2:9" ht="14.45" customHeight="1" x14ac:dyDescent="0.25">
      <c r="B1368" s="44" t="s">
        <v>419</v>
      </c>
      <c r="C1368" s="28">
        <v>4</v>
      </c>
      <c r="D1368" s="45" t="s">
        <v>2135</v>
      </c>
      <c r="E1368" s="87"/>
      <c r="F1368" s="87" t="str">
        <f>IF(INDEX(I.Gas.C1E1,4)="","",INDEX(I.Gas.C1E1,4))</f>
        <v/>
      </c>
      <c r="G1368" s="87"/>
      <c r="H1368" s="28" t="str">
        <f>IF(AND(I.Facility.GasToPower="Yes",I.Gas.Count&gt;=4,F1368=""),"Incomplete","Complete")</f>
        <v>Complete</v>
      </c>
      <c r="I1368" s="46" t="s">
        <v>1504</v>
      </c>
    </row>
    <row r="1369" spans="2:9" ht="14.45" customHeight="1" x14ac:dyDescent="0.25">
      <c r="B1369" s="44" t="s">
        <v>419</v>
      </c>
      <c r="C1369" s="28">
        <v>5</v>
      </c>
      <c r="D1369" s="45" t="s">
        <v>2135</v>
      </c>
      <c r="E1369" s="87"/>
      <c r="F1369" s="87" t="str">
        <f>IF(INDEX(I.Gas.C1E1,5)="","",INDEX(I.Gas.C1E1,5))</f>
        <v/>
      </c>
      <c r="G1369" s="87"/>
      <c r="H1369" s="28" t="str">
        <f>IF(AND(I.Facility.GasToPower="Yes",I.Gas.Count&gt;=5,F1369=""),"Incomplete","Complete")</f>
        <v>Complete</v>
      </c>
      <c r="I1369" s="46" t="s">
        <v>1505</v>
      </c>
    </row>
    <row r="1370" spans="2:9" ht="14.45" customHeight="1" x14ac:dyDescent="0.25">
      <c r="B1370" s="44" t="s">
        <v>419</v>
      </c>
      <c r="C1370" s="28">
        <v>6</v>
      </c>
      <c r="D1370" s="45" t="s">
        <v>2135</v>
      </c>
      <c r="E1370" s="87"/>
      <c r="F1370" s="87" t="str">
        <f>IF(INDEX(I.Gas.C1E1,6)="","",INDEX(I.Gas.C1E1,6))</f>
        <v/>
      </c>
      <c r="G1370" s="87"/>
      <c r="H1370" s="28" t="str">
        <f>IF(AND(I.Facility.GasToPower="Yes",I.Gas.Count&gt;=6,F1370=""),"Incomplete","Complete")</f>
        <v>Complete</v>
      </c>
      <c r="I1370" s="46" t="s">
        <v>1506</v>
      </c>
    </row>
    <row r="1371" spans="2:9" ht="14.45" customHeight="1" x14ac:dyDescent="0.25">
      <c r="B1371" s="44" t="s">
        <v>419</v>
      </c>
      <c r="C1371" s="28">
        <v>7</v>
      </c>
      <c r="D1371" s="45" t="s">
        <v>2135</v>
      </c>
      <c r="E1371" s="87"/>
      <c r="F1371" s="87" t="str">
        <f>IF(INDEX(I.Gas.C1E1,7)="","",INDEX(I.Gas.C1E1,7))</f>
        <v/>
      </c>
      <c r="G1371" s="87"/>
      <c r="H1371" s="28" t="str">
        <f>IF(AND(I.Facility.GasToPower="Yes",I.Gas.Count&gt;=7,F1371=""),"Incomplete","Complete")</f>
        <v>Complete</v>
      </c>
      <c r="I1371" s="46" t="s">
        <v>1507</v>
      </c>
    </row>
    <row r="1372" spans="2:9" ht="14.45" customHeight="1" x14ac:dyDescent="0.25">
      <c r="B1372" s="44" t="s">
        <v>419</v>
      </c>
      <c r="C1372" s="28">
        <v>8</v>
      </c>
      <c r="D1372" s="45" t="s">
        <v>2135</v>
      </c>
      <c r="E1372" s="87"/>
      <c r="F1372" s="87" t="str">
        <f>IF(INDEX(I.Gas.C1E1,8)="","",INDEX(I.Gas.C1E1,8))</f>
        <v/>
      </c>
      <c r="G1372" s="87"/>
      <c r="H1372" s="28" t="str">
        <f>IF(AND(I.Facility.GasToPower="Yes",I.Gas.Count&gt;=8,F1372=""),"Incomplete","Complete")</f>
        <v>Complete</v>
      </c>
      <c r="I1372" s="46" t="s">
        <v>1508</v>
      </c>
    </row>
    <row r="1373" spans="2:9" ht="14.45" customHeight="1" x14ac:dyDescent="0.25">
      <c r="B1373" s="44" t="s">
        <v>419</v>
      </c>
      <c r="C1373" s="28">
        <v>9</v>
      </c>
      <c r="D1373" s="45" t="s">
        <v>2135</v>
      </c>
      <c r="E1373" s="87"/>
      <c r="F1373" s="87" t="str">
        <f>IF(INDEX(I.Gas.C1E1,9)="","",INDEX(I.Gas.C1E1,9))</f>
        <v/>
      </c>
      <c r="G1373" s="87"/>
      <c r="H1373" s="28" t="str">
        <f>IF(AND(I.Facility.GasToPower="Yes",I.Gas.Count&gt;=9,F1373=""),"Incomplete","Complete")</f>
        <v>Complete</v>
      </c>
      <c r="I1373" s="46" t="s">
        <v>1509</v>
      </c>
    </row>
    <row r="1374" spans="2:9" ht="14.45" customHeight="1" x14ac:dyDescent="0.25">
      <c r="B1374" s="44" t="s">
        <v>419</v>
      </c>
      <c r="C1374" s="28">
        <v>10</v>
      </c>
      <c r="D1374" s="45" t="s">
        <v>2135</v>
      </c>
      <c r="E1374" s="87"/>
      <c r="F1374" s="87" t="str">
        <f>IF(INDEX(I.Gas.C1E1,10)="","",INDEX(I.Gas.C1E1,10))</f>
        <v/>
      </c>
      <c r="G1374" s="87"/>
      <c r="H1374" s="28" t="str">
        <f>IF(AND(I.Facility.GasToPower="Yes",I.Gas.Count&gt;=10,F1374=""),"Incomplete","Complete")</f>
        <v>Complete</v>
      </c>
      <c r="I1374" s="46" t="s">
        <v>1510</v>
      </c>
    </row>
    <row r="1375" spans="2:9" ht="14.45" customHeight="1" x14ac:dyDescent="0.25">
      <c r="B1375" s="44" t="s">
        <v>419</v>
      </c>
      <c r="C1375" s="28">
        <v>11</v>
      </c>
      <c r="D1375" s="45" t="s">
        <v>2135</v>
      </c>
      <c r="E1375" s="87"/>
      <c r="F1375" s="87" t="str">
        <f>IF(INDEX(I.Gas.C1E1,11)="","",INDEX(I.Gas.C1E1,11))</f>
        <v/>
      </c>
      <c r="G1375" s="87"/>
      <c r="H1375" s="28" t="str">
        <f>IF(AND(I.Facility.GasToPower="Yes",I.Gas.Count&gt;=11,F1375=""),"Incomplete","Complete")</f>
        <v>Complete</v>
      </c>
      <c r="I1375" s="46" t="s">
        <v>1511</v>
      </c>
    </row>
    <row r="1376" spans="2:9" ht="14.45" customHeight="1" x14ac:dyDescent="0.25">
      <c r="B1376" s="44" t="s">
        <v>419</v>
      </c>
      <c r="C1376" s="28">
        <v>12</v>
      </c>
      <c r="D1376" s="45" t="s">
        <v>2135</v>
      </c>
      <c r="E1376" s="87"/>
      <c r="F1376" s="87" t="str">
        <f>IF(INDEX(I.Gas.C1E1,12)="","",INDEX(I.Gas.C1E1,12))</f>
        <v/>
      </c>
      <c r="G1376" s="87"/>
      <c r="H1376" s="28" t="str">
        <f>IF(AND(I.Facility.GasToPower="Yes",I.Gas.Count&gt;=12,F1376=""),"Incomplete","Complete")</f>
        <v>Complete</v>
      </c>
      <c r="I1376" s="46" t="s">
        <v>1512</v>
      </c>
    </row>
    <row r="1377" spans="2:9" ht="14.45" customHeight="1" x14ac:dyDescent="0.25">
      <c r="B1377" s="44" t="s">
        <v>419</v>
      </c>
      <c r="C1377" s="28">
        <v>13</v>
      </c>
      <c r="D1377" s="45" t="s">
        <v>2135</v>
      </c>
      <c r="E1377" s="87"/>
      <c r="F1377" s="87" t="str">
        <f>IF(INDEX(I.Gas.C1E1,13)="","",INDEX(I.Gas.C1E1,13))</f>
        <v/>
      </c>
      <c r="G1377" s="87"/>
      <c r="H1377" s="28" t="str">
        <f>IF(AND(I.Facility.GasToPower="Yes",I.Gas.Count&gt;=13,F1377=""),"Incomplete","Complete")</f>
        <v>Complete</v>
      </c>
      <c r="I1377" s="46" t="s">
        <v>1513</v>
      </c>
    </row>
    <row r="1378" spans="2:9" ht="14.45" customHeight="1" x14ac:dyDescent="0.25">
      <c r="B1378" s="44" t="s">
        <v>419</v>
      </c>
      <c r="C1378" s="28">
        <v>14</v>
      </c>
      <c r="D1378" s="45" t="s">
        <v>2135</v>
      </c>
      <c r="E1378" s="87"/>
      <c r="F1378" s="87" t="str">
        <f>IF(INDEX(I.Gas.C1E1,14)="","",INDEX(I.Gas.C1E1,14))</f>
        <v/>
      </c>
      <c r="G1378" s="87"/>
      <c r="H1378" s="28" t="str">
        <f>IF(AND(I.Facility.GasToPower="Yes",I.Gas.Count&gt;=14,F1378=""),"Incomplete","Complete")</f>
        <v>Complete</v>
      </c>
      <c r="I1378" s="46" t="s">
        <v>1514</v>
      </c>
    </row>
    <row r="1379" spans="2:9" ht="14.45" customHeight="1" x14ac:dyDescent="0.25">
      <c r="B1379" s="44" t="s">
        <v>419</v>
      </c>
      <c r="C1379" s="28">
        <v>15</v>
      </c>
      <c r="D1379" s="45" t="s">
        <v>2135</v>
      </c>
      <c r="E1379" s="87"/>
      <c r="F1379" s="87" t="str">
        <f>IF(INDEX(I.Gas.C1E1,15)="","",INDEX(I.Gas.C1E1,15))</f>
        <v/>
      </c>
      <c r="G1379" s="87"/>
      <c r="H1379" s="28" t="str">
        <f>IF(AND(I.Facility.GasToPower="Yes",I.Gas.Count&gt;=15,F1379=""),"Incomplete","Complete")</f>
        <v>Complete</v>
      </c>
      <c r="I1379" s="46" t="s">
        <v>1515</v>
      </c>
    </row>
    <row r="1380" spans="2:9" ht="14.45" customHeight="1" x14ac:dyDescent="0.25">
      <c r="B1380" s="44" t="s">
        <v>419</v>
      </c>
      <c r="C1380" s="28">
        <v>16</v>
      </c>
      <c r="D1380" s="45" t="s">
        <v>2135</v>
      </c>
      <c r="E1380" s="87"/>
      <c r="F1380" s="87" t="str">
        <f>IF(INDEX(I.Gas.C1E1,16)="","",INDEX(I.Gas.C1E1,16))</f>
        <v/>
      </c>
      <c r="G1380" s="87"/>
      <c r="H1380" s="28" t="str">
        <f>IF(AND(I.Facility.GasToPower="Yes",I.Gas.Count&gt;=16,F1380=""),"Incomplete","Complete")</f>
        <v>Complete</v>
      </c>
      <c r="I1380" s="46" t="s">
        <v>1516</v>
      </c>
    </row>
    <row r="1381" spans="2:9" ht="14.45" customHeight="1" x14ac:dyDescent="0.25">
      <c r="B1381" s="44" t="s">
        <v>419</v>
      </c>
      <c r="C1381" s="28">
        <v>17</v>
      </c>
      <c r="D1381" s="45" t="s">
        <v>2135</v>
      </c>
      <c r="E1381" s="87"/>
      <c r="F1381" s="87" t="str">
        <f>IF(INDEX(I.Gas.C1E1,17)="","",INDEX(I.Gas.C1E1,17))</f>
        <v/>
      </c>
      <c r="G1381" s="87"/>
      <c r="H1381" s="28" t="str">
        <f>IF(AND(I.Facility.GasToPower="Yes",I.Gas.Count&gt;=17,F1381=""),"Incomplete","Complete")</f>
        <v>Complete</v>
      </c>
      <c r="I1381" s="46" t="s">
        <v>1517</v>
      </c>
    </row>
    <row r="1382" spans="2:9" ht="14.45" customHeight="1" x14ac:dyDescent="0.25">
      <c r="B1382" s="44" t="s">
        <v>419</v>
      </c>
      <c r="C1382" s="28">
        <v>18</v>
      </c>
      <c r="D1382" s="45" t="s">
        <v>2135</v>
      </c>
      <c r="E1382" s="87"/>
      <c r="F1382" s="87" t="str">
        <f>IF(INDEX(I.Gas.C1E1,18)="","",INDEX(I.Gas.C1E1,18))</f>
        <v/>
      </c>
      <c r="G1382" s="87"/>
      <c r="H1382" s="28" t="str">
        <f>IF(AND(I.Facility.GasToPower="Yes",I.Gas.Count&gt;=18,F1382=""),"Incomplete","Complete")</f>
        <v>Complete</v>
      </c>
      <c r="I1382" s="46" t="s">
        <v>1518</v>
      </c>
    </row>
    <row r="1383" spans="2:9" ht="14.45" customHeight="1" x14ac:dyDescent="0.25">
      <c r="B1383" s="44" t="s">
        <v>419</v>
      </c>
      <c r="C1383" s="28">
        <v>19</v>
      </c>
      <c r="D1383" s="45" t="s">
        <v>2135</v>
      </c>
      <c r="E1383" s="87"/>
      <c r="F1383" s="87" t="str">
        <f>IF(INDEX(I.Gas.C1E1,19)="","",INDEX(I.Gas.C1E1,19))</f>
        <v/>
      </c>
      <c r="G1383" s="87"/>
      <c r="H1383" s="28" t="str">
        <f>IF(AND(I.Facility.GasToPower="Yes",I.Gas.Count&gt;=19,F1383=""),"Incomplete","Complete")</f>
        <v>Complete</v>
      </c>
      <c r="I1383" s="46" t="s">
        <v>1519</v>
      </c>
    </row>
    <row r="1384" spans="2:9" ht="14.45" customHeight="1" x14ac:dyDescent="0.25">
      <c r="B1384" s="44" t="s">
        <v>419</v>
      </c>
      <c r="C1384" s="28">
        <v>20</v>
      </c>
      <c r="D1384" s="45" t="s">
        <v>2135</v>
      </c>
      <c r="E1384" s="87"/>
      <c r="F1384" s="87" t="str">
        <f>IF(INDEX(I.Gas.C1E1,20)="","",INDEX(I.Gas.C1E1,20))</f>
        <v/>
      </c>
      <c r="G1384" s="87"/>
      <c r="H1384" s="28" t="str">
        <f>IF(AND(I.Facility.GasToPower="Yes",I.Gas.Count&gt;=20,F1384=""),"Incomplete","Complete")</f>
        <v>Complete</v>
      </c>
      <c r="I1384" s="46" t="s">
        <v>1520</v>
      </c>
    </row>
    <row r="1385" spans="2:9" ht="14.45" customHeight="1" x14ac:dyDescent="0.25">
      <c r="B1385" s="44" t="s">
        <v>419</v>
      </c>
      <c r="C1385" s="28">
        <v>21</v>
      </c>
      <c r="D1385" s="45" t="s">
        <v>2135</v>
      </c>
      <c r="E1385" s="87"/>
      <c r="F1385" s="87" t="str">
        <f>IF(INDEX(I.Gas.C1E1,21)="","",INDEX(I.Gas.C1E1,21))</f>
        <v/>
      </c>
      <c r="G1385" s="87"/>
      <c r="H1385" s="28" t="str">
        <f>IF(AND(I.Facility.GasToPower="Yes",I.Gas.Count&gt;=21,F1385=""),"Incomplete","Complete")</f>
        <v>Complete</v>
      </c>
      <c r="I1385" s="46" t="s">
        <v>1521</v>
      </c>
    </row>
    <row r="1386" spans="2:9" ht="14.45" customHeight="1" x14ac:dyDescent="0.25">
      <c r="B1386" s="44" t="s">
        <v>419</v>
      </c>
      <c r="C1386" s="28">
        <v>22</v>
      </c>
      <c r="D1386" s="45" t="s">
        <v>2135</v>
      </c>
      <c r="E1386" s="87"/>
      <c r="F1386" s="87" t="str">
        <f>IF(INDEX(I.Gas.C1E1,22)="","",INDEX(I.Gas.C1E1,22))</f>
        <v/>
      </c>
      <c r="G1386" s="87"/>
      <c r="H1386" s="28" t="str">
        <f>IF(AND(I.Facility.GasToPower="Yes",I.Gas.Count&gt;=22,F1386=""),"Incomplete","Complete")</f>
        <v>Complete</v>
      </c>
      <c r="I1386" s="46" t="s">
        <v>1522</v>
      </c>
    </row>
    <row r="1387" spans="2:9" ht="14.45" customHeight="1" x14ac:dyDescent="0.25">
      <c r="B1387" s="44" t="s">
        <v>419</v>
      </c>
      <c r="C1387" s="28">
        <v>23</v>
      </c>
      <c r="D1387" s="45" t="s">
        <v>2135</v>
      </c>
      <c r="E1387" s="87"/>
      <c r="F1387" s="87" t="str">
        <f>IF(INDEX(I.Gas.C1E1,23)="","",INDEX(I.Gas.C1E1,23))</f>
        <v/>
      </c>
      <c r="G1387" s="87"/>
      <c r="H1387" s="28" t="str">
        <f>IF(AND(I.Facility.GasToPower="Yes",I.Gas.Count&gt;=23,F1387=""),"Incomplete","Complete")</f>
        <v>Complete</v>
      </c>
      <c r="I1387" s="46" t="s">
        <v>1523</v>
      </c>
    </row>
    <row r="1388" spans="2:9" ht="14.45" customHeight="1" x14ac:dyDescent="0.25">
      <c r="B1388" s="44" t="s">
        <v>419</v>
      </c>
      <c r="C1388" s="28">
        <v>24</v>
      </c>
      <c r="D1388" s="45" t="s">
        <v>2135</v>
      </c>
      <c r="E1388" s="87"/>
      <c r="F1388" s="87" t="str">
        <f>IF(INDEX(I.Gas.C1E1,24)="","",INDEX(I.Gas.C1E1,24))</f>
        <v/>
      </c>
      <c r="G1388" s="87"/>
      <c r="H1388" s="28" t="str">
        <f>IF(AND(I.Facility.GasToPower="Yes",I.Gas.Count&gt;=24,F1388=""),"Incomplete","Complete")</f>
        <v>Complete</v>
      </c>
      <c r="I1388" s="46" t="s">
        <v>1524</v>
      </c>
    </row>
    <row r="1389" spans="2:9" ht="14.45" customHeight="1" x14ac:dyDescent="0.25">
      <c r="B1389" s="44" t="s">
        <v>419</v>
      </c>
      <c r="C1389" s="28">
        <v>25</v>
      </c>
      <c r="D1389" s="45" t="s">
        <v>2135</v>
      </c>
      <c r="E1389" s="87"/>
      <c r="F1389" s="87" t="str">
        <f>IF(INDEX(I.Gas.C1E1,25)="","",INDEX(I.Gas.C1E1,25))</f>
        <v/>
      </c>
      <c r="G1389" s="87"/>
      <c r="H1389" s="28" t="str">
        <f>IF(AND(I.Facility.GasToPower="Yes",I.Gas.Count&gt;=25,F1389=""),"Incomplete","Complete")</f>
        <v>Complete</v>
      </c>
      <c r="I1389" s="46" t="s">
        <v>1525</v>
      </c>
    </row>
    <row r="1390" spans="2:9" ht="14.45" customHeight="1" x14ac:dyDescent="0.25">
      <c r="B1390" s="44" t="s">
        <v>419</v>
      </c>
      <c r="C1390" s="28">
        <v>26</v>
      </c>
      <c r="D1390" s="45" t="s">
        <v>2135</v>
      </c>
      <c r="E1390" s="87"/>
      <c r="F1390" s="87" t="str">
        <f>IF(INDEX(I.Gas.C1E1,26)="","",INDEX(I.Gas.C1E1,26))</f>
        <v/>
      </c>
      <c r="G1390" s="87"/>
      <c r="H1390" s="28" t="str">
        <f>IF(AND(I.Facility.GasToPower="Yes",I.Gas.Count&gt;=26,F1390=""),"Incomplete","Complete")</f>
        <v>Complete</v>
      </c>
      <c r="I1390" s="46" t="s">
        <v>1526</v>
      </c>
    </row>
    <row r="1391" spans="2:9" ht="14.45" customHeight="1" x14ac:dyDescent="0.25">
      <c r="B1391" s="44" t="s">
        <v>419</v>
      </c>
      <c r="C1391" s="28">
        <v>27</v>
      </c>
      <c r="D1391" s="45" t="s">
        <v>2135</v>
      </c>
      <c r="E1391" s="87"/>
      <c r="F1391" s="87" t="str">
        <f>IF(INDEX(I.Gas.C1E1,27)="","",INDEX(I.Gas.C1E1,27))</f>
        <v/>
      </c>
      <c r="G1391" s="87"/>
      <c r="H1391" s="28" t="str">
        <f>IF(AND(I.Facility.GasToPower="Yes",I.Gas.Count&gt;=27,F1391=""),"Incomplete","Complete")</f>
        <v>Complete</v>
      </c>
      <c r="I1391" s="46" t="s">
        <v>1527</v>
      </c>
    </row>
    <row r="1392" spans="2:9" ht="14.45" customHeight="1" x14ac:dyDescent="0.25">
      <c r="B1392" s="44" t="s">
        <v>419</v>
      </c>
      <c r="C1392" s="28">
        <v>28</v>
      </c>
      <c r="D1392" s="45" t="s">
        <v>2135</v>
      </c>
      <c r="E1392" s="87"/>
      <c r="F1392" s="87" t="str">
        <f>IF(INDEX(I.Gas.C1E1,28)="","",INDEX(I.Gas.C1E1,28))</f>
        <v/>
      </c>
      <c r="G1392" s="87"/>
      <c r="H1392" s="28" t="str">
        <f>IF(AND(I.Facility.GasToPower="Yes",I.Gas.Count&gt;=28,F1392=""),"Incomplete","Complete")</f>
        <v>Complete</v>
      </c>
      <c r="I1392" s="46" t="s">
        <v>1528</v>
      </c>
    </row>
    <row r="1393" spans="2:9" ht="14.45" customHeight="1" x14ac:dyDescent="0.25">
      <c r="B1393" s="44" t="s">
        <v>419</v>
      </c>
      <c r="C1393" s="28">
        <v>29</v>
      </c>
      <c r="D1393" s="45" t="s">
        <v>2135</v>
      </c>
      <c r="E1393" s="87"/>
      <c r="F1393" s="87" t="str">
        <f>IF(INDEX(I.Gas.C1E1,29)="","",INDEX(I.Gas.C1E1,29))</f>
        <v/>
      </c>
      <c r="G1393" s="87"/>
      <c r="H1393" s="28" t="str">
        <f>IF(AND(I.Facility.GasToPower="Yes",I.Gas.Count&gt;=29,F1393=""),"Incomplete","Complete")</f>
        <v>Complete</v>
      </c>
      <c r="I1393" s="46" t="s">
        <v>1529</v>
      </c>
    </row>
    <row r="1394" spans="2:9" ht="14.45" customHeight="1" x14ac:dyDescent="0.25">
      <c r="B1394" s="44" t="s">
        <v>419</v>
      </c>
      <c r="C1394" s="28">
        <v>30</v>
      </c>
      <c r="D1394" s="45" t="s">
        <v>2135</v>
      </c>
      <c r="E1394" s="87"/>
      <c r="F1394" s="87" t="str">
        <f>IF(INDEX(I.Gas.C1E1,30)="","",INDEX(I.Gas.C1E1,30))</f>
        <v/>
      </c>
      <c r="G1394" s="87"/>
      <c r="H1394" s="28" t="str">
        <f>IF(AND(I.Facility.GasToPower="Yes",I.Gas.Count&gt;=30,F1394=""),"Incomplete","Complete")</f>
        <v>Complete</v>
      </c>
      <c r="I1394" s="46" t="s">
        <v>1530</v>
      </c>
    </row>
    <row r="1395" spans="2:9" ht="14.45" customHeight="1" x14ac:dyDescent="0.25">
      <c r="B1395" s="44" t="s">
        <v>419</v>
      </c>
      <c r="C1395" s="28">
        <v>31</v>
      </c>
      <c r="D1395" s="45" t="s">
        <v>2135</v>
      </c>
      <c r="E1395" s="87"/>
      <c r="F1395" s="87" t="str">
        <f>IF(INDEX(I.Gas.C1E1,31)="","",INDEX(I.Gas.C1E1,31))</f>
        <v/>
      </c>
      <c r="G1395" s="87"/>
      <c r="H1395" s="28" t="str">
        <f>IF(AND(I.Facility.GasToPower="Yes",I.Gas.Count&gt;=31,F1395=""),"Incomplete","Complete")</f>
        <v>Complete</v>
      </c>
      <c r="I1395" s="46" t="s">
        <v>1531</v>
      </c>
    </row>
    <row r="1396" spans="2:9" ht="14.45" customHeight="1" x14ac:dyDescent="0.25">
      <c r="B1396" s="44" t="s">
        <v>419</v>
      </c>
      <c r="C1396" s="28">
        <v>32</v>
      </c>
      <c r="D1396" s="45" t="s">
        <v>2135</v>
      </c>
      <c r="E1396" s="87"/>
      <c r="F1396" s="87" t="str">
        <f>IF(INDEX(I.Gas.C1E1,32)="","",INDEX(I.Gas.C1E1,32))</f>
        <v/>
      </c>
      <c r="G1396" s="87"/>
      <c r="H1396" s="28" t="str">
        <f>IF(AND(I.Facility.GasToPower="Yes",I.Gas.Count&gt;=32,F1396=""),"Incomplete","Complete")</f>
        <v>Complete</v>
      </c>
      <c r="I1396" s="46" t="s">
        <v>1532</v>
      </c>
    </row>
    <row r="1397" spans="2:9" ht="14.45" customHeight="1" x14ac:dyDescent="0.25">
      <c r="B1397" s="44" t="s">
        <v>419</v>
      </c>
      <c r="C1397" s="28">
        <v>33</v>
      </c>
      <c r="D1397" s="45" t="s">
        <v>2135</v>
      </c>
      <c r="E1397" s="87"/>
      <c r="F1397" s="87" t="str">
        <f>IF(INDEX(I.Gas.C1E1,33)="","",INDEX(I.Gas.C1E1,33))</f>
        <v/>
      </c>
      <c r="G1397" s="87"/>
      <c r="H1397" s="28" t="str">
        <f>IF(AND(I.Facility.GasToPower="Yes",I.Gas.Count&gt;=33,F1397=""),"Incomplete","Complete")</f>
        <v>Complete</v>
      </c>
      <c r="I1397" s="46" t="s">
        <v>1533</v>
      </c>
    </row>
    <row r="1398" spans="2:9" ht="14.45" customHeight="1" x14ac:dyDescent="0.25">
      <c r="B1398" s="44" t="s">
        <v>419</v>
      </c>
      <c r="C1398" s="28">
        <v>34</v>
      </c>
      <c r="D1398" s="45" t="s">
        <v>2135</v>
      </c>
      <c r="E1398" s="87"/>
      <c r="F1398" s="87" t="str">
        <f>IF(INDEX(I.Gas.C1E1,34)="","",INDEX(I.Gas.C1E1,34))</f>
        <v/>
      </c>
      <c r="G1398" s="87"/>
      <c r="H1398" s="28" t="str">
        <f>IF(AND(I.Facility.GasToPower="Yes",I.Gas.Count&gt;=34,F1398=""),"Incomplete","Complete")</f>
        <v>Complete</v>
      </c>
      <c r="I1398" s="46" t="s">
        <v>1534</v>
      </c>
    </row>
    <row r="1399" spans="2:9" ht="14.45" customHeight="1" x14ac:dyDescent="0.25">
      <c r="B1399" s="44" t="s">
        <v>419</v>
      </c>
      <c r="C1399" s="28">
        <v>35</v>
      </c>
      <c r="D1399" s="45" t="s">
        <v>2135</v>
      </c>
      <c r="E1399" s="87"/>
      <c r="F1399" s="87" t="str">
        <f>IF(INDEX(I.Gas.C1E1,35)="","",INDEX(I.Gas.C1E1,35))</f>
        <v/>
      </c>
      <c r="G1399" s="87"/>
      <c r="H1399" s="28" t="str">
        <f>IF(AND(I.Facility.GasToPower="Yes",I.Gas.Count&gt;=35,F1399=""),"Incomplete","Complete")</f>
        <v>Complete</v>
      </c>
      <c r="I1399" s="46" t="s">
        <v>1535</v>
      </c>
    </row>
    <row r="1400" spans="2:9" ht="14.45" customHeight="1" x14ac:dyDescent="0.25">
      <c r="B1400" s="44" t="s">
        <v>419</v>
      </c>
      <c r="C1400" s="28">
        <v>36</v>
      </c>
      <c r="D1400" s="45" t="s">
        <v>2135</v>
      </c>
      <c r="E1400" s="87"/>
      <c r="F1400" s="87" t="str">
        <f>IF(INDEX(I.Gas.C1E1,36)="","",INDEX(I.Gas.C1E1,36))</f>
        <v/>
      </c>
      <c r="G1400" s="87"/>
      <c r="H1400" s="28" t="str">
        <f>IF(AND(I.Facility.GasToPower="Yes",I.Gas.Count&gt;=36,F1400=""),"Incomplete","Complete")</f>
        <v>Complete</v>
      </c>
      <c r="I1400" s="46" t="s">
        <v>1536</v>
      </c>
    </row>
    <row r="1401" spans="2:9" ht="14.45" customHeight="1" x14ac:dyDescent="0.25">
      <c r="B1401" s="44" t="s">
        <v>419</v>
      </c>
      <c r="C1401" s="28">
        <v>37</v>
      </c>
      <c r="D1401" s="45" t="s">
        <v>2135</v>
      </c>
      <c r="E1401" s="87"/>
      <c r="F1401" s="87" t="str">
        <f>IF(INDEX(I.Gas.C1E1,37)="","",INDEX(I.Gas.C1E1,37))</f>
        <v/>
      </c>
      <c r="G1401" s="87"/>
      <c r="H1401" s="28" t="str">
        <f>IF(AND(I.Facility.GasToPower="Yes",I.Gas.Count&gt;=37,F1401=""),"Incomplete","Complete")</f>
        <v>Complete</v>
      </c>
      <c r="I1401" s="46" t="s">
        <v>1537</v>
      </c>
    </row>
    <row r="1402" spans="2:9" ht="14.45" customHeight="1" x14ac:dyDescent="0.25">
      <c r="B1402" s="44" t="s">
        <v>419</v>
      </c>
      <c r="C1402" s="28">
        <v>38</v>
      </c>
      <c r="D1402" s="45" t="s">
        <v>2135</v>
      </c>
      <c r="E1402" s="87"/>
      <c r="F1402" s="87" t="str">
        <f>IF(INDEX(I.Gas.C1E1,38)="","",INDEX(I.Gas.C1E1,38))</f>
        <v/>
      </c>
      <c r="G1402" s="87"/>
      <c r="H1402" s="28" t="str">
        <f>IF(AND(I.Facility.GasToPower="Yes",I.Gas.Count&gt;=38,F1402=""),"Incomplete","Complete")</f>
        <v>Complete</v>
      </c>
      <c r="I1402" s="46" t="s">
        <v>1538</v>
      </c>
    </row>
    <row r="1403" spans="2:9" ht="14.45" customHeight="1" x14ac:dyDescent="0.25">
      <c r="B1403" s="44" t="s">
        <v>419</v>
      </c>
      <c r="C1403" s="28">
        <v>39</v>
      </c>
      <c r="D1403" s="45" t="s">
        <v>2135</v>
      </c>
      <c r="E1403" s="87"/>
      <c r="F1403" s="87" t="str">
        <f>IF(INDEX(I.Gas.C1E1,39)="","",INDEX(I.Gas.C1E1,39))</f>
        <v/>
      </c>
      <c r="G1403" s="87"/>
      <c r="H1403" s="28" t="str">
        <f>IF(AND(I.Facility.GasToPower="Yes",I.Gas.Count&gt;=39,F1403=""),"Incomplete","Complete")</f>
        <v>Complete</v>
      </c>
      <c r="I1403" s="46" t="s">
        <v>1539</v>
      </c>
    </row>
    <row r="1404" spans="2:9" ht="14.45" customHeight="1" x14ac:dyDescent="0.25">
      <c r="B1404" s="44" t="s">
        <v>419</v>
      </c>
      <c r="C1404" s="28">
        <v>40</v>
      </c>
      <c r="D1404" s="45" t="s">
        <v>2135</v>
      </c>
      <c r="E1404" s="87"/>
      <c r="F1404" s="87" t="str">
        <f>IF(INDEX(I.Gas.C1E1,40)="","",INDEX(I.Gas.C1E1,40))</f>
        <v/>
      </c>
      <c r="G1404" s="87"/>
      <c r="H1404" s="28" t="str">
        <f>IF(AND(I.Facility.GasToPower="Yes",I.Gas.Count&gt;=40,F1404=""),"Incomplete","Complete")</f>
        <v>Complete</v>
      </c>
      <c r="I1404" s="46" t="s">
        <v>1540</v>
      </c>
    </row>
    <row r="1405" spans="2:9" ht="14.45" customHeight="1" x14ac:dyDescent="0.25">
      <c r="B1405" s="44" t="s">
        <v>419</v>
      </c>
      <c r="C1405" s="28">
        <v>41</v>
      </c>
      <c r="D1405" s="45" t="s">
        <v>2135</v>
      </c>
      <c r="E1405" s="87"/>
      <c r="F1405" s="87" t="str">
        <f>IF(INDEX(I.Gas.C1E1,41)="","",INDEX(I.Gas.C1E1,41))</f>
        <v/>
      </c>
      <c r="G1405" s="87"/>
      <c r="H1405" s="28" t="str">
        <f>IF(AND(I.Facility.GasToPower="Yes",I.Gas.Count&gt;=41,F1405=""),"Incomplete","Complete")</f>
        <v>Complete</v>
      </c>
      <c r="I1405" s="46" t="s">
        <v>1541</v>
      </c>
    </row>
    <row r="1406" spans="2:9" ht="14.45" customHeight="1" x14ac:dyDescent="0.25">
      <c r="B1406" s="44" t="s">
        <v>419</v>
      </c>
      <c r="C1406" s="28">
        <v>42</v>
      </c>
      <c r="D1406" s="45" t="s">
        <v>2135</v>
      </c>
      <c r="E1406" s="87"/>
      <c r="F1406" s="87" t="str">
        <f>IF(INDEX(I.Gas.C1E1,42)="","",INDEX(I.Gas.C1E1,42))</f>
        <v/>
      </c>
      <c r="G1406" s="87"/>
      <c r="H1406" s="28" t="str">
        <f>IF(AND(I.Facility.GasToPower="Yes",I.Gas.Count&gt;=42,F1406=""),"Incomplete","Complete")</f>
        <v>Complete</v>
      </c>
      <c r="I1406" s="46" t="s">
        <v>1542</v>
      </c>
    </row>
    <row r="1407" spans="2:9" ht="14.45" customHeight="1" x14ac:dyDescent="0.25">
      <c r="B1407" s="44" t="s">
        <v>419</v>
      </c>
      <c r="C1407" s="28">
        <v>43</v>
      </c>
      <c r="D1407" s="45" t="s">
        <v>2135</v>
      </c>
      <c r="E1407" s="87"/>
      <c r="F1407" s="87" t="str">
        <f>IF(INDEX(I.Gas.C1E1,43)="","",INDEX(I.Gas.C1E1,43))</f>
        <v/>
      </c>
      <c r="G1407" s="87"/>
      <c r="H1407" s="28" t="str">
        <f>IF(AND(I.Facility.GasToPower="Yes",I.Gas.Count&gt;=43,F1407=""),"Incomplete","Complete")</f>
        <v>Complete</v>
      </c>
      <c r="I1407" s="46" t="s">
        <v>1543</v>
      </c>
    </row>
    <row r="1408" spans="2:9" ht="14.45" customHeight="1" x14ac:dyDescent="0.25">
      <c r="B1408" s="44" t="s">
        <v>419</v>
      </c>
      <c r="C1408" s="28">
        <v>44</v>
      </c>
      <c r="D1408" s="45" t="s">
        <v>2135</v>
      </c>
      <c r="E1408" s="87"/>
      <c r="F1408" s="87" t="str">
        <f>IF(INDEX(I.Gas.C1E1,44)="","",INDEX(I.Gas.C1E1,44))</f>
        <v/>
      </c>
      <c r="G1408" s="87"/>
      <c r="H1408" s="28" t="str">
        <f>IF(AND(I.Facility.GasToPower="Yes",I.Gas.Count&gt;=44,F1408=""),"Incomplete","Complete")</f>
        <v>Complete</v>
      </c>
      <c r="I1408" s="46" t="s">
        <v>1544</v>
      </c>
    </row>
    <row r="1409" spans="2:9" ht="14.45" customHeight="1" x14ac:dyDescent="0.25">
      <c r="B1409" s="44" t="s">
        <v>419</v>
      </c>
      <c r="C1409" s="28">
        <v>45</v>
      </c>
      <c r="D1409" s="45" t="s">
        <v>2135</v>
      </c>
      <c r="E1409" s="87"/>
      <c r="F1409" s="87" t="str">
        <f>IF(INDEX(I.Gas.C1E1,45)="","",INDEX(I.Gas.C1E1,45))</f>
        <v/>
      </c>
      <c r="G1409" s="87"/>
      <c r="H1409" s="28" t="str">
        <f>IF(AND(I.Facility.GasToPower="Yes",I.Gas.Count&gt;=45,F1409=""),"Incomplete","Complete")</f>
        <v>Complete</v>
      </c>
      <c r="I1409" s="46" t="s">
        <v>1545</v>
      </c>
    </row>
    <row r="1410" spans="2:9" ht="14.45" customHeight="1" x14ac:dyDescent="0.25">
      <c r="B1410" s="44" t="s">
        <v>419</v>
      </c>
      <c r="C1410" s="28">
        <v>46</v>
      </c>
      <c r="D1410" s="45" t="s">
        <v>2135</v>
      </c>
      <c r="E1410" s="87"/>
      <c r="F1410" s="87" t="str">
        <f>IF(INDEX(I.Gas.C1E1,46)="","",INDEX(I.Gas.C1E1,46))</f>
        <v/>
      </c>
      <c r="G1410" s="87"/>
      <c r="H1410" s="28" t="str">
        <f>IF(AND(I.Facility.GasToPower="Yes",I.Gas.Count&gt;=46,F1410=""),"Incomplete","Complete")</f>
        <v>Complete</v>
      </c>
      <c r="I1410" s="46" t="s">
        <v>1546</v>
      </c>
    </row>
    <row r="1411" spans="2:9" ht="14.45" customHeight="1" x14ac:dyDescent="0.25">
      <c r="B1411" s="44" t="s">
        <v>419</v>
      </c>
      <c r="C1411" s="28">
        <v>47</v>
      </c>
      <c r="D1411" s="45" t="s">
        <v>2135</v>
      </c>
      <c r="E1411" s="87"/>
      <c r="F1411" s="87" t="str">
        <f>IF(INDEX(I.Gas.C1E1,47)="","",INDEX(I.Gas.C1E1,47))</f>
        <v/>
      </c>
      <c r="G1411" s="87"/>
      <c r="H1411" s="28" t="str">
        <f>IF(AND(I.Facility.GasToPower="Yes",I.Gas.Count&gt;=47,F1411=""),"Incomplete","Complete")</f>
        <v>Complete</v>
      </c>
      <c r="I1411" s="46" t="s">
        <v>1547</v>
      </c>
    </row>
    <row r="1412" spans="2:9" ht="14.45" customHeight="1" x14ac:dyDescent="0.25">
      <c r="B1412" s="44" t="s">
        <v>419</v>
      </c>
      <c r="C1412" s="28">
        <v>48</v>
      </c>
      <c r="D1412" s="45" t="s">
        <v>2135</v>
      </c>
      <c r="E1412" s="87"/>
      <c r="F1412" s="87" t="str">
        <f>IF(INDEX(I.Gas.C1E1,48)="","",INDEX(I.Gas.C1E1,48))</f>
        <v/>
      </c>
      <c r="G1412" s="87"/>
      <c r="H1412" s="28" t="str">
        <f>IF(AND(I.Facility.GasToPower="Yes",I.Gas.Count&gt;=48,F1412=""),"Incomplete","Complete")</f>
        <v>Complete</v>
      </c>
      <c r="I1412" s="46" t="s">
        <v>1548</v>
      </c>
    </row>
    <row r="1413" spans="2:9" ht="14.45" customHeight="1" x14ac:dyDescent="0.25">
      <c r="B1413" s="44" t="s">
        <v>419</v>
      </c>
      <c r="C1413" s="28">
        <v>49</v>
      </c>
      <c r="D1413" s="45" t="s">
        <v>2135</v>
      </c>
      <c r="E1413" s="87"/>
      <c r="F1413" s="87" t="str">
        <f>IF(INDEX(I.Gas.C1E1,49)="","",INDEX(I.Gas.C1E1,49))</f>
        <v/>
      </c>
      <c r="G1413" s="87"/>
      <c r="H1413" s="28" t="str">
        <f>IF(AND(I.Facility.GasToPower="Yes",I.Gas.Count&gt;=49,F1413=""),"Incomplete","Complete")</f>
        <v>Complete</v>
      </c>
      <c r="I1413" s="46" t="s">
        <v>1549</v>
      </c>
    </row>
    <row r="1414" spans="2:9" ht="14.45" customHeight="1" x14ac:dyDescent="0.25">
      <c r="B1414" s="53" t="s">
        <v>419</v>
      </c>
      <c r="C1414" s="66">
        <v>50</v>
      </c>
      <c r="D1414" s="54" t="s">
        <v>2135</v>
      </c>
      <c r="E1414" s="88"/>
      <c r="F1414" s="88" t="str">
        <f>IF(INDEX(I.Gas.C1E1,50)="","",INDEX(I.Gas.C1E1,50))</f>
        <v/>
      </c>
      <c r="G1414" s="88"/>
      <c r="H1414" s="66" t="str">
        <f>IF(AND(I.Facility.GasToPower="Yes",I.Gas.Count&gt;=50,F1414=""),"Incomplete","Complete")</f>
        <v>Complete</v>
      </c>
      <c r="I1414" s="68" t="s">
        <v>1550</v>
      </c>
    </row>
    <row r="1415" spans="2:9" ht="14.45" customHeight="1" x14ac:dyDescent="0.25">
      <c r="B1415" s="44" t="s">
        <v>420</v>
      </c>
      <c r="C1415" s="28">
        <v>1</v>
      </c>
      <c r="D1415" s="45" t="s">
        <v>2136</v>
      </c>
      <c r="E1415" s="87"/>
      <c r="F1415" s="87" t="str">
        <f>IF(INDEX(I.Gas.C1E2,1)="","",INDEX(I.Gas.C1E2,1))</f>
        <v/>
      </c>
      <c r="G1415" s="87"/>
      <c r="H1415" s="28" t="str">
        <f>IF(AND(I.Facility.GasToPower="Yes",I.Gas.Count&gt;=1,F1415=""),"Incomplete","Complete")</f>
        <v>Complete</v>
      </c>
      <c r="I1415" s="46" t="s">
        <v>1551</v>
      </c>
    </row>
    <row r="1416" spans="2:9" ht="14.45" customHeight="1" x14ac:dyDescent="0.25">
      <c r="B1416" s="44" t="s">
        <v>420</v>
      </c>
      <c r="C1416" s="28">
        <v>2</v>
      </c>
      <c r="D1416" s="45" t="s">
        <v>2136</v>
      </c>
      <c r="E1416" s="87"/>
      <c r="F1416" s="87" t="str">
        <f>IF(INDEX(I.Gas.C1E2,2)="","",INDEX(I.Gas.C1E2,2))</f>
        <v/>
      </c>
      <c r="G1416" s="87"/>
      <c r="H1416" s="28" t="str">
        <f>IF(AND(I.Facility.GasToPower="Yes",I.Gas.Count&gt;=2,F1416=""),"Incomplete","Complete")</f>
        <v>Complete</v>
      </c>
      <c r="I1416" s="46" t="s">
        <v>1552</v>
      </c>
    </row>
    <row r="1417" spans="2:9" ht="14.45" customHeight="1" x14ac:dyDescent="0.25">
      <c r="B1417" s="44" t="s">
        <v>420</v>
      </c>
      <c r="C1417" s="28">
        <v>3</v>
      </c>
      <c r="D1417" s="45" t="s">
        <v>2136</v>
      </c>
      <c r="E1417" s="87"/>
      <c r="F1417" s="87" t="str">
        <f>IF(INDEX(I.Gas.C1E2,3)="","",INDEX(I.Gas.C1E2,3))</f>
        <v/>
      </c>
      <c r="G1417" s="87"/>
      <c r="H1417" s="28" t="str">
        <f>IF(AND(I.Facility.GasToPower="Yes",I.Gas.Count&gt;=3,F1417=""),"Incomplete","Complete")</f>
        <v>Complete</v>
      </c>
      <c r="I1417" s="46" t="s">
        <v>1553</v>
      </c>
    </row>
    <row r="1418" spans="2:9" ht="14.45" customHeight="1" x14ac:dyDescent="0.25">
      <c r="B1418" s="44" t="s">
        <v>420</v>
      </c>
      <c r="C1418" s="28">
        <v>4</v>
      </c>
      <c r="D1418" s="45" t="s">
        <v>2136</v>
      </c>
      <c r="E1418" s="87"/>
      <c r="F1418" s="87" t="str">
        <f>IF(INDEX(I.Gas.C1E2,4)="","",INDEX(I.Gas.C1E2,4))</f>
        <v/>
      </c>
      <c r="G1418" s="87"/>
      <c r="H1418" s="28" t="str">
        <f>IF(AND(I.Facility.GasToPower="Yes",I.Gas.Count&gt;=4,F1418=""),"Incomplete","Complete")</f>
        <v>Complete</v>
      </c>
      <c r="I1418" s="46" t="s">
        <v>1554</v>
      </c>
    </row>
    <row r="1419" spans="2:9" ht="14.45" customHeight="1" x14ac:dyDescent="0.25">
      <c r="B1419" s="44" t="s">
        <v>420</v>
      </c>
      <c r="C1419" s="28">
        <v>5</v>
      </c>
      <c r="D1419" s="45" t="s">
        <v>2136</v>
      </c>
      <c r="E1419" s="87"/>
      <c r="F1419" s="87" t="str">
        <f>IF(INDEX(I.Gas.C1E2,5)="","",INDEX(I.Gas.C1E2,5))</f>
        <v/>
      </c>
      <c r="G1419" s="87"/>
      <c r="H1419" s="28" t="str">
        <f>IF(AND(I.Facility.GasToPower="Yes",I.Gas.Count&gt;=5,F1419=""),"Incomplete","Complete")</f>
        <v>Complete</v>
      </c>
      <c r="I1419" s="46" t="s">
        <v>1555</v>
      </c>
    </row>
    <row r="1420" spans="2:9" ht="14.45" customHeight="1" x14ac:dyDescent="0.25">
      <c r="B1420" s="44" t="s">
        <v>420</v>
      </c>
      <c r="C1420" s="28">
        <v>6</v>
      </c>
      <c r="D1420" s="45" t="s">
        <v>2136</v>
      </c>
      <c r="E1420" s="87"/>
      <c r="F1420" s="87" t="str">
        <f>IF(INDEX(I.Gas.C1E2,6)="","",INDEX(I.Gas.C1E2,6))</f>
        <v/>
      </c>
      <c r="G1420" s="87"/>
      <c r="H1420" s="28" t="str">
        <f>IF(AND(I.Facility.GasToPower="Yes",I.Gas.Count&gt;=6,F1420=""),"Incomplete","Complete")</f>
        <v>Complete</v>
      </c>
      <c r="I1420" s="46" t="s">
        <v>1556</v>
      </c>
    </row>
    <row r="1421" spans="2:9" ht="14.45" customHeight="1" x14ac:dyDescent="0.25">
      <c r="B1421" s="44" t="s">
        <v>420</v>
      </c>
      <c r="C1421" s="28">
        <v>7</v>
      </c>
      <c r="D1421" s="45" t="s">
        <v>2136</v>
      </c>
      <c r="E1421" s="87"/>
      <c r="F1421" s="87" t="str">
        <f>IF(INDEX(I.Gas.C1E2,7)="","",INDEX(I.Gas.C1E2,7))</f>
        <v/>
      </c>
      <c r="G1421" s="87"/>
      <c r="H1421" s="28" t="str">
        <f>IF(AND(I.Facility.GasToPower="Yes",I.Gas.Count&gt;=7,F1421=""),"Incomplete","Complete")</f>
        <v>Complete</v>
      </c>
      <c r="I1421" s="46" t="s">
        <v>1557</v>
      </c>
    </row>
    <row r="1422" spans="2:9" ht="14.45" customHeight="1" x14ac:dyDescent="0.25">
      <c r="B1422" s="44" t="s">
        <v>420</v>
      </c>
      <c r="C1422" s="28">
        <v>8</v>
      </c>
      <c r="D1422" s="45" t="s">
        <v>2136</v>
      </c>
      <c r="E1422" s="87"/>
      <c r="F1422" s="87" t="str">
        <f>IF(INDEX(I.Gas.C1E2,8)="","",INDEX(I.Gas.C1E2,8))</f>
        <v/>
      </c>
      <c r="G1422" s="87"/>
      <c r="H1422" s="28" t="str">
        <f>IF(AND(I.Facility.GasToPower="Yes",I.Gas.Count&gt;=8,F1422=""),"Incomplete","Complete")</f>
        <v>Complete</v>
      </c>
      <c r="I1422" s="46" t="s">
        <v>1558</v>
      </c>
    </row>
    <row r="1423" spans="2:9" ht="14.45" customHeight="1" x14ac:dyDescent="0.25">
      <c r="B1423" s="44" t="s">
        <v>420</v>
      </c>
      <c r="C1423" s="28">
        <v>9</v>
      </c>
      <c r="D1423" s="45" t="s">
        <v>2136</v>
      </c>
      <c r="E1423" s="87"/>
      <c r="F1423" s="87" t="str">
        <f>IF(INDEX(I.Gas.C1E2,9)="","",INDEX(I.Gas.C1E2,9))</f>
        <v/>
      </c>
      <c r="G1423" s="87"/>
      <c r="H1423" s="28" t="str">
        <f>IF(AND(I.Facility.GasToPower="Yes",I.Gas.Count&gt;=9,F1423=""),"Incomplete","Complete")</f>
        <v>Complete</v>
      </c>
      <c r="I1423" s="46" t="s">
        <v>1559</v>
      </c>
    </row>
    <row r="1424" spans="2:9" ht="14.45" customHeight="1" x14ac:dyDescent="0.25">
      <c r="B1424" s="44" t="s">
        <v>420</v>
      </c>
      <c r="C1424" s="28">
        <v>10</v>
      </c>
      <c r="D1424" s="45" t="s">
        <v>2136</v>
      </c>
      <c r="E1424" s="87"/>
      <c r="F1424" s="87" t="str">
        <f>IF(INDEX(I.Gas.C1E2,10)="","",INDEX(I.Gas.C1E2,10))</f>
        <v/>
      </c>
      <c r="G1424" s="87"/>
      <c r="H1424" s="28" t="str">
        <f>IF(AND(I.Facility.GasToPower="Yes",I.Gas.Count&gt;=10,F1424=""),"Incomplete","Complete")</f>
        <v>Complete</v>
      </c>
      <c r="I1424" s="46" t="s">
        <v>1560</v>
      </c>
    </row>
    <row r="1425" spans="2:9" ht="14.45" customHeight="1" x14ac:dyDescent="0.25">
      <c r="B1425" s="44" t="s">
        <v>420</v>
      </c>
      <c r="C1425" s="28">
        <v>11</v>
      </c>
      <c r="D1425" s="45" t="s">
        <v>2136</v>
      </c>
      <c r="E1425" s="87"/>
      <c r="F1425" s="87" t="str">
        <f>IF(INDEX(I.Gas.C1E2,11)="","",INDEX(I.Gas.C1E2,11))</f>
        <v/>
      </c>
      <c r="G1425" s="87"/>
      <c r="H1425" s="28" t="str">
        <f>IF(AND(I.Facility.GasToPower="Yes",I.Gas.Count&gt;=11,F1425=""),"Incomplete","Complete")</f>
        <v>Complete</v>
      </c>
      <c r="I1425" s="46" t="s">
        <v>1561</v>
      </c>
    </row>
    <row r="1426" spans="2:9" ht="14.45" customHeight="1" x14ac:dyDescent="0.25">
      <c r="B1426" s="44" t="s">
        <v>420</v>
      </c>
      <c r="C1426" s="28">
        <v>12</v>
      </c>
      <c r="D1426" s="45" t="s">
        <v>2136</v>
      </c>
      <c r="E1426" s="87"/>
      <c r="F1426" s="87" t="str">
        <f>IF(INDEX(I.Gas.C1E2,12)="","",INDEX(I.Gas.C1E2,12))</f>
        <v/>
      </c>
      <c r="G1426" s="87"/>
      <c r="H1426" s="28" t="str">
        <f>IF(AND(I.Facility.GasToPower="Yes",I.Gas.Count&gt;=12,F1426=""),"Incomplete","Complete")</f>
        <v>Complete</v>
      </c>
      <c r="I1426" s="46" t="s">
        <v>1562</v>
      </c>
    </row>
    <row r="1427" spans="2:9" ht="14.45" customHeight="1" x14ac:dyDescent="0.25">
      <c r="B1427" s="44" t="s">
        <v>420</v>
      </c>
      <c r="C1427" s="28">
        <v>13</v>
      </c>
      <c r="D1427" s="45" t="s">
        <v>2136</v>
      </c>
      <c r="E1427" s="87"/>
      <c r="F1427" s="87" t="str">
        <f>IF(INDEX(I.Gas.C1E2,13)="","",INDEX(I.Gas.C1E2,13))</f>
        <v/>
      </c>
      <c r="G1427" s="87"/>
      <c r="H1427" s="28" t="str">
        <f>IF(AND(I.Facility.GasToPower="Yes",I.Gas.Count&gt;=13,F1427=""),"Incomplete","Complete")</f>
        <v>Complete</v>
      </c>
      <c r="I1427" s="46" t="s">
        <v>1563</v>
      </c>
    </row>
    <row r="1428" spans="2:9" ht="14.45" customHeight="1" x14ac:dyDescent="0.25">
      <c r="B1428" s="44" t="s">
        <v>420</v>
      </c>
      <c r="C1428" s="28">
        <v>14</v>
      </c>
      <c r="D1428" s="45" t="s">
        <v>2136</v>
      </c>
      <c r="E1428" s="87"/>
      <c r="F1428" s="87" t="str">
        <f>IF(INDEX(I.Gas.C1E2,14)="","",INDEX(I.Gas.C1E2,14))</f>
        <v/>
      </c>
      <c r="G1428" s="87"/>
      <c r="H1428" s="28" t="str">
        <f>IF(AND(I.Facility.GasToPower="Yes",I.Gas.Count&gt;=14,F1428=""),"Incomplete","Complete")</f>
        <v>Complete</v>
      </c>
      <c r="I1428" s="46" t="s">
        <v>1564</v>
      </c>
    </row>
    <row r="1429" spans="2:9" ht="14.45" customHeight="1" x14ac:dyDescent="0.25">
      <c r="B1429" s="44" t="s">
        <v>420</v>
      </c>
      <c r="C1429" s="28">
        <v>15</v>
      </c>
      <c r="D1429" s="45" t="s">
        <v>2136</v>
      </c>
      <c r="E1429" s="87"/>
      <c r="F1429" s="87" t="str">
        <f>IF(INDEX(I.Gas.C1E2,15)="","",INDEX(I.Gas.C1E2,15))</f>
        <v/>
      </c>
      <c r="G1429" s="87"/>
      <c r="H1429" s="28" t="str">
        <f>IF(AND(I.Facility.GasToPower="Yes",I.Gas.Count&gt;=15,F1429=""),"Incomplete","Complete")</f>
        <v>Complete</v>
      </c>
      <c r="I1429" s="46" t="s">
        <v>1565</v>
      </c>
    </row>
    <row r="1430" spans="2:9" ht="14.45" customHeight="1" x14ac:dyDescent="0.25">
      <c r="B1430" s="44" t="s">
        <v>420</v>
      </c>
      <c r="C1430" s="28">
        <v>16</v>
      </c>
      <c r="D1430" s="45" t="s">
        <v>2136</v>
      </c>
      <c r="E1430" s="87"/>
      <c r="F1430" s="87" t="str">
        <f>IF(INDEX(I.Gas.C1E2,16)="","",INDEX(I.Gas.C1E2,16))</f>
        <v/>
      </c>
      <c r="G1430" s="87"/>
      <c r="H1430" s="28" t="str">
        <f>IF(AND(I.Facility.GasToPower="Yes",I.Gas.Count&gt;=16,F1430=""),"Incomplete","Complete")</f>
        <v>Complete</v>
      </c>
      <c r="I1430" s="46" t="s">
        <v>1566</v>
      </c>
    </row>
    <row r="1431" spans="2:9" ht="14.45" customHeight="1" x14ac:dyDescent="0.25">
      <c r="B1431" s="44" t="s">
        <v>420</v>
      </c>
      <c r="C1431" s="28">
        <v>17</v>
      </c>
      <c r="D1431" s="45" t="s">
        <v>2136</v>
      </c>
      <c r="E1431" s="87"/>
      <c r="F1431" s="87" t="str">
        <f>IF(INDEX(I.Gas.C1E2,17)="","",INDEX(I.Gas.C1E2,17))</f>
        <v/>
      </c>
      <c r="G1431" s="87"/>
      <c r="H1431" s="28" t="str">
        <f>IF(AND(I.Facility.GasToPower="Yes",I.Gas.Count&gt;=17,F1431=""),"Incomplete","Complete")</f>
        <v>Complete</v>
      </c>
      <c r="I1431" s="46" t="s">
        <v>1567</v>
      </c>
    </row>
    <row r="1432" spans="2:9" ht="14.45" customHeight="1" x14ac:dyDescent="0.25">
      <c r="B1432" s="44" t="s">
        <v>420</v>
      </c>
      <c r="C1432" s="28">
        <v>18</v>
      </c>
      <c r="D1432" s="45" t="s">
        <v>2136</v>
      </c>
      <c r="E1432" s="87"/>
      <c r="F1432" s="87" t="str">
        <f>IF(INDEX(I.Gas.C1E2,18)="","",INDEX(I.Gas.C1E2,18))</f>
        <v/>
      </c>
      <c r="G1432" s="87"/>
      <c r="H1432" s="28" t="str">
        <f>IF(AND(I.Facility.GasToPower="Yes",I.Gas.Count&gt;=18,F1432=""),"Incomplete","Complete")</f>
        <v>Complete</v>
      </c>
      <c r="I1432" s="46" t="s">
        <v>1568</v>
      </c>
    </row>
    <row r="1433" spans="2:9" ht="14.45" customHeight="1" x14ac:dyDescent="0.25">
      <c r="B1433" s="44" t="s">
        <v>420</v>
      </c>
      <c r="C1433" s="28">
        <v>19</v>
      </c>
      <c r="D1433" s="45" t="s">
        <v>2136</v>
      </c>
      <c r="E1433" s="87"/>
      <c r="F1433" s="87" t="str">
        <f>IF(INDEX(I.Gas.C1E2,19)="","",INDEX(I.Gas.C1E2,19))</f>
        <v/>
      </c>
      <c r="G1433" s="87"/>
      <c r="H1433" s="28" t="str">
        <f>IF(AND(I.Facility.GasToPower="Yes",I.Gas.Count&gt;=19,F1433=""),"Incomplete","Complete")</f>
        <v>Complete</v>
      </c>
      <c r="I1433" s="46" t="s">
        <v>1569</v>
      </c>
    </row>
    <row r="1434" spans="2:9" ht="14.45" customHeight="1" x14ac:dyDescent="0.25">
      <c r="B1434" s="44" t="s">
        <v>420</v>
      </c>
      <c r="C1434" s="28">
        <v>20</v>
      </c>
      <c r="D1434" s="45" t="s">
        <v>2136</v>
      </c>
      <c r="E1434" s="87"/>
      <c r="F1434" s="87" t="str">
        <f>IF(INDEX(I.Gas.C1E2,20)="","",INDEX(I.Gas.C1E2,20))</f>
        <v/>
      </c>
      <c r="G1434" s="87"/>
      <c r="H1434" s="28" t="str">
        <f>IF(AND(I.Facility.GasToPower="Yes",I.Gas.Count&gt;=20,F1434=""),"Incomplete","Complete")</f>
        <v>Complete</v>
      </c>
      <c r="I1434" s="46" t="s">
        <v>1570</v>
      </c>
    </row>
    <row r="1435" spans="2:9" ht="14.45" customHeight="1" x14ac:dyDescent="0.25">
      <c r="B1435" s="44" t="s">
        <v>420</v>
      </c>
      <c r="C1435" s="28">
        <v>21</v>
      </c>
      <c r="D1435" s="45" t="s">
        <v>2136</v>
      </c>
      <c r="E1435" s="87"/>
      <c r="F1435" s="87" t="str">
        <f>IF(INDEX(I.Gas.C1E2,21)="","",INDEX(I.Gas.C1E2,21))</f>
        <v/>
      </c>
      <c r="G1435" s="87"/>
      <c r="H1435" s="28" t="str">
        <f>IF(AND(I.Facility.GasToPower="Yes",I.Gas.Count&gt;=21,F1435=""),"Incomplete","Complete")</f>
        <v>Complete</v>
      </c>
      <c r="I1435" s="46" t="s">
        <v>1571</v>
      </c>
    </row>
    <row r="1436" spans="2:9" ht="14.45" customHeight="1" x14ac:dyDescent="0.25">
      <c r="B1436" s="44" t="s">
        <v>420</v>
      </c>
      <c r="C1436" s="28">
        <v>22</v>
      </c>
      <c r="D1436" s="45" t="s">
        <v>2136</v>
      </c>
      <c r="E1436" s="87"/>
      <c r="F1436" s="87" t="str">
        <f>IF(INDEX(I.Gas.C1E2,22)="","",INDEX(I.Gas.C1E2,22))</f>
        <v/>
      </c>
      <c r="G1436" s="87"/>
      <c r="H1436" s="28" t="str">
        <f>IF(AND(I.Facility.GasToPower="Yes",I.Gas.Count&gt;=22,F1436=""),"Incomplete","Complete")</f>
        <v>Complete</v>
      </c>
      <c r="I1436" s="46" t="s">
        <v>1572</v>
      </c>
    </row>
    <row r="1437" spans="2:9" ht="14.45" customHeight="1" x14ac:dyDescent="0.25">
      <c r="B1437" s="44" t="s">
        <v>420</v>
      </c>
      <c r="C1437" s="28">
        <v>23</v>
      </c>
      <c r="D1437" s="45" t="s">
        <v>2136</v>
      </c>
      <c r="E1437" s="87"/>
      <c r="F1437" s="87" t="str">
        <f>IF(INDEX(I.Gas.C1E2,23)="","",INDEX(I.Gas.C1E2,23))</f>
        <v/>
      </c>
      <c r="G1437" s="87"/>
      <c r="H1437" s="28" t="str">
        <f>IF(AND(I.Facility.GasToPower="Yes",I.Gas.Count&gt;=23,F1437=""),"Incomplete","Complete")</f>
        <v>Complete</v>
      </c>
      <c r="I1437" s="46" t="s">
        <v>1573</v>
      </c>
    </row>
    <row r="1438" spans="2:9" ht="14.45" customHeight="1" x14ac:dyDescent="0.25">
      <c r="B1438" s="44" t="s">
        <v>420</v>
      </c>
      <c r="C1438" s="28">
        <v>24</v>
      </c>
      <c r="D1438" s="45" t="s">
        <v>2136</v>
      </c>
      <c r="E1438" s="87"/>
      <c r="F1438" s="87" t="str">
        <f>IF(INDEX(I.Gas.C1E2,24)="","",INDEX(I.Gas.C1E2,24))</f>
        <v/>
      </c>
      <c r="G1438" s="87"/>
      <c r="H1438" s="28" t="str">
        <f>IF(AND(I.Facility.GasToPower="Yes",I.Gas.Count&gt;=24,F1438=""),"Incomplete","Complete")</f>
        <v>Complete</v>
      </c>
      <c r="I1438" s="46" t="s">
        <v>1574</v>
      </c>
    </row>
    <row r="1439" spans="2:9" ht="14.45" customHeight="1" x14ac:dyDescent="0.25">
      <c r="B1439" s="44" t="s">
        <v>420</v>
      </c>
      <c r="C1439" s="28">
        <v>25</v>
      </c>
      <c r="D1439" s="45" t="s">
        <v>2136</v>
      </c>
      <c r="E1439" s="87"/>
      <c r="F1439" s="87" t="str">
        <f>IF(INDEX(I.Gas.C1E2,25)="","",INDEX(I.Gas.C1E2,25))</f>
        <v/>
      </c>
      <c r="G1439" s="87"/>
      <c r="H1439" s="28" t="str">
        <f>IF(AND(I.Facility.GasToPower="Yes",I.Gas.Count&gt;=25,F1439=""),"Incomplete","Complete")</f>
        <v>Complete</v>
      </c>
      <c r="I1439" s="46" t="s">
        <v>1575</v>
      </c>
    </row>
    <row r="1440" spans="2:9" ht="14.45" customHeight="1" x14ac:dyDescent="0.25">
      <c r="B1440" s="44" t="s">
        <v>420</v>
      </c>
      <c r="C1440" s="28">
        <v>26</v>
      </c>
      <c r="D1440" s="45" t="s">
        <v>2136</v>
      </c>
      <c r="E1440" s="87"/>
      <c r="F1440" s="87" t="str">
        <f>IF(INDEX(I.Gas.C1E2,26)="","",INDEX(I.Gas.C1E2,26))</f>
        <v/>
      </c>
      <c r="G1440" s="87"/>
      <c r="H1440" s="28" t="str">
        <f>IF(AND(I.Facility.GasToPower="Yes",I.Gas.Count&gt;=26,F1440=""),"Incomplete","Complete")</f>
        <v>Complete</v>
      </c>
      <c r="I1440" s="46" t="s">
        <v>1576</v>
      </c>
    </row>
    <row r="1441" spans="2:9" ht="14.45" customHeight="1" x14ac:dyDescent="0.25">
      <c r="B1441" s="44" t="s">
        <v>420</v>
      </c>
      <c r="C1441" s="28">
        <v>27</v>
      </c>
      <c r="D1441" s="45" t="s">
        <v>2136</v>
      </c>
      <c r="E1441" s="87"/>
      <c r="F1441" s="87" t="str">
        <f>IF(INDEX(I.Gas.C1E2,27)="","",INDEX(I.Gas.C1E2,27))</f>
        <v/>
      </c>
      <c r="G1441" s="87"/>
      <c r="H1441" s="28" t="str">
        <f>IF(AND(I.Facility.GasToPower="Yes",I.Gas.Count&gt;=27,F1441=""),"Incomplete","Complete")</f>
        <v>Complete</v>
      </c>
      <c r="I1441" s="46" t="s">
        <v>1577</v>
      </c>
    </row>
    <row r="1442" spans="2:9" ht="14.45" customHeight="1" x14ac:dyDescent="0.25">
      <c r="B1442" s="44" t="s">
        <v>420</v>
      </c>
      <c r="C1442" s="28">
        <v>28</v>
      </c>
      <c r="D1442" s="45" t="s">
        <v>2136</v>
      </c>
      <c r="E1442" s="87"/>
      <c r="F1442" s="87" t="str">
        <f>IF(INDEX(I.Gas.C1E2,28)="","",INDEX(I.Gas.C1E2,28))</f>
        <v/>
      </c>
      <c r="G1442" s="87"/>
      <c r="H1442" s="28" t="str">
        <f>IF(AND(I.Facility.GasToPower="Yes",I.Gas.Count&gt;=28,F1442=""),"Incomplete","Complete")</f>
        <v>Complete</v>
      </c>
      <c r="I1442" s="46" t="s">
        <v>1578</v>
      </c>
    </row>
    <row r="1443" spans="2:9" ht="14.45" customHeight="1" x14ac:dyDescent="0.25">
      <c r="B1443" s="44" t="s">
        <v>420</v>
      </c>
      <c r="C1443" s="28">
        <v>29</v>
      </c>
      <c r="D1443" s="45" t="s">
        <v>2136</v>
      </c>
      <c r="E1443" s="87"/>
      <c r="F1443" s="87" t="str">
        <f>IF(INDEX(I.Gas.C1E2,29)="","",INDEX(I.Gas.C1E2,29))</f>
        <v/>
      </c>
      <c r="G1443" s="87"/>
      <c r="H1443" s="28" t="str">
        <f>IF(AND(I.Facility.GasToPower="Yes",I.Gas.Count&gt;=29,F1443=""),"Incomplete","Complete")</f>
        <v>Complete</v>
      </c>
      <c r="I1443" s="46" t="s">
        <v>1579</v>
      </c>
    </row>
    <row r="1444" spans="2:9" ht="14.45" customHeight="1" x14ac:dyDescent="0.25">
      <c r="B1444" s="44" t="s">
        <v>420</v>
      </c>
      <c r="C1444" s="28">
        <v>30</v>
      </c>
      <c r="D1444" s="45" t="s">
        <v>2136</v>
      </c>
      <c r="E1444" s="87"/>
      <c r="F1444" s="87" t="str">
        <f>IF(INDEX(I.Gas.C1E2,30)="","",INDEX(I.Gas.C1E2,30))</f>
        <v/>
      </c>
      <c r="G1444" s="87"/>
      <c r="H1444" s="28" t="str">
        <f>IF(AND(I.Facility.GasToPower="Yes",I.Gas.Count&gt;=30,F1444=""),"Incomplete","Complete")</f>
        <v>Complete</v>
      </c>
      <c r="I1444" s="46" t="s">
        <v>1580</v>
      </c>
    </row>
    <row r="1445" spans="2:9" ht="14.45" customHeight="1" x14ac:dyDescent="0.25">
      <c r="B1445" s="44" t="s">
        <v>420</v>
      </c>
      <c r="C1445" s="28">
        <v>31</v>
      </c>
      <c r="D1445" s="45" t="s">
        <v>2136</v>
      </c>
      <c r="E1445" s="87"/>
      <c r="F1445" s="87" t="str">
        <f>IF(INDEX(I.Gas.C1E2,31)="","",INDEX(I.Gas.C1E2,31))</f>
        <v/>
      </c>
      <c r="G1445" s="87"/>
      <c r="H1445" s="28" t="str">
        <f>IF(AND(I.Facility.GasToPower="Yes",I.Gas.Count&gt;=31,F1445=""),"Incomplete","Complete")</f>
        <v>Complete</v>
      </c>
      <c r="I1445" s="46" t="s">
        <v>1581</v>
      </c>
    </row>
    <row r="1446" spans="2:9" ht="14.45" customHeight="1" x14ac:dyDescent="0.25">
      <c r="B1446" s="44" t="s">
        <v>420</v>
      </c>
      <c r="C1446" s="28">
        <v>32</v>
      </c>
      <c r="D1446" s="45" t="s">
        <v>2136</v>
      </c>
      <c r="E1446" s="87"/>
      <c r="F1446" s="87" t="str">
        <f>IF(INDEX(I.Gas.C1E2,32)="","",INDEX(I.Gas.C1E2,32))</f>
        <v/>
      </c>
      <c r="G1446" s="87"/>
      <c r="H1446" s="28" t="str">
        <f>IF(AND(I.Facility.GasToPower="Yes",I.Gas.Count&gt;=32,F1446=""),"Incomplete","Complete")</f>
        <v>Complete</v>
      </c>
      <c r="I1446" s="46" t="s">
        <v>1582</v>
      </c>
    </row>
    <row r="1447" spans="2:9" ht="14.45" customHeight="1" x14ac:dyDescent="0.25">
      <c r="B1447" s="44" t="s">
        <v>420</v>
      </c>
      <c r="C1447" s="28">
        <v>33</v>
      </c>
      <c r="D1447" s="45" t="s">
        <v>2136</v>
      </c>
      <c r="E1447" s="87"/>
      <c r="F1447" s="87" t="str">
        <f>IF(INDEX(I.Gas.C1E2,33)="","",INDEX(I.Gas.C1E2,33))</f>
        <v/>
      </c>
      <c r="G1447" s="87"/>
      <c r="H1447" s="28" t="str">
        <f>IF(AND(I.Facility.GasToPower="Yes",I.Gas.Count&gt;=33,F1447=""),"Incomplete","Complete")</f>
        <v>Complete</v>
      </c>
      <c r="I1447" s="46" t="s">
        <v>1583</v>
      </c>
    </row>
    <row r="1448" spans="2:9" ht="14.45" customHeight="1" x14ac:dyDescent="0.25">
      <c r="B1448" s="44" t="s">
        <v>420</v>
      </c>
      <c r="C1448" s="28">
        <v>34</v>
      </c>
      <c r="D1448" s="45" t="s">
        <v>2136</v>
      </c>
      <c r="E1448" s="87"/>
      <c r="F1448" s="87" t="str">
        <f>IF(INDEX(I.Gas.C1E2,34)="","",INDEX(I.Gas.C1E2,34))</f>
        <v/>
      </c>
      <c r="G1448" s="87"/>
      <c r="H1448" s="28" t="str">
        <f>IF(AND(I.Facility.GasToPower="Yes",I.Gas.Count&gt;=34,F1448=""),"Incomplete","Complete")</f>
        <v>Complete</v>
      </c>
      <c r="I1448" s="46" t="s">
        <v>1584</v>
      </c>
    </row>
    <row r="1449" spans="2:9" ht="14.45" customHeight="1" x14ac:dyDescent="0.25">
      <c r="B1449" s="44" t="s">
        <v>420</v>
      </c>
      <c r="C1449" s="28">
        <v>35</v>
      </c>
      <c r="D1449" s="45" t="s">
        <v>2136</v>
      </c>
      <c r="E1449" s="87"/>
      <c r="F1449" s="87" t="str">
        <f>IF(INDEX(I.Gas.C1E2,35)="","",INDEX(I.Gas.C1E2,35))</f>
        <v/>
      </c>
      <c r="G1449" s="87"/>
      <c r="H1449" s="28" t="str">
        <f>IF(AND(I.Facility.GasToPower="Yes",I.Gas.Count&gt;=35,F1449=""),"Incomplete","Complete")</f>
        <v>Complete</v>
      </c>
      <c r="I1449" s="46" t="s">
        <v>1585</v>
      </c>
    </row>
    <row r="1450" spans="2:9" ht="14.45" customHeight="1" x14ac:dyDescent="0.25">
      <c r="B1450" s="44" t="s">
        <v>420</v>
      </c>
      <c r="C1450" s="28">
        <v>36</v>
      </c>
      <c r="D1450" s="45" t="s">
        <v>2136</v>
      </c>
      <c r="E1450" s="87"/>
      <c r="F1450" s="87" t="str">
        <f>IF(INDEX(I.Gas.C1E2,36)="","",INDEX(I.Gas.C1E2,36))</f>
        <v/>
      </c>
      <c r="G1450" s="87"/>
      <c r="H1450" s="28" t="str">
        <f>IF(AND(I.Facility.GasToPower="Yes",I.Gas.Count&gt;=36,F1450=""),"Incomplete","Complete")</f>
        <v>Complete</v>
      </c>
      <c r="I1450" s="46" t="s">
        <v>1586</v>
      </c>
    </row>
    <row r="1451" spans="2:9" ht="14.45" customHeight="1" x14ac:dyDescent="0.25">
      <c r="B1451" s="44" t="s">
        <v>420</v>
      </c>
      <c r="C1451" s="28">
        <v>37</v>
      </c>
      <c r="D1451" s="45" t="s">
        <v>2136</v>
      </c>
      <c r="E1451" s="87"/>
      <c r="F1451" s="87" t="str">
        <f>IF(INDEX(I.Gas.C1E2,37)="","",INDEX(I.Gas.C1E2,37))</f>
        <v/>
      </c>
      <c r="G1451" s="87"/>
      <c r="H1451" s="28" t="str">
        <f>IF(AND(I.Facility.GasToPower="Yes",I.Gas.Count&gt;=37,F1451=""),"Incomplete","Complete")</f>
        <v>Complete</v>
      </c>
      <c r="I1451" s="46" t="s">
        <v>1587</v>
      </c>
    </row>
    <row r="1452" spans="2:9" ht="14.45" customHeight="1" x14ac:dyDescent="0.25">
      <c r="B1452" s="44" t="s">
        <v>420</v>
      </c>
      <c r="C1452" s="28">
        <v>38</v>
      </c>
      <c r="D1452" s="45" t="s">
        <v>2136</v>
      </c>
      <c r="E1452" s="87"/>
      <c r="F1452" s="87" t="str">
        <f>IF(INDEX(I.Gas.C1E2,38)="","",INDEX(I.Gas.C1E2,38))</f>
        <v/>
      </c>
      <c r="G1452" s="87"/>
      <c r="H1452" s="28" t="str">
        <f>IF(AND(I.Facility.GasToPower="Yes",I.Gas.Count&gt;=38,F1452=""),"Incomplete","Complete")</f>
        <v>Complete</v>
      </c>
      <c r="I1452" s="46" t="s">
        <v>1588</v>
      </c>
    </row>
    <row r="1453" spans="2:9" ht="14.45" customHeight="1" x14ac:dyDescent="0.25">
      <c r="B1453" s="44" t="s">
        <v>420</v>
      </c>
      <c r="C1453" s="28">
        <v>39</v>
      </c>
      <c r="D1453" s="45" t="s">
        <v>2136</v>
      </c>
      <c r="E1453" s="87"/>
      <c r="F1453" s="87" t="str">
        <f>IF(INDEX(I.Gas.C1E2,39)="","",INDEX(I.Gas.C1E2,39))</f>
        <v/>
      </c>
      <c r="G1453" s="87"/>
      <c r="H1453" s="28" t="str">
        <f>IF(AND(I.Facility.GasToPower="Yes",I.Gas.Count&gt;=39,F1453=""),"Incomplete","Complete")</f>
        <v>Complete</v>
      </c>
      <c r="I1453" s="46" t="s">
        <v>1589</v>
      </c>
    </row>
    <row r="1454" spans="2:9" ht="14.45" customHeight="1" x14ac:dyDescent="0.25">
      <c r="B1454" s="44" t="s">
        <v>420</v>
      </c>
      <c r="C1454" s="28">
        <v>40</v>
      </c>
      <c r="D1454" s="45" t="s">
        <v>2136</v>
      </c>
      <c r="E1454" s="87"/>
      <c r="F1454" s="87" t="str">
        <f>IF(INDEX(I.Gas.C1E2,40)="","",INDEX(I.Gas.C1E2,40))</f>
        <v/>
      </c>
      <c r="G1454" s="87"/>
      <c r="H1454" s="28" t="str">
        <f>IF(AND(I.Facility.GasToPower="Yes",I.Gas.Count&gt;=40,F1454=""),"Incomplete","Complete")</f>
        <v>Complete</v>
      </c>
      <c r="I1454" s="46" t="s">
        <v>1590</v>
      </c>
    </row>
    <row r="1455" spans="2:9" ht="14.45" customHeight="1" x14ac:dyDescent="0.25">
      <c r="B1455" s="44" t="s">
        <v>420</v>
      </c>
      <c r="C1455" s="28">
        <v>41</v>
      </c>
      <c r="D1455" s="45" t="s">
        <v>2136</v>
      </c>
      <c r="E1455" s="87"/>
      <c r="F1455" s="87" t="str">
        <f>IF(INDEX(I.Gas.C1E2,41)="","",INDEX(I.Gas.C1E2,41))</f>
        <v/>
      </c>
      <c r="G1455" s="87"/>
      <c r="H1455" s="28" t="str">
        <f>IF(AND(I.Facility.GasToPower="Yes",I.Gas.Count&gt;=41,F1455=""),"Incomplete","Complete")</f>
        <v>Complete</v>
      </c>
      <c r="I1455" s="46" t="s">
        <v>1591</v>
      </c>
    </row>
    <row r="1456" spans="2:9" ht="14.45" customHeight="1" x14ac:dyDescent="0.25">
      <c r="B1456" s="44" t="s">
        <v>420</v>
      </c>
      <c r="C1456" s="28">
        <v>42</v>
      </c>
      <c r="D1456" s="45" t="s">
        <v>2136</v>
      </c>
      <c r="E1456" s="87"/>
      <c r="F1456" s="87" t="str">
        <f>IF(INDEX(I.Gas.C1E2,42)="","",INDEX(I.Gas.C1E2,42))</f>
        <v/>
      </c>
      <c r="G1456" s="87"/>
      <c r="H1456" s="28" t="str">
        <f>IF(AND(I.Facility.GasToPower="Yes",I.Gas.Count&gt;=42,F1456=""),"Incomplete","Complete")</f>
        <v>Complete</v>
      </c>
      <c r="I1456" s="46" t="s">
        <v>1592</v>
      </c>
    </row>
    <row r="1457" spans="2:9" ht="14.45" customHeight="1" x14ac:dyDescent="0.25">
      <c r="B1457" s="44" t="s">
        <v>420</v>
      </c>
      <c r="C1457" s="28">
        <v>43</v>
      </c>
      <c r="D1457" s="45" t="s">
        <v>2136</v>
      </c>
      <c r="E1457" s="87"/>
      <c r="F1457" s="87" t="str">
        <f>IF(INDEX(I.Gas.C1E2,43)="","",INDEX(I.Gas.C1E2,43))</f>
        <v/>
      </c>
      <c r="G1457" s="87"/>
      <c r="H1457" s="28" t="str">
        <f>IF(AND(I.Facility.GasToPower="Yes",I.Gas.Count&gt;=43,F1457=""),"Incomplete","Complete")</f>
        <v>Complete</v>
      </c>
      <c r="I1457" s="46" t="s">
        <v>1593</v>
      </c>
    </row>
    <row r="1458" spans="2:9" ht="14.45" customHeight="1" x14ac:dyDescent="0.25">
      <c r="B1458" s="44" t="s">
        <v>420</v>
      </c>
      <c r="C1458" s="28">
        <v>44</v>
      </c>
      <c r="D1458" s="45" t="s">
        <v>2136</v>
      </c>
      <c r="E1458" s="87"/>
      <c r="F1458" s="87" t="str">
        <f>IF(INDEX(I.Gas.C1E2,44)="","",INDEX(I.Gas.C1E2,44))</f>
        <v/>
      </c>
      <c r="G1458" s="87"/>
      <c r="H1458" s="28" t="str">
        <f>IF(AND(I.Facility.GasToPower="Yes",I.Gas.Count&gt;=44,F1458=""),"Incomplete","Complete")</f>
        <v>Complete</v>
      </c>
      <c r="I1458" s="46" t="s">
        <v>1594</v>
      </c>
    </row>
    <row r="1459" spans="2:9" ht="14.45" customHeight="1" x14ac:dyDescent="0.25">
      <c r="B1459" s="44" t="s">
        <v>420</v>
      </c>
      <c r="C1459" s="28">
        <v>45</v>
      </c>
      <c r="D1459" s="45" t="s">
        <v>2136</v>
      </c>
      <c r="E1459" s="87"/>
      <c r="F1459" s="87" t="str">
        <f>IF(INDEX(I.Gas.C1E2,45)="","",INDEX(I.Gas.C1E2,45))</f>
        <v/>
      </c>
      <c r="G1459" s="87"/>
      <c r="H1459" s="28" t="str">
        <f>IF(AND(I.Facility.GasToPower="Yes",I.Gas.Count&gt;=45,F1459=""),"Incomplete","Complete")</f>
        <v>Complete</v>
      </c>
      <c r="I1459" s="46" t="s">
        <v>1595</v>
      </c>
    </row>
    <row r="1460" spans="2:9" ht="14.45" customHeight="1" x14ac:dyDescent="0.25">
      <c r="B1460" s="44" t="s">
        <v>420</v>
      </c>
      <c r="C1460" s="28">
        <v>46</v>
      </c>
      <c r="D1460" s="45" t="s">
        <v>2136</v>
      </c>
      <c r="E1460" s="87"/>
      <c r="F1460" s="87" t="str">
        <f>IF(INDEX(I.Gas.C1E2,46)="","",INDEX(I.Gas.C1E2,46))</f>
        <v/>
      </c>
      <c r="G1460" s="87"/>
      <c r="H1460" s="28" t="str">
        <f>IF(AND(I.Facility.GasToPower="Yes",I.Gas.Count&gt;=46,F1460=""),"Incomplete","Complete")</f>
        <v>Complete</v>
      </c>
      <c r="I1460" s="46" t="s">
        <v>1596</v>
      </c>
    </row>
    <row r="1461" spans="2:9" ht="14.45" customHeight="1" x14ac:dyDescent="0.25">
      <c r="B1461" s="44" t="s">
        <v>420</v>
      </c>
      <c r="C1461" s="28">
        <v>47</v>
      </c>
      <c r="D1461" s="45" t="s">
        <v>2136</v>
      </c>
      <c r="E1461" s="87"/>
      <c r="F1461" s="87" t="str">
        <f>IF(INDEX(I.Gas.C1E2,47)="","",INDEX(I.Gas.C1E2,47))</f>
        <v/>
      </c>
      <c r="G1461" s="87"/>
      <c r="H1461" s="28" t="str">
        <f>IF(AND(I.Facility.GasToPower="Yes",I.Gas.Count&gt;=47,F1461=""),"Incomplete","Complete")</f>
        <v>Complete</v>
      </c>
      <c r="I1461" s="46" t="s">
        <v>1597</v>
      </c>
    </row>
    <row r="1462" spans="2:9" ht="14.45" customHeight="1" x14ac:dyDescent="0.25">
      <c r="B1462" s="44" t="s">
        <v>420</v>
      </c>
      <c r="C1462" s="28">
        <v>48</v>
      </c>
      <c r="D1462" s="45" t="s">
        <v>2136</v>
      </c>
      <c r="E1462" s="87"/>
      <c r="F1462" s="87" t="str">
        <f>IF(INDEX(I.Gas.C1E2,48)="","",INDEX(I.Gas.C1E2,48))</f>
        <v/>
      </c>
      <c r="G1462" s="87"/>
      <c r="H1462" s="28" t="str">
        <f>IF(AND(I.Facility.GasToPower="Yes",I.Gas.Count&gt;=48,F1462=""),"Incomplete","Complete")</f>
        <v>Complete</v>
      </c>
      <c r="I1462" s="46" t="s">
        <v>1598</v>
      </c>
    </row>
    <row r="1463" spans="2:9" ht="14.45" customHeight="1" x14ac:dyDescent="0.25">
      <c r="B1463" s="44" t="s">
        <v>420</v>
      </c>
      <c r="C1463" s="28">
        <v>49</v>
      </c>
      <c r="D1463" s="45" t="s">
        <v>2136</v>
      </c>
      <c r="E1463" s="87"/>
      <c r="F1463" s="87" t="str">
        <f>IF(INDEX(I.Gas.C1E2,49)="","",INDEX(I.Gas.C1E2,49))</f>
        <v/>
      </c>
      <c r="G1463" s="87"/>
      <c r="H1463" s="28" t="str">
        <f>IF(AND(I.Facility.GasToPower="Yes",I.Gas.Count&gt;=49,F1463=""),"Incomplete","Complete")</f>
        <v>Complete</v>
      </c>
      <c r="I1463" s="46" t="s">
        <v>1599</v>
      </c>
    </row>
    <row r="1464" spans="2:9" ht="14.45" customHeight="1" x14ac:dyDescent="0.25">
      <c r="B1464" s="53" t="s">
        <v>420</v>
      </c>
      <c r="C1464" s="66">
        <v>50</v>
      </c>
      <c r="D1464" s="54" t="s">
        <v>2136</v>
      </c>
      <c r="E1464" s="88"/>
      <c r="F1464" s="88" t="str">
        <f>IF(INDEX(I.Gas.C1E2,50)="","",INDEX(I.Gas.C1E2,50))</f>
        <v/>
      </c>
      <c r="G1464" s="88"/>
      <c r="H1464" s="66" t="str">
        <f>IF(AND(I.Facility.GasToPower="Yes",I.Gas.Count&gt;=50,F1464=""),"Incomplete","Complete")</f>
        <v>Complete</v>
      </c>
      <c r="I1464" s="68" t="s">
        <v>1600</v>
      </c>
    </row>
    <row r="1465" spans="2:9" ht="14.45" customHeight="1" x14ac:dyDescent="0.25">
      <c r="B1465" s="44" t="s">
        <v>421</v>
      </c>
      <c r="C1465" s="28">
        <v>1</v>
      </c>
      <c r="D1465" s="45" t="s">
        <v>2137</v>
      </c>
      <c r="E1465" s="87"/>
      <c r="F1465" s="87" t="str">
        <f>IF(INDEX(I.Gas.C1E3,1)="","",INDEX(I.Gas.C1E3,1))</f>
        <v/>
      </c>
      <c r="G1465" s="87"/>
      <c r="H1465" s="28" t="str">
        <f>IF(AND(I.Facility.GasToPower="Yes",I.Gas.Count&gt;=1,F1465=""),"Incomplete","Complete")</f>
        <v>Complete</v>
      </c>
      <c r="I1465" s="46" t="s">
        <v>1601</v>
      </c>
    </row>
    <row r="1466" spans="2:9" ht="14.45" customHeight="1" x14ac:dyDescent="0.25">
      <c r="B1466" s="44" t="s">
        <v>421</v>
      </c>
      <c r="C1466" s="28">
        <v>2</v>
      </c>
      <c r="D1466" s="45" t="s">
        <v>2137</v>
      </c>
      <c r="E1466" s="87"/>
      <c r="F1466" s="87" t="str">
        <f>IF(INDEX(I.Gas.C1E3,2)="","",INDEX(I.Gas.C1E3,2))</f>
        <v/>
      </c>
      <c r="G1466" s="87"/>
      <c r="H1466" s="28" t="str">
        <f>IF(AND(I.Facility.GasToPower="Yes",I.Gas.Count&gt;=2,F1466=""),"Incomplete","Complete")</f>
        <v>Complete</v>
      </c>
      <c r="I1466" s="46" t="s">
        <v>1602</v>
      </c>
    </row>
    <row r="1467" spans="2:9" ht="14.45" customHeight="1" x14ac:dyDescent="0.25">
      <c r="B1467" s="44" t="s">
        <v>421</v>
      </c>
      <c r="C1467" s="28">
        <v>3</v>
      </c>
      <c r="D1467" s="45" t="s">
        <v>2137</v>
      </c>
      <c r="E1467" s="87"/>
      <c r="F1467" s="87" t="str">
        <f>IF(INDEX(I.Gas.C1E3,3)="","",INDEX(I.Gas.C1E3,3))</f>
        <v/>
      </c>
      <c r="G1467" s="87"/>
      <c r="H1467" s="28" t="str">
        <f>IF(AND(I.Facility.GasToPower="Yes",I.Gas.Count&gt;=3,F1467=""),"Incomplete","Complete")</f>
        <v>Complete</v>
      </c>
      <c r="I1467" s="46" t="s">
        <v>1603</v>
      </c>
    </row>
    <row r="1468" spans="2:9" ht="14.45" customHeight="1" x14ac:dyDescent="0.25">
      <c r="B1468" s="44" t="s">
        <v>421</v>
      </c>
      <c r="C1468" s="28">
        <v>4</v>
      </c>
      <c r="D1468" s="45" t="s">
        <v>2137</v>
      </c>
      <c r="E1468" s="87"/>
      <c r="F1468" s="87" t="str">
        <f>IF(INDEX(I.Gas.C1E3,4)="","",INDEX(I.Gas.C1E3,4))</f>
        <v/>
      </c>
      <c r="G1468" s="87"/>
      <c r="H1468" s="28" t="str">
        <f>IF(AND(I.Facility.GasToPower="Yes",I.Gas.Count&gt;=4,F1468=""),"Incomplete","Complete")</f>
        <v>Complete</v>
      </c>
      <c r="I1468" s="46" t="s">
        <v>1604</v>
      </c>
    </row>
    <row r="1469" spans="2:9" ht="14.45" customHeight="1" x14ac:dyDescent="0.25">
      <c r="B1469" s="44" t="s">
        <v>421</v>
      </c>
      <c r="C1469" s="28">
        <v>5</v>
      </c>
      <c r="D1469" s="45" t="s">
        <v>2137</v>
      </c>
      <c r="E1469" s="87"/>
      <c r="F1469" s="87" t="str">
        <f>IF(INDEX(I.Gas.C1E3,5)="","",INDEX(I.Gas.C1E3,5))</f>
        <v/>
      </c>
      <c r="G1469" s="87"/>
      <c r="H1469" s="28" t="str">
        <f>IF(AND(I.Facility.GasToPower="Yes",I.Gas.Count&gt;=5,F1469=""),"Incomplete","Complete")</f>
        <v>Complete</v>
      </c>
      <c r="I1469" s="46" t="s">
        <v>1605</v>
      </c>
    </row>
    <row r="1470" spans="2:9" ht="14.45" customHeight="1" x14ac:dyDescent="0.25">
      <c r="B1470" s="44" t="s">
        <v>421</v>
      </c>
      <c r="C1470" s="28">
        <v>6</v>
      </c>
      <c r="D1470" s="45" t="s">
        <v>2137</v>
      </c>
      <c r="E1470" s="87"/>
      <c r="F1470" s="87" t="str">
        <f>IF(INDEX(I.Gas.C1E3,6)="","",INDEX(I.Gas.C1E3,6))</f>
        <v/>
      </c>
      <c r="G1470" s="87"/>
      <c r="H1470" s="28" t="str">
        <f>IF(AND(I.Facility.GasToPower="Yes",I.Gas.Count&gt;=6,F1470=""),"Incomplete","Complete")</f>
        <v>Complete</v>
      </c>
      <c r="I1470" s="46" t="s">
        <v>1606</v>
      </c>
    </row>
    <row r="1471" spans="2:9" ht="14.45" customHeight="1" x14ac:dyDescent="0.25">
      <c r="B1471" s="44" t="s">
        <v>421</v>
      </c>
      <c r="C1471" s="28">
        <v>7</v>
      </c>
      <c r="D1471" s="45" t="s">
        <v>2137</v>
      </c>
      <c r="E1471" s="87"/>
      <c r="F1471" s="87" t="str">
        <f>IF(INDEX(I.Gas.C1E3,7)="","",INDEX(I.Gas.C1E3,7))</f>
        <v/>
      </c>
      <c r="G1471" s="87"/>
      <c r="H1471" s="28" t="str">
        <f>IF(AND(I.Facility.GasToPower="Yes",I.Gas.Count&gt;=7,F1471=""),"Incomplete","Complete")</f>
        <v>Complete</v>
      </c>
      <c r="I1471" s="46" t="s">
        <v>1607</v>
      </c>
    </row>
    <row r="1472" spans="2:9" ht="14.45" customHeight="1" x14ac:dyDescent="0.25">
      <c r="B1472" s="44" t="s">
        <v>421</v>
      </c>
      <c r="C1472" s="28">
        <v>8</v>
      </c>
      <c r="D1472" s="45" t="s">
        <v>2137</v>
      </c>
      <c r="E1472" s="87"/>
      <c r="F1472" s="87" t="str">
        <f>IF(INDEX(I.Gas.C1E3,8)="","",INDEX(I.Gas.C1E3,8))</f>
        <v/>
      </c>
      <c r="G1472" s="87"/>
      <c r="H1472" s="28" t="str">
        <f>IF(AND(I.Facility.GasToPower="Yes",I.Gas.Count&gt;=8,F1472=""),"Incomplete","Complete")</f>
        <v>Complete</v>
      </c>
      <c r="I1472" s="46" t="s">
        <v>1608</v>
      </c>
    </row>
    <row r="1473" spans="2:9" ht="14.45" customHeight="1" x14ac:dyDescent="0.25">
      <c r="B1473" s="44" t="s">
        <v>421</v>
      </c>
      <c r="C1473" s="28">
        <v>9</v>
      </c>
      <c r="D1473" s="45" t="s">
        <v>2137</v>
      </c>
      <c r="E1473" s="87"/>
      <c r="F1473" s="87" t="str">
        <f>IF(INDEX(I.Gas.C1E3,9)="","",INDEX(I.Gas.C1E3,9))</f>
        <v/>
      </c>
      <c r="G1473" s="87"/>
      <c r="H1473" s="28" t="str">
        <f>IF(AND(I.Facility.GasToPower="Yes",I.Gas.Count&gt;=9,F1473=""),"Incomplete","Complete")</f>
        <v>Complete</v>
      </c>
      <c r="I1473" s="46" t="s">
        <v>1609</v>
      </c>
    </row>
    <row r="1474" spans="2:9" ht="14.45" customHeight="1" x14ac:dyDescent="0.25">
      <c r="B1474" s="44" t="s">
        <v>421</v>
      </c>
      <c r="C1474" s="28">
        <v>10</v>
      </c>
      <c r="D1474" s="45" t="s">
        <v>2137</v>
      </c>
      <c r="E1474" s="87"/>
      <c r="F1474" s="87" t="str">
        <f>IF(INDEX(I.Gas.C1E3,10)="","",INDEX(I.Gas.C1E3,10))</f>
        <v/>
      </c>
      <c r="G1474" s="87"/>
      <c r="H1474" s="28" t="str">
        <f>IF(AND(I.Facility.GasToPower="Yes",I.Gas.Count&gt;=10,F1474=""),"Incomplete","Complete")</f>
        <v>Complete</v>
      </c>
      <c r="I1474" s="46" t="s">
        <v>1610</v>
      </c>
    </row>
    <row r="1475" spans="2:9" ht="14.45" customHeight="1" x14ac:dyDescent="0.25">
      <c r="B1475" s="44" t="s">
        <v>421</v>
      </c>
      <c r="C1475" s="28">
        <v>11</v>
      </c>
      <c r="D1475" s="45" t="s">
        <v>2137</v>
      </c>
      <c r="E1475" s="87"/>
      <c r="F1475" s="87" t="str">
        <f>IF(INDEX(I.Gas.C1E3,11)="","",INDEX(I.Gas.C1E3,11))</f>
        <v/>
      </c>
      <c r="G1475" s="87"/>
      <c r="H1475" s="28" t="str">
        <f>IF(AND(I.Facility.GasToPower="Yes",I.Gas.Count&gt;=11,F1475=""),"Incomplete","Complete")</f>
        <v>Complete</v>
      </c>
      <c r="I1475" s="46" t="s">
        <v>1611</v>
      </c>
    </row>
    <row r="1476" spans="2:9" ht="14.45" customHeight="1" x14ac:dyDescent="0.25">
      <c r="B1476" s="44" t="s">
        <v>421</v>
      </c>
      <c r="C1476" s="28">
        <v>12</v>
      </c>
      <c r="D1476" s="45" t="s">
        <v>2137</v>
      </c>
      <c r="E1476" s="87"/>
      <c r="F1476" s="87" t="str">
        <f>IF(INDEX(I.Gas.C1E3,12)="","",INDEX(I.Gas.C1E3,12))</f>
        <v/>
      </c>
      <c r="G1476" s="87"/>
      <c r="H1476" s="28" t="str">
        <f>IF(AND(I.Facility.GasToPower="Yes",I.Gas.Count&gt;=12,F1476=""),"Incomplete","Complete")</f>
        <v>Complete</v>
      </c>
      <c r="I1476" s="46" t="s">
        <v>1612</v>
      </c>
    </row>
    <row r="1477" spans="2:9" ht="14.45" customHeight="1" x14ac:dyDescent="0.25">
      <c r="B1477" s="44" t="s">
        <v>421</v>
      </c>
      <c r="C1477" s="28">
        <v>13</v>
      </c>
      <c r="D1477" s="45" t="s">
        <v>2137</v>
      </c>
      <c r="E1477" s="87"/>
      <c r="F1477" s="87" t="str">
        <f>IF(INDEX(I.Gas.C1E3,13)="","",INDEX(I.Gas.C1E3,13))</f>
        <v/>
      </c>
      <c r="G1477" s="87"/>
      <c r="H1477" s="28" t="str">
        <f>IF(AND(I.Facility.GasToPower="Yes",I.Gas.Count&gt;=13,F1477=""),"Incomplete","Complete")</f>
        <v>Complete</v>
      </c>
      <c r="I1477" s="46" t="s">
        <v>1613</v>
      </c>
    </row>
    <row r="1478" spans="2:9" ht="14.45" customHeight="1" x14ac:dyDescent="0.25">
      <c r="B1478" s="44" t="s">
        <v>421</v>
      </c>
      <c r="C1478" s="28">
        <v>14</v>
      </c>
      <c r="D1478" s="45" t="s">
        <v>2137</v>
      </c>
      <c r="E1478" s="87"/>
      <c r="F1478" s="87" t="str">
        <f>IF(INDEX(I.Gas.C1E3,14)="","",INDEX(I.Gas.C1E3,14))</f>
        <v/>
      </c>
      <c r="G1478" s="87"/>
      <c r="H1478" s="28" t="str">
        <f>IF(AND(I.Facility.GasToPower="Yes",I.Gas.Count&gt;=14,F1478=""),"Incomplete","Complete")</f>
        <v>Complete</v>
      </c>
      <c r="I1478" s="46" t="s">
        <v>1614</v>
      </c>
    </row>
    <row r="1479" spans="2:9" ht="14.45" customHeight="1" x14ac:dyDescent="0.25">
      <c r="B1479" s="44" t="s">
        <v>421</v>
      </c>
      <c r="C1479" s="28">
        <v>15</v>
      </c>
      <c r="D1479" s="45" t="s">
        <v>2137</v>
      </c>
      <c r="E1479" s="87"/>
      <c r="F1479" s="87" t="str">
        <f>IF(INDEX(I.Gas.C1E3,15)="","",INDEX(I.Gas.C1E3,15))</f>
        <v/>
      </c>
      <c r="G1479" s="87"/>
      <c r="H1479" s="28" t="str">
        <f>IF(AND(I.Facility.GasToPower="Yes",I.Gas.Count&gt;=15,F1479=""),"Incomplete","Complete")</f>
        <v>Complete</v>
      </c>
      <c r="I1479" s="46" t="s">
        <v>1615</v>
      </c>
    </row>
    <row r="1480" spans="2:9" ht="14.45" customHeight="1" x14ac:dyDescent="0.25">
      <c r="B1480" s="44" t="s">
        <v>421</v>
      </c>
      <c r="C1480" s="28">
        <v>16</v>
      </c>
      <c r="D1480" s="45" t="s">
        <v>2137</v>
      </c>
      <c r="E1480" s="87"/>
      <c r="F1480" s="87" t="str">
        <f>IF(INDEX(I.Gas.C1E3,16)="","",INDEX(I.Gas.C1E3,16))</f>
        <v/>
      </c>
      <c r="G1480" s="87"/>
      <c r="H1480" s="28" t="str">
        <f>IF(AND(I.Facility.GasToPower="Yes",I.Gas.Count&gt;=16,F1480=""),"Incomplete","Complete")</f>
        <v>Complete</v>
      </c>
      <c r="I1480" s="46" t="s">
        <v>1616</v>
      </c>
    </row>
    <row r="1481" spans="2:9" ht="14.45" customHeight="1" x14ac:dyDescent="0.25">
      <c r="B1481" s="44" t="s">
        <v>421</v>
      </c>
      <c r="C1481" s="28">
        <v>17</v>
      </c>
      <c r="D1481" s="45" t="s">
        <v>2137</v>
      </c>
      <c r="E1481" s="87"/>
      <c r="F1481" s="87" t="str">
        <f>IF(INDEX(I.Gas.C1E3,17)="","",INDEX(I.Gas.C1E3,17))</f>
        <v/>
      </c>
      <c r="G1481" s="87"/>
      <c r="H1481" s="28" t="str">
        <f>IF(AND(I.Facility.GasToPower="Yes",I.Gas.Count&gt;=17,F1481=""),"Incomplete","Complete")</f>
        <v>Complete</v>
      </c>
      <c r="I1481" s="46" t="s">
        <v>1617</v>
      </c>
    </row>
    <row r="1482" spans="2:9" ht="14.45" customHeight="1" x14ac:dyDescent="0.25">
      <c r="B1482" s="44" t="s">
        <v>421</v>
      </c>
      <c r="C1482" s="28">
        <v>18</v>
      </c>
      <c r="D1482" s="45" t="s">
        <v>2137</v>
      </c>
      <c r="E1482" s="87"/>
      <c r="F1482" s="87" t="str">
        <f>IF(INDEX(I.Gas.C1E3,18)="","",INDEX(I.Gas.C1E3,18))</f>
        <v/>
      </c>
      <c r="G1482" s="87"/>
      <c r="H1482" s="28" t="str">
        <f>IF(AND(I.Facility.GasToPower="Yes",I.Gas.Count&gt;=18,F1482=""),"Incomplete","Complete")</f>
        <v>Complete</v>
      </c>
      <c r="I1482" s="46" t="s">
        <v>1618</v>
      </c>
    </row>
    <row r="1483" spans="2:9" ht="14.45" customHeight="1" x14ac:dyDescent="0.25">
      <c r="B1483" s="44" t="s">
        <v>421</v>
      </c>
      <c r="C1483" s="28">
        <v>19</v>
      </c>
      <c r="D1483" s="45" t="s">
        <v>2137</v>
      </c>
      <c r="E1483" s="87"/>
      <c r="F1483" s="87" t="str">
        <f>IF(INDEX(I.Gas.C1E3,19)="","",INDEX(I.Gas.C1E3,19))</f>
        <v/>
      </c>
      <c r="G1483" s="87"/>
      <c r="H1483" s="28" t="str">
        <f>IF(AND(I.Facility.GasToPower="Yes",I.Gas.Count&gt;=19,F1483=""),"Incomplete","Complete")</f>
        <v>Complete</v>
      </c>
      <c r="I1483" s="46" t="s">
        <v>1619</v>
      </c>
    </row>
    <row r="1484" spans="2:9" ht="14.45" customHeight="1" x14ac:dyDescent="0.25">
      <c r="B1484" s="44" t="s">
        <v>421</v>
      </c>
      <c r="C1484" s="28">
        <v>20</v>
      </c>
      <c r="D1484" s="45" t="s">
        <v>2137</v>
      </c>
      <c r="E1484" s="87"/>
      <c r="F1484" s="87" t="str">
        <f>IF(INDEX(I.Gas.C1E3,20)="","",INDEX(I.Gas.C1E3,20))</f>
        <v/>
      </c>
      <c r="G1484" s="87"/>
      <c r="H1484" s="28" t="str">
        <f>IF(AND(I.Facility.GasToPower="Yes",I.Gas.Count&gt;=20,F1484=""),"Incomplete","Complete")</f>
        <v>Complete</v>
      </c>
      <c r="I1484" s="46" t="s">
        <v>1620</v>
      </c>
    </row>
    <row r="1485" spans="2:9" ht="14.45" customHeight="1" x14ac:dyDescent="0.25">
      <c r="B1485" s="44" t="s">
        <v>421</v>
      </c>
      <c r="C1485" s="28">
        <v>21</v>
      </c>
      <c r="D1485" s="45" t="s">
        <v>2137</v>
      </c>
      <c r="E1485" s="87"/>
      <c r="F1485" s="87" t="str">
        <f>IF(INDEX(I.Gas.C1E3,21)="","",INDEX(I.Gas.C1E3,21))</f>
        <v/>
      </c>
      <c r="G1485" s="87"/>
      <c r="H1485" s="28" t="str">
        <f>IF(AND(I.Facility.GasToPower="Yes",I.Gas.Count&gt;=21,F1485=""),"Incomplete","Complete")</f>
        <v>Complete</v>
      </c>
      <c r="I1485" s="46" t="s">
        <v>1621</v>
      </c>
    </row>
    <row r="1486" spans="2:9" ht="14.45" customHeight="1" x14ac:dyDescent="0.25">
      <c r="B1486" s="44" t="s">
        <v>421</v>
      </c>
      <c r="C1486" s="28">
        <v>22</v>
      </c>
      <c r="D1486" s="45" t="s">
        <v>2137</v>
      </c>
      <c r="E1486" s="87"/>
      <c r="F1486" s="87" t="str">
        <f>IF(INDEX(I.Gas.C1E3,22)="","",INDEX(I.Gas.C1E3,22))</f>
        <v/>
      </c>
      <c r="G1486" s="87"/>
      <c r="H1486" s="28" t="str">
        <f>IF(AND(I.Facility.GasToPower="Yes",I.Gas.Count&gt;=22,F1486=""),"Incomplete","Complete")</f>
        <v>Complete</v>
      </c>
      <c r="I1486" s="46" t="s">
        <v>1622</v>
      </c>
    </row>
    <row r="1487" spans="2:9" ht="14.45" customHeight="1" x14ac:dyDescent="0.25">
      <c r="B1487" s="44" t="s">
        <v>421</v>
      </c>
      <c r="C1487" s="28">
        <v>23</v>
      </c>
      <c r="D1487" s="45" t="s">
        <v>2137</v>
      </c>
      <c r="E1487" s="87"/>
      <c r="F1487" s="87" t="str">
        <f>IF(INDEX(I.Gas.C1E3,23)="","",INDEX(I.Gas.C1E3,23))</f>
        <v/>
      </c>
      <c r="G1487" s="87"/>
      <c r="H1487" s="28" t="str">
        <f>IF(AND(I.Facility.GasToPower="Yes",I.Gas.Count&gt;=23,F1487=""),"Incomplete","Complete")</f>
        <v>Complete</v>
      </c>
      <c r="I1487" s="46" t="s">
        <v>1623</v>
      </c>
    </row>
    <row r="1488" spans="2:9" ht="14.45" customHeight="1" x14ac:dyDescent="0.25">
      <c r="B1488" s="44" t="s">
        <v>421</v>
      </c>
      <c r="C1488" s="28">
        <v>24</v>
      </c>
      <c r="D1488" s="45" t="s">
        <v>2137</v>
      </c>
      <c r="E1488" s="87"/>
      <c r="F1488" s="87" t="str">
        <f>IF(INDEX(I.Gas.C1E3,24)="","",INDEX(I.Gas.C1E3,24))</f>
        <v/>
      </c>
      <c r="G1488" s="87"/>
      <c r="H1488" s="28" t="str">
        <f>IF(AND(I.Facility.GasToPower="Yes",I.Gas.Count&gt;=24,F1488=""),"Incomplete","Complete")</f>
        <v>Complete</v>
      </c>
      <c r="I1488" s="46" t="s">
        <v>1624</v>
      </c>
    </row>
    <row r="1489" spans="2:9" ht="14.45" customHeight="1" x14ac:dyDescent="0.25">
      <c r="B1489" s="44" t="s">
        <v>421</v>
      </c>
      <c r="C1489" s="28">
        <v>25</v>
      </c>
      <c r="D1489" s="45" t="s">
        <v>2137</v>
      </c>
      <c r="E1489" s="87"/>
      <c r="F1489" s="87" t="str">
        <f>IF(INDEX(I.Gas.C1E3,25)="","",INDEX(I.Gas.C1E3,25))</f>
        <v/>
      </c>
      <c r="G1489" s="87"/>
      <c r="H1489" s="28" t="str">
        <f>IF(AND(I.Facility.GasToPower="Yes",I.Gas.Count&gt;=25,F1489=""),"Incomplete","Complete")</f>
        <v>Complete</v>
      </c>
      <c r="I1489" s="46" t="s">
        <v>1625</v>
      </c>
    </row>
    <row r="1490" spans="2:9" ht="14.45" customHeight="1" x14ac:dyDescent="0.25">
      <c r="B1490" s="44" t="s">
        <v>421</v>
      </c>
      <c r="C1490" s="28">
        <v>26</v>
      </c>
      <c r="D1490" s="45" t="s">
        <v>2137</v>
      </c>
      <c r="E1490" s="87"/>
      <c r="F1490" s="87" t="str">
        <f>IF(INDEX(I.Gas.C1E3,26)="","",INDEX(I.Gas.C1E3,26))</f>
        <v/>
      </c>
      <c r="G1490" s="87"/>
      <c r="H1490" s="28" t="str">
        <f>IF(AND(I.Facility.GasToPower="Yes",I.Gas.Count&gt;=26,F1490=""),"Incomplete","Complete")</f>
        <v>Complete</v>
      </c>
      <c r="I1490" s="46" t="s">
        <v>1626</v>
      </c>
    </row>
    <row r="1491" spans="2:9" ht="14.45" customHeight="1" x14ac:dyDescent="0.25">
      <c r="B1491" s="44" t="s">
        <v>421</v>
      </c>
      <c r="C1491" s="28">
        <v>27</v>
      </c>
      <c r="D1491" s="45" t="s">
        <v>2137</v>
      </c>
      <c r="E1491" s="87"/>
      <c r="F1491" s="87" t="str">
        <f>IF(INDEX(I.Gas.C1E3,27)="","",INDEX(I.Gas.C1E3,27))</f>
        <v/>
      </c>
      <c r="G1491" s="87"/>
      <c r="H1491" s="28" t="str">
        <f>IF(AND(I.Facility.GasToPower="Yes",I.Gas.Count&gt;=27,F1491=""),"Incomplete","Complete")</f>
        <v>Complete</v>
      </c>
      <c r="I1491" s="46" t="s">
        <v>1627</v>
      </c>
    </row>
    <row r="1492" spans="2:9" ht="14.45" customHeight="1" x14ac:dyDescent="0.25">
      <c r="B1492" s="44" t="s">
        <v>421</v>
      </c>
      <c r="C1492" s="28">
        <v>28</v>
      </c>
      <c r="D1492" s="45" t="s">
        <v>2137</v>
      </c>
      <c r="E1492" s="87"/>
      <c r="F1492" s="87" t="str">
        <f>IF(INDEX(I.Gas.C1E3,28)="","",INDEX(I.Gas.C1E3,28))</f>
        <v/>
      </c>
      <c r="G1492" s="87"/>
      <c r="H1492" s="28" t="str">
        <f>IF(AND(I.Facility.GasToPower="Yes",I.Gas.Count&gt;=28,F1492=""),"Incomplete","Complete")</f>
        <v>Complete</v>
      </c>
      <c r="I1492" s="46" t="s">
        <v>1628</v>
      </c>
    </row>
    <row r="1493" spans="2:9" ht="14.45" customHeight="1" x14ac:dyDescent="0.25">
      <c r="B1493" s="44" t="s">
        <v>421</v>
      </c>
      <c r="C1493" s="28">
        <v>29</v>
      </c>
      <c r="D1493" s="45" t="s">
        <v>2137</v>
      </c>
      <c r="E1493" s="87"/>
      <c r="F1493" s="87" t="str">
        <f>IF(INDEX(I.Gas.C1E3,29)="","",INDEX(I.Gas.C1E3,29))</f>
        <v/>
      </c>
      <c r="G1493" s="87"/>
      <c r="H1493" s="28" t="str">
        <f>IF(AND(I.Facility.GasToPower="Yes",I.Gas.Count&gt;=29,F1493=""),"Incomplete","Complete")</f>
        <v>Complete</v>
      </c>
      <c r="I1493" s="46" t="s">
        <v>1629</v>
      </c>
    </row>
    <row r="1494" spans="2:9" ht="14.45" customHeight="1" x14ac:dyDescent="0.25">
      <c r="B1494" s="44" t="s">
        <v>421</v>
      </c>
      <c r="C1494" s="28">
        <v>30</v>
      </c>
      <c r="D1494" s="45" t="s">
        <v>2137</v>
      </c>
      <c r="E1494" s="87"/>
      <c r="F1494" s="87" t="str">
        <f>IF(INDEX(I.Gas.C1E3,30)="","",INDEX(I.Gas.C1E3,30))</f>
        <v/>
      </c>
      <c r="G1494" s="87"/>
      <c r="H1494" s="28" t="str">
        <f>IF(AND(I.Facility.GasToPower="Yes",I.Gas.Count&gt;=30,F1494=""),"Incomplete","Complete")</f>
        <v>Complete</v>
      </c>
      <c r="I1494" s="46" t="s">
        <v>1630</v>
      </c>
    </row>
    <row r="1495" spans="2:9" ht="14.45" customHeight="1" x14ac:dyDescent="0.25">
      <c r="B1495" s="44" t="s">
        <v>421</v>
      </c>
      <c r="C1495" s="28">
        <v>31</v>
      </c>
      <c r="D1495" s="45" t="s">
        <v>2137</v>
      </c>
      <c r="E1495" s="87"/>
      <c r="F1495" s="87" t="str">
        <f>IF(INDEX(I.Gas.C1E3,31)="","",INDEX(I.Gas.C1E3,31))</f>
        <v/>
      </c>
      <c r="G1495" s="87"/>
      <c r="H1495" s="28" t="str">
        <f>IF(AND(I.Facility.GasToPower="Yes",I.Gas.Count&gt;=31,F1495=""),"Incomplete","Complete")</f>
        <v>Complete</v>
      </c>
      <c r="I1495" s="46" t="s">
        <v>1631</v>
      </c>
    </row>
    <row r="1496" spans="2:9" ht="14.45" customHeight="1" x14ac:dyDescent="0.25">
      <c r="B1496" s="44" t="s">
        <v>421</v>
      </c>
      <c r="C1496" s="28">
        <v>32</v>
      </c>
      <c r="D1496" s="45" t="s">
        <v>2137</v>
      </c>
      <c r="E1496" s="87"/>
      <c r="F1496" s="87" t="str">
        <f>IF(INDEX(I.Gas.C1E3,32)="","",INDEX(I.Gas.C1E3,32))</f>
        <v/>
      </c>
      <c r="G1496" s="87"/>
      <c r="H1496" s="28" t="str">
        <f>IF(AND(I.Facility.GasToPower="Yes",I.Gas.Count&gt;=32,F1496=""),"Incomplete","Complete")</f>
        <v>Complete</v>
      </c>
      <c r="I1496" s="46" t="s">
        <v>1632</v>
      </c>
    </row>
    <row r="1497" spans="2:9" ht="14.45" customHeight="1" x14ac:dyDescent="0.25">
      <c r="B1497" s="44" t="s">
        <v>421</v>
      </c>
      <c r="C1497" s="28">
        <v>33</v>
      </c>
      <c r="D1497" s="45" t="s">
        <v>2137</v>
      </c>
      <c r="E1497" s="87"/>
      <c r="F1497" s="87" t="str">
        <f>IF(INDEX(I.Gas.C1E3,33)="","",INDEX(I.Gas.C1E3,33))</f>
        <v/>
      </c>
      <c r="G1497" s="87"/>
      <c r="H1497" s="28" t="str">
        <f>IF(AND(I.Facility.GasToPower="Yes",I.Gas.Count&gt;=33,F1497=""),"Incomplete","Complete")</f>
        <v>Complete</v>
      </c>
      <c r="I1497" s="46" t="s">
        <v>1633</v>
      </c>
    </row>
    <row r="1498" spans="2:9" ht="14.45" customHeight="1" x14ac:dyDescent="0.25">
      <c r="B1498" s="44" t="s">
        <v>421</v>
      </c>
      <c r="C1498" s="28">
        <v>34</v>
      </c>
      <c r="D1498" s="45" t="s">
        <v>2137</v>
      </c>
      <c r="E1498" s="87"/>
      <c r="F1498" s="87" t="str">
        <f>IF(INDEX(I.Gas.C1E3,34)="","",INDEX(I.Gas.C1E3,34))</f>
        <v/>
      </c>
      <c r="G1498" s="87"/>
      <c r="H1498" s="28" t="str">
        <f>IF(AND(I.Facility.GasToPower="Yes",I.Gas.Count&gt;=34,F1498=""),"Incomplete","Complete")</f>
        <v>Complete</v>
      </c>
      <c r="I1498" s="46" t="s">
        <v>1634</v>
      </c>
    </row>
    <row r="1499" spans="2:9" ht="14.45" customHeight="1" x14ac:dyDescent="0.25">
      <c r="B1499" s="44" t="s">
        <v>421</v>
      </c>
      <c r="C1499" s="28">
        <v>35</v>
      </c>
      <c r="D1499" s="45" t="s">
        <v>2137</v>
      </c>
      <c r="E1499" s="87"/>
      <c r="F1499" s="87" t="str">
        <f>IF(INDEX(I.Gas.C1E3,35)="","",INDEX(I.Gas.C1E3,35))</f>
        <v/>
      </c>
      <c r="G1499" s="87"/>
      <c r="H1499" s="28" t="str">
        <f>IF(AND(I.Facility.GasToPower="Yes",I.Gas.Count&gt;=35,F1499=""),"Incomplete","Complete")</f>
        <v>Complete</v>
      </c>
      <c r="I1499" s="46" t="s">
        <v>1635</v>
      </c>
    </row>
    <row r="1500" spans="2:9" ht="14.45" customHeight="1" x14ac:dyDescent="0.25">
      <c r="B1500" s="44" t="s">
        <v>421</v>
      </c>
      <c r="C1500" s="28">
        <v>36</v>
      </c>
      <c r="D1500" s="45" t="s">
        <v>2137</v>
      </c>
      <c r="E1500" s="87"/>
      <c r="F1500" s="87" t="str">
        <f>IF(INDEX(I.Gas.C1E3,36)="","",INDEX(I.Gas.C1E3,36))</f>
        <v/>
      </c>
      <c r="G1500" s="87"/>
      <c r="H1500" s="28" t="str">
        <f>IF(AND(I.Facility.GasToPower="Yes",I.Gas.Count&gt;=36,F1500=""),"Incomplete","Complete")</f>
        <v>Complete</v>
      </c>
      <c r="I1500" s="46" t="s">
        <v>1636</v>
      </c>
    </row>
    <row r="1501" spans="2:9" ht="14.45" customHeight="1" x14ac:dyDescent="0.25">
      <c r="B1501" s="44" t="s">
        <v>421</v>
      </c>
      <c r="C1501" s="28">
        <v>37</v>
      </c>
      <c r="D1501" s="45" t="s">
        <v>2137</v>
      </c>
      <c r="E1501" s="87"/>
      <c r="F1501" s="87" t="str">
        <f>IF(INDEX(I.Gas.C1E3,37)="","",INDEX(I.Gas.C1E3,37))</f>
        <v/>
      </c>
      <c r="G1501" s="87"/>
      <c r="H1501" s="28" t="str">
        <f>IF(AND(I.Facility.GasToPower="Yes",I.Gas.Count&gt;=37,F1501=""),"Incomplete","Complete")</f>
        <v>Complete</v>
      </c>
      <c r="I1501" s="46" t="s">
        <v>1637</v>
      </c>
    </row>
    <row r="1502" spans="2:9" ht="14.45" customHeight="1" x14ac:dyDescent="0.25">
      <c r="B1502" s="44" t="s">
        <v>421</v>
      </c>
      <c r="C1502" s="28">
        <v>38</v>
      </c>
      <c r="D1502" s="45" t="s">
        <v>2137</v>
      </c>
      <c r="E1502" s="87"/>
      <c r="F1502" s="87" t="str">
        <f>IF(INDEX(I.Gas.C1E3,38)="","",INDEX(I.Gas.C1E3,38))</f>
        <v/>
      </c>
      <c r="G1502" s="87"/>
      <c r="H1502" s="28" t="str">
        <f>IF(AND(I.Facility.GasToPower="Yes",I.Gas.Count&gt;=38,F1502=""),"Incomplete","Complete")</f>
        <v>Complete</v>
      </c>
      <c r="I1502" s="46" t="s">
        <v>1638</v>
      </c>
    </row>
    <row r="1503" spans="2:9" ht="14.45" customHeight="1" x14ac:dyDescent="0.25">
      <c r="B1503" s="44" t="s">
        <v>421</v>
      </c>
      <c r="C1503" s="28">
        <v>39</v>
      </c>
      <c r="D1503" s="45" t="s">
        <v>2137</v>
      </c>
      <c r="E1503" s="87"/>
      <c r="F1503" s="87" t="str">
        <f>IF(INDEX(I.Gas.C1E3,39)="","",INDEX(I.Gas.C1E3,39))</f>
        <v/>
      </c>
      <c r="G1503" s="87"/>
      <c r="H1503" s="28" t="str">
        <f>IF(AND(I.Facility.GasToPower="Yes",I.Gas.Count&gt;=39,F1503=""),"Incomplete","Complete")</f>
        <v>Complete</v>
      </c>
      <c r="I1503" s="46" t="s">
        <v>1639</v>
      </c>
    </row>
    <row r="1504" spans="2:9" ht="14.45" customHeight="1" x14ac:dyDescent="0.25">
      <c r="B1504" s="44" t="s">
        <v>421</v>
      </c>
      <c r="C1504" s="28">
        <v>40</v>
      </c>
      <c r="D1504" s="45" t="s">
        <v>2137</v>
      </c>
      <c r="E1504" s="87"/>
      <c r="F1504" s="87" t="str">
        <f>IF(INDEX(I.Gas.C1E3,40)="","",INDEX(I.Gas.C1E3,40))</f>
        <v/>
      </c>
      <c r="G1504" s="87"/>
      <c r="H1504" s="28" t="str">
        <f>IF(AND(I.Facility.GasToPower="Yes",I.Gas.Count&gt;=40,F1504=""),"Incomplete","Complete")</f>
        <v>Complete</v>
      </c>
      <c r="I1504" s="46" t="s">
        <v>1640</v>
      </c>
    </row>
    <row r="1505" spans="2:9" ht="14.45" customHeight="1" x14ac:dyDescent="0.25">
      <c r="B1505" s="44" t="s">
        <v>421</v>
      </c>
      <c r="C1505" s="28">
        <v>41</v>
      </c>
      <c r="D1505" s="45" t="s">
        <v>2137</v>
      </c>
      <c r="E1505" s="87"/>
      <c r="F1505" s="87" t="str">
        <f>IF(INDEX(I.Gas.C1E3,41)="","",INDEX(I.Gas.C1E3,41))</f>
        <v/>
      </c>
      <c r="G1505" s="87"/>
      <c r="H1505" s="28" t="str">
        <f>IF(AND(I.Facility.GasToPower="Yes",I.Gas.Count&gt;=41,F1505=""),"Incomplete","Complete")</f>
        <v>Complete</v>
      </c>
      <c r="I1505" s="46" t="s">
        <v>1641</v>
      </c>
    </row>
    <row r="1506" spans="2:9" ht="14.45" customHeight="1" x14ac:dyDescent="0.25">
      <c r="B1506" s="44" t="s">
        <v>421</v>
      </c>
      <c r="C1506" s="28">
        <v>42</v>
      </c>
      <c r="D1506" s="45" t="s">
        <v>2137</v>
      </c>
      <c r="E1506" s="87"/>
      <c r="F1506" s="87" t="str">
        <f>IF(INDEX(I.Gas.C1E3,42)="","",INDEX(I.Gas.C1E3,42))</f>
        <v/>
      </c>
      <c r="G1506" s="87"/>
      <c r="H1506" s="28" t="str">
        <f>IF(AND(I.Facility.GasToPower="Yes",I.Gas.Count&gt;=42,F1506=""),"Incomplete","Complete")</f>
        <v>Complete</v>
      </c>
      <c r="I1506" s="46" t="s">
        <v>1642</v>
      </c>
    </row>
    <row r="1507" spans="2:9" ht="14.45" customHeight="1" x14ac:dyDescent="0.25">
      <c r="B1507" s="44" t="s">
        <v>421</v>
      </c>
      <c r="C1507" s="28">
        <v>43</v>
      </c>
      <c r="D1507" s="45" t="s">
        <v>2137</v>
      </c>
      <c r="E1507" s="87"/>
      <c r="F1507" s="87" t="str">
        <f>IF(INDEX(I.Gas.C1E3,43)="","",INDEX(I.Gas.C1E3,43))</f>
        <v/>
      </c>
      <c r="G1507" s="87"/>
      <c r="H1507" s="28" t="str">
        <f>IF(AND(I.Facility.GasToPower="Yes",I.Gas.Count&gt;=43,F1507=""),"Incomplete","Complete")</f>
        <v>Complete</v>
      </c>
      <c r="I1507" s="46" t="s">
        <v>1643</v>
      </c>
    </row>
    <row r="1508" spans="2:9" ht="14.45" customHeight="1" x14ac:dyDescent="0.25">
      <c r="B1508" s="44" t="s">
        <v>421</v>
      </c>
      <c r="C1508" s="28">
        <v>44</v>
      </c>
      <c r="D1508" s="45" t="s">
        <v>2137</v>
      </c>
      <c r="E1508" s="87"/>
      <c r="F1508" s="87" t="str">
        <f>IF(INDEX(I.Gas.C1E3,44)="","",INDEX(I.Gas.C1E3,44))</f>
        <v/>
      </c>
      <c r="G1508" s="87"/>
      <c r="H1508" s="28" t="str">
        <f>IF(AND(I.Facility.GasToPower="Yes",I.Gas.Count&gt;=44,F1508=""),"Incomplete","Complete")</f>
        <v>Complete</v>
      </c>
      <c r="I1508" s="46" t="s">
        <v>1644</v>
      </c>
    </row>
    <row r="1509" spans="2:9" ht="14.45" customHeight="1" x14ac:dyDescent="0.25">
      <c r="B1509" s="44" t="s">
        <v>421</v>
      </c>
      <c r="C1509" s="28">
        <v>45</v>
      </c>
      <c r="D1509" s="45" t="s">
        <v>2137</v>
      </c>
      <c r="E1509" s="87"/>
      <c r="F1509" s="87" t="str">
        <f>IF(INDEX(I.Gas.C1E3,45)="","",INDEX(I.Gas.C1E3,45))</f>
        <v/>
      </c>
      <c r="G1509" s="87"/>
      <c r="H1509" s="28" t="str">
        <f>IF(AND(I.Facility.GasToPower="Yes",I.Gas.Count&gt;=45,F1509=""),"Incomplete","Complete")</f>
        <v>Complete</v>
      </c>
      <c r="I1509" s="46" t="s">
        <v>1645</v>
      </c>
    </row>
    <row r="1510" spans="2:9" ht="14.45" customHeight="1" x14ac:dyDescent="0.25">
      <c r="B1510" s="44" t="s">
        <v>421</v>
      </c>
      <c r="C1510" s="28">
        <v>46</v>
      </c>
      <c r="D1510" s="45" t="s">
        <v>2137</v>
      </c>
      <c r="E1510" s="87"/>
      <c r="F1510" s="87" t="str">
        <f>IF(INDEX(I.Gas.C1E3,46)="","",INDEX(I.Gas.C1E3,46))</f>
        <v/>
      </c>
      <c r="G1510" s="87"/>
      <c r="H1510" s="28" t="str">
        <f>IF(AND(I.Facility.GasToPower="Yes",I.Gas.Count&gt;=46,F1510=""),"Incomplete","Complete")</f>
        <v>Complete</v>
      </c>
      <c r="I1510" s="46" t="s">
        <v>1646</v>
      </c>
    </row>
    <row r="1511" spans="2:9" ht="14.45" customHeight="1" x14ac:dyDescent="0.25">
      <c r="B1511" s="44" t="s">
        <v>421</v>
      </c>
      <c r="C1511" s="28">
        <v>47</v>
      </c>
      <c r="D1511" s="45" t="s">
        <v>2137</v>
      </c>
      <c r="E1511" s="87"/>
      <c r="F1511" s="87" t="str">
        <f>IF(INDEX(I.Gas.C1E3,47)="","",INDEX(I.Gas.C1E3,47))</f>
        <v/>
      </c>
      <c r="G1511" s="87"/>
      <c r="H1511" s="28" t="str">
        <f>IF(AND(I.Facility.GasToPower="Yes",I.Gas.Count&gt;=47,F1511=""),"Incomplete","Complete")</f>
        <v>Complete</v>
      </c>
      <c r="I1511" s="46" t="s">
        <v>1647</v>
      </c>
    </row>
    <row r="1512" spans="2:9" ht="14.45" customHeight="1" x14ac:dyDescent="0.25">
      <c r="B1512" s="44" t="s">
        <v>421</v>
      </c>
      <c r="C1512" s="28">
        <v>48</v>
      </c>
      <c r="D1512" s="45" t="s">
        <v>2137</v>
      </c>
      <c r="E1512" s="87"/>
      <c r="F1512" s="87" t="str">
        <f>IF(INDEX(I.Gas.C1E3,48)="","",INDEX(I.Gas.C1E3,48))</f>
        <v/>
      </c>
      <c r="G1512" s="87"/>
      <c r="H1512" s="28" t="str">
        <f>IF(AND(I.Facility.GasToPower="Yes",I.Gas.Count&gt;=48,F1512=""),"Incomplete","Complete")</f>
        <v>Complete</v>
      </c>
      <c r="I1512" s="46" t="s">
        <v>1648</v>
      </c>
    </row>
    <row r="1513" spans="2:9" ht="14.45" customHeight="1" x14ac:dyDescent="0.25">
      <c r="B1513" s="44" t="s">
        <v>421</v>
      </c>
      <c r="C1513" s="28">
        <v>49</v>
      </c>
      <c r="D1513" s="45" t="s">
        <v>2137</v>
      </c>
      <c r="E1513" s="87"/>
      <c r="F1513" s="87" t="str">
        <f>IF(INDEX(I.Gas.C1E3,49)="","",INDEX(I.Gas.C1E3,49))</f>
        <v/>
      </c>
      <c r="G1513" s="87"/>
      <c r="H1513" s="28" t="str">
        <f>IF(AND(I.Facility.GasToPower="Yes",I.Gas.Count&gt;=49,F1513=""),"Incomplete","Complete")</f>
        <v>Complete</v>
      </c>
      <c r="I1513" s="46" t="s">
        <v>1649</v>
      </c>
    </row>
    <row r="1514" spans="2:9" ht="14.45" customHeight="1" x14ac:dyDescent="0.25">
      <c r="B1514" s="53" t="s">
        <v>421</v>
      </c>
      <c r="C1514" s="66">
        <v>50</v>
      </c>
      <c r="D1514" s="54" t="s">
        <v>2137</v>
      </c>
      <c r="E1514" s="88"/>
      <c r="F1514" s="88" t="str">
        <f>IF(INDEX(I.Gas.C1E3,50)="","",INDEX(I.Gas.C1E3,50))</f>
        <v/>
      </c>
      <c r="G1514" s="88"/>
      <c r="H1514" s="66" t="str">
        <f>IF(AND(I.Facility.GasToPower="Yes",I.Gas.Count&gt;=50,F1514=""),"Incomplete","Complete")</f>
        <v>Complete</v>
      </c>
      <c r="I1514" s="68" t="s">
        <v>1650</v>
      </c>
    </row>
    <row r="1515" spans="2:9" ht="14.45" customHeight="1" x14ac:dyDescent="0.25">
      <c r="B1515" s="38" t="s">
        <v>422</v>
      </c>
      <c r="C1515" s="86">
        <v>1</v>
      </c>
      <c r="D1515" s="69" t="s">
        <v>2138</v>
      </c>
      <c r="E1515" s="90"/>
      <c r="F1515" s="90" t="str">
        <f>IF(I.Drilling.Depth="","",I.Drilling.Depth)</f>
        <v/>
      </c>
      <c r="G1515" s="90"/>
      <c r="H1515" s="86" t="str">
        <f>IF(AND(I.Facility.Drilling="Yes",I.Drilling.Depth=""),"Incomplete","Complete")</f>
        <v>Complete</v>
      </c>
      <c r="I1515" s="71" t="s">
        <v>1651</v>
      </c>
    </row>
    <row r="1516" spans="2:9" ht="14.45" customHeight="1" x14ac:dyDescent="0.25">
      <c r="B1516" s="44" t="s">
        <v>423</v>
      </c>
      <c r="C1516" s="28">
        <v>1</v>
      </c>
      <c r="D1516" s="45" t="s">
        <v>2139</v>
      </c>
      <c r="E1516" s="87"/>
      <c r="F1516" s="87" t="str">
        <f>IF(INDEX(I.Drilling.C1,1)="","",INDEX(I.Drilling.C1,1))</f>
        <v/>
      </c>
      <c r="G1516" s="87"/>
      <c r="H1516" s="28" t="str">
        <f>IF(AND(I.Facility.Drilling="Yes",F1516=""),"Incomplete","Complete")</f>
        <v>Complete</v>
      </c>
      <c r="I1516" s="46" t="s">
        <v>1654</v>
      </c>
    </row>
    <row r="1517" spans="2:9" ht="14.45" customHeight="1" x14ac:dyDescent="0.25">
      <c r="B1517" s="44" t="s">
        <v>423</v>
      </c>
      <c r="C1517" s="28">
        <v>2</v>
      </c>
      <c r="D1517" s="45" t="s">
        <v>2139</v>
      </c>
      <c r="E1517" s="87"/>
      <c r="F1517" s="87" t="str">
        <f>IF(INDEX(I.Drilling.C1,2)="","",INDEX(I.Drilling.C1,2))</f>
        <v/>
      </c>
      <c r="G1517" s="87"/>
      <c r="H1517" s="28" t="str">
        <f>IF(AND(I.Facility.Drilling="Yes",F1517=""),"Incomplete","Complete")</f>
        <v>Complete</v>
      </c>
      <c r="I1517" s="46" t="s">
        <v>1655</v>
      </c>
    </row>
    <row r="1518" spans="2:9" ht="14.45" customHeight="1" x14ac:dyDescent="0.25">
      <c r="B1518" s="53" t="s">
        <v>423</v>
      </c>
      <c r="C1518" s="66">
        <v>3</v>
      </c>
      <c r="D1518" s="54" t="s">
        <v>2139</v>
      </c>
      <c r="E1518" s="88"/>
      <c r="F1518" s="88" t="str">
        <f>IF(INDEX(I.Drilling.C1,3)="","",INDEX(I.Drilling.C1,3))</f>
        <v/>
      </c>
      <c r="G1518" s="88"/>
      <c r="H1518" s="66" t="str">
        <f>IF(AND(I.Facility.Drilling="Yes",F1518=""),"Incomplete","Complete")</f>
        <v>Complete</v>
      </c>
      <c r="I1518" s="68" t="s">
        <v>1656</v>
      </c>
    </row>
    <row r="1519" spans="2:9" ht="14.45" customHeight="1" x14ac:dyDescent="0.25">
      <c r="B1519" s="34" t="s">
        <v>1949</v>
      </c>
      <c r="C1519" s="35">
        <v>1</v>
      </c>
      <c r="D1519" s="36" t="s">
        <v>2140</v>
      </c>
      <c r="E1519" s="36"/>
      <c r="F1519" s="35" t="str">
        <f>IF(I.Compliance.P1IPEmissions="","",I.Compliance.P1IPEmissions)</f>
        <v/>
      </c>
      <c r="G1519" s="36"/>
      <c r="H1519" s="35" t="str">
        <f>IF(AND(I.Facility.ProductCount&gt;=1,I.Product.P1Sector&lt;&gt;"Upstream oil and gas",I.Product.P1Sector&lt;&gt;"Natural gas transmission pipelines",I.Compliance.P1IPEmissions=""),"Incomplete","Complete")</f>
        <v>Incomplete</v>
      </c>
      <c r="I1519" s="37" t="s">
        <v>1955</v>
      </c>
    </row>
    <row r="1520" spans="2:9" ht="14.45" customHeight="1" x14ac:dyDescent="0.25">
      <c r="B1520" s="44" t="s">
        <v>1904</v>
      </c>
      <c r="C1520" s="28">
        <v>1</v>
      </c>
      <c r="D1520" s="45" t="s">
        <v>2141</v>
      </c>
      <c r="E1520" s="52"/>
      <c r="F1520" s="52" t="str">
        <f>IF(I.Compliance.P1ReductionPeriod="","",I.Compliance.P1ReductionPeriod)</f>
        <v/>
      </c>
      <c r="G1520" s="52"/>
      <c r="H1520" s="28" t="str">
        <f>IF(AND(I.Facility.ProductCount&gt;=1,I.Compliance.P1ReductionPeriod=""),"Incomplete","Complete")</f>
        <v>Incomplete</v>
      </c>
      <c r="I1520" s="46" t="s">
        <v>1910</v>
      </c>
    </row>
    <row r="1521" spans="2:9" ht="14.45" customHeight="1" x14ac:dyDescent="0.25">
      <c r="B1521" s="44" t="s">
        <v>1981</v>
      </c>
      <c r="C1521" s="28">
        <v>1</v>
      </c>
      <c r="D1521" s="45" t="s">
        <v>2142</v>
      </c>
      <c r="E1521" s="96"/>
      <c r="F1521" s="96" t="str">
        <f>IF(INDEX(I.Compliance.P1Baseline,1)="","",INDEX(I.Compliance.P1Baseline,1))</f>
        <v/>
      </c>
      <c r="G1521" s="96"/>
      <c r="H1521" s="28" t="str">
        <f>IF(AND(I.Facility.ProductCount&gt;=1,I.Compliance.P1IPEmissions="Yes",F1521=""),"Incomplete","Complete")</f>
        <v>Complete</v>
      </c>
      <c r="I1521" s="46" t="s">
        <v>1911</v>
      </c>
    </row>
    <row r="1522" spans="2:9" ht="14.45" customHeight="1" x14ac:dyDescent="0.25">
      <c r="B1522" s="44" t="s">
        <v>1981</v>
      </c>
      <c r="C1522" s="28">
        <v>2</v>
      </c>
      <c r="D1522" s="45" t="s">
        <v>2142</v>
      </c>
      <c r="E1522" s="96"/>
      <c r="F1522" s="96" t="str">
        <f>IF(INDEX(I.Compliance.P1Baseline,2)="","",INDEX(I.Compliance.P1Baseline,2))</f>
        <v/>
      </c>
      <c r="G1522" s="96"/>
      <c r="H1522" s="28" t="str">
        <f>IF(AND(I.Facility.ProductCount&gt;=1,I.Compliance.P1IPEmissions="Yes",F1522=""),"Incomplete","Complete")</f>
        <v>Complete</v>
      </c>
      <c r="I1522" s="46" t="s">
        <v>1912</v>
      </c>
    </row>
    <row r="1523" spans="2:9" ht="14.45" customHeight="1" x14ac:dyDescent="0.25">
      <c r="B1523" s="53" t="s">
        <v>1981</v>
      </c>
      <c r="C1523" s="66">
        <v>3</v>
      </c>
      <c r="D1523" s="54" t="s">
        <v>2142</v>
      </c>
      <c r="E1523" s="91"/>
      <c r="F1523" s="91" t="str">
        <f>IF(INDEX(I.Compliance.P1Baseline,3)="","",INDEX(I.Compliance.P1Baseline,3))</f>
        <v/>
      </c>
      <c r="G1523" s="91"/>
      <c r="H1523" s="66" t="str">
        <f>IF(AND(I.Facility.ProductCount&gt;=1,F1523=""),"Incomplete","Complete")</f>
        <v>Incomplete</v>
      </c>
      <c r="I1523" s="68" t="s">
        <v>1913</v>
      </c>
    </row>
    <row r="1524" spans="2:9" ht="14.45" customHeight="1" x14ac:dyDescent="0.25">
      <c r="B1524" s="34" t="s">
        <v>1950</v>
      </c>
      <c r="C1524" s="35">
        <v>1</v>
      </c>
      <c r="D1524" s="36" t="s">
        <v>2143</v>
      </c>
      <c r="E1524" s="36"/>
      <c r="F1524" s="35" t="str">
        <f>IF(I.Compliance.P2IPEmissions="","",I.Compliance.P2IPEmissions)</f>
        <v/>
      </c>
      <c r="G1524" s="36"/>
      <c r="H1524" s="35" t="str">
        <f>IF(AND(I.Facility.ProductCount&gt;=2,I.Product.P2Sector&lt;&gt;"Upstream oil and gas",I.Product.P2Sector&lt;&gt;"Natural gas transmission pipelines",I.Compliance.P2IPEmissions=""),"Incomplete","Complete")</f>
        <v>Complete</v>
      </c>
      <c r="I1524" s="37" t="s">
        <v>1956</v>
      </c>
    </row>
    <row r="1525" spans="2:9" ht="14.45" customHeight="1" x14ac:dyDescent="0.25">
      <c r="B1525" s="44" t="s">
        <v>1905</v>
      </c>
      <c r="C1525" s="28">
        <v>1</v>
      </c>
      <c r="D1525" s="45" t="s">
        <v>2144</v>
      </c>
      <c r="E1525" s="52"/>
      <c r="F1525" s="52" t="str">
        <f>IF(I.Compliance.P2ReductionPeriod="","",I.Compliance.P2ReductionPeriod)</f>
        <v/>
      </c>
      <c r="G1525" s="52"/>
      <c r="H1525" s="28" t="str">
        <f>IF(AND(I.Facility.ProductCount&gt;=2,I.Compliance.P2ReductionPeriod=""),"Incomplete","Complete")</f>
        <v>Complete</v>
      </c>
      <c r="I1525" s="46" t="s">
        <v>1914</v>
      </c>
    </row>
    <row r="1526" spans="2:9" ht="14.45" customHeight="1" x14ac:dyDescent="0.25">
      <c r="B1526" s="44" t="s">
        <v>1982</v>
      </c>
      <c r="C1526" s="28">
        <v>1</v>
      </c>
      <c r="D1526" s="45" t="s">
        <v>2145</v>
      </c>
      <c r="E1526" s="96"/>
      <c r="F1526" s="96" t="str">
        <f>IF(INDEX(I.Compliance.P2Baseline,1)="","",INDEX(I.Compliance.P2Baseline,1))</f>
        <v/>
      </c>
      <c r="G1526" s="96"/>
      <c r="H1526" s="28" t="str">
        <f>IF(AND(I.Facility.ProductCount&gt;=2,I.Compliance.P2IPEmissions="Yes",F1526=""),"Incomplete","Complete")</f>
        <v>Complete</v>
      </c>
      <c r="I1526" s="46" t="s">
        <v>1915</v>
      </c>
    </row>
    <row r="1527" spans="2:9" ht="14.45" customHeight="1" x14ac:dyDescent="0.25">
      <c r="B1527" s="44" t="s">
        <v>1982</v>
      </c>
      <c r="C1527" s="28">
        <v>2</v>
      </c>
      <c r="D1527" s="45" t="s">
        <v>2145</v>
      </c>
      <c r="E1527" s="96"/>
      <c r="F1527" s="96" t="str">
        <f>IF(INDEX(I.Compliance.P2Baseline,2)="","",INDEX(I.Compliance.P2Baseline,2))</f>
        <v/>
      </c>
      <c r="G1527" s="96"/>
      <c r="H1527" s="28" t="str">
        <f>IF(AND(I.Facility.ProductCount&gt;=2,I.Compliance.P2IPEmissions="Yes",F1527=""),"Incomplete","Complete")</f>
        <v>Complete</v>
      </c>
      <c r="I1527" s="46" t="s">
        <v>1916</v>
      </c>
    </row>
    <row r="1528" spans="2:9" ht="14.45" customHeight="1" x14ac:dyDescent="0.25">
      <c r="B1528" s="53" t="s">
        <v>1982</v>
      </c>
      <c r="C1528" s="66">
        <v>3</v>
      </c>
      <c r="D1528" s="54" t="s">
        <v>2145</v>
      </c>
      <c r="E1528" s="91"/>
      <c r="F1528" s="91" t="str">
        <f>IF(INDEX(I.Compliance.P2Baseline,3)="","",INDEX(I.Compliance.P2Baseline,3))</f>
        <v/>
      </c>
      <c r="G1528" s="91"/>
      <c r="H1528" s="66" t="str">
        <f>IF(AND(I.Facility.ProductCount&gt;=2,F1528=""),"Incomplete","Complete")</f>
        <v>Complete</v>
      </c>
      <c r="I1528" s="68" t="s">
        <v>1917</v>
      </c>
    </row>
    <row r="1529" spans="2:9" ht="14.45" customHeight="1" x14ac:dyDescent="0.25">
      <c r="B1529" s="34" t="s">
        <v>1951</v>
      </c>
      <c r="C1529" s="35">
        <v>1</v>
      </c>
      <c r="D1529" s="36" t="s">
        <v>2146</v>
      </c>
      <c r="E1529" s="36"/>
      <c r="F1529" s="35" t="str">
        <f>IF(I.Compliance.P3IPEmissions="","",I.Compliance.P3IPEmissions)</f>
        <v/>
      </c>
      <c r="G1529" s="36"/>
      <c r="H1529" s="35" t="str">
        <f>IF(AND(I.Facility.ProductCount&gt;=3,I.Product.P3Sector&lt;&gt;"Upstream oil and gas",I.Product.P3Sector&lt;&gt;"Natural gas transmission pipelines",I.Compliance.P3IPEmissions=""),"Incomplete","Complete")</f>
        <v>Complete</v>
      </c>
      <c r="I1529" s="37" t="s">
        <v>1957</v>
      </c>
    </row>
    <row r="1530" spans="2:9" ht="14.45" customHeight="1" x14ac:dyDescent="0.25">
      <c r="B1530" s="44" t="s">
        <v>1906</v>
      </c>
      <c r="C1530" s="28">
        <v>1</v>
      </c>
      <c r="D1530" s="45" t="s">
        <v>2147</v>
      </c>
      <c r="E1530" s="52"/>
      <c r="F1530" s="52" t="str">
        <f>IF(I.Compliance.P3ReductionPeriod="","",I.Compliance.P3ReductionPeriod)</f>
        <v/>
      </c>
      <c r="G1530" s="52"/>
      <c r="H1530" s="28" t="str">
        <f>IF(AND(I.Facility.ProductCount&gt;=3,I.Compliance.P3ReductionPeriod=""),"Incomplete","Complete")</f>
        <v>Complete</v>
      </c>
      <c r="I1530" s="46" t="s">
        <v>1918</v>
      </c>
    </row>
    <row r="1531" spans="2:9" ht="14.45" customHeight="1" x14ac:dyDescent="0.25">
      <c r="B1531" s="44" t="s">
        <v>1983</v>
      </c>
      <c r="C1531" s="28">
        <v>1</v>
      </c>
      <c r="D1531" s="45" t="s">
        <v>2148</v>
      </c>
      <c r="E1531" s="96"/>
      <c r="F1531" s="96" t="str">
        <f>IF(INDEX(I.Compliance.P3Baseline,1)="","",INDEX(I.Compliance.P3Baseline,1))</f>
        <v/>
      </c>
      <c r="G1531" s="96"/>
      <c r="H1531" s="28" t="str">
        <f>IF(AND(I.Facility.ProductCount&gt;=3,I.Compliance.P3IPEmissions="Yes",F1531=""),"Incomplete","Complete")</f>
        <v>Complete</v>
      </c>
      <c r="I1531" s="46" t="s">
        <v>1919</v>
      </c>
    </row>
    <row r="1532" spans="2:9" ht="14.45" customHeight="1" x14ac:dyDescent="0.25">
      <c r="B1532" s="44" t="s">
        <v>1983</v>
      </c>
      <c r="C1532" s="28">
        <v>2</v>
      </c>
      <c r="D1532" s="45" t="s">
        <v>2148</v>
      </c>
      <c r="E1532" s="96"/>
      <c r="F1532" s="96" t="str">
        <f>IF(INDEX(I.Compliance.P3Baseline,2)="","",INDEX(I.Compliance.P3Baseline,2))</f>
        <v/>
      </c>
      <c r="G1532" s="96"/>
      <c r="H1532" s="28" t="str">
        <f>IF(AND(I.Facility.ProductCount&gt;=3,I.Compliance.P3IPEmissions="Yes",F1532=""),"Incomplete","Complete")</f>
        <v>Complete</v>
      </c>
      <c r="I1532" s="46" t="s">
        <v>1920</v>
      </c>
    </row>
    <row r="1533" spans="2:9" ht="14.45" customHeight="1" x14ac:dyDescent="0.25">
      <c r="B1533" s="53" t="s">
        <v>1983</v>
      </c>
      <c r="C1533" s="66">
        <v>3</v>
      </c>
      <c r="D1533" s="54" t="s">
        <v>2148</v>
      </c>
      <c r="E1533" s="91"/>
      <c r="F1533" s="91" t="str">
        <f>IF(INDEX(I.Compliance.P3Baseline,3)="","",INDEX(I.Compliance.P3Baseline,3))</f>
        <v/>
      </c>
      <c r="G1533" s="91"/>
      <c r="H1533" s="66" t="str">
        <f>IF(AND(I.Facility.ProductCount&gt;=3,F1533=""),"Incomplete","Complete")</f>
        <v>Complete</v>
      </c>
      <c r="I1533" s="68" t="s">
        <v>1921</v>
      </c>
    </row>
    <row r="1534" spans="2:9" ht="14.45" customHeight="1" x14ac:dyDescent="0.25">
      <c r="B1534" s="34" t="s">
        <v>1952</v>
      </c>
      <c r="C1534" s="35">
        <v>1</v>
      </c>
      <c r="D1534" s="36" t="s">
        <v>2149</v>
      </c>
      <c r="E1534" s="36"/>
      <c r="F1534" s="35" t="str">
        <f>IF(I.Compliance.P4IPEmissions="","",I.Compliance.P4IPEmissions)</f>
        <v/>
      </c>
      <c r="G1534" s="36"/>
      <c r="H1534" s="35" t="str">
        <f>IF(AND(I.Facility.ProductCount&gt;=4,I.Product.P4Sector&lt;&gt;"Upstream oil and gas",I.Product.P4Sector&lt;&gt;"Natural gas transmission pipelines",I.Compliance.P4IPEmissions=""),"Incomplete","Complete")</f>
        <v>Complete</v>
      </c>
      <c r="I1534" s="37" t="s">
        <v>1958</v>
      </c>
    </row>
    <row r="1535" spans="2:9" ht="14.45" customHeight="1" x14ac:dyDescent="0.25">
      <c r="B1535" s="44" t="s">
        <v>1907</v>
      </c>
      <c r="C1535" s="28">
        <v>1</v>
      </c>
      <c r="D1535" s="45" t="s">
        <v>2150</v>
      </c>
      <c r="E1535" s="52"/>
      <c r="F1535" s="52" t="str">
        <f>IF(I.Compliance.P4ReductionPeriod="","",I.Compliance.P4ReductionPeriod)</f>
        <v/>
      </c>
      <c r="G1535" s="52"/>
      <c r="H1535" s="28" t="str">
        <f>IF(AND(I.Facility.ProductCount&gt;=4,I.Compliance.P4ReductionPeriod=""),"Incomplete","Complete")</f>
        <v>Complete</v>
      </c>
      <c r="I1535" s="46" t="s">
        <v>1922</v>
      </c>
    </row>
    <row r="1536" spans="2:9" ht="14.45" customHeight="1" x14ac:dyDescent="0.25">
      <c r="B1536" s="44" t="s">
        <v>1984</v>
      </c>
      <c r="C1536" s="28">
        <v>1</v>
      </c>
      <c r="D1536" s="45" t="s">
        <v>2151</v>
      </c>
      <c r="E1536" s="96"/>
      <c r="F1536" s="96" t="str">
        <f>IF(INDEX(I.Compliance.P4Baseline,1)="","",INDEX(I.Compliance.P4Baseline,1))</f>
        <v/>
      </c>
      <c r="G1536" s="96"/>
      <c r="H1536" s="28" t="str">
        <f>IF(AND(I.Facility.ProductCount&gt;=4,I.Compliance.P4IPEmissions="Yes",F1536=""),"Incomplete","Complete")</f>
        <v>Complete</v>
      </c>
      <c r="I1536" s="46" t="s">
        <v>1923</v>
      </c>
    </row>
    <row r="1537" spans="2:9" ht="14.45" customHeight="1" x14ac:dyDescent="0.25">
      <c r="B1537" s="44" t="s">
        <v>1984</v>
      </c>
      <c r="C1537" s="28">
        <v>2</v>
      </c>
      <c r="D1537" s="45" t="s">
        <v>2151</v>
      </c>
      <c r="E1537" s="96"/>
      <c r="F1537" s="96" t="str">
        <f>IF(INDEX(I.Compliance.P4Baseline,2)="","",INDEX(I.Compliance.P4Baseline,2))</f>
        <v/>
      </c>
      <c r="G1537" s="96"/>
      <c r="H1537" s="28" t="str">
        <f>IF(AND(I.Facility.ProductCount&gt;=4,I.Compliance.P4IPEmissions="Yes",F1537=""),"Incomplete","Complete")</f>
        <v>Complete</v>
      </c>
      <c r="I1537" s="46" t="s">
        <v>1924</v>
      </c>
    </row>
    <row r="1538" spans="2:9" ht="14.45" customHeight="1" x14ac:dyDescent="0.25">
      <c r="B1538" s="53" t="s">
        <v>1984</v>
      </c>
      <c r="C1538" s="66">
        <v>3</v>
      </c>
      <c r="D1538" s="54" t="s">
        <v>2151</v>
      </c>
      <c r="E1538" s="91"/>
      <c r="F1538" s="91" t="str">
        <f>IF(INDEX(I.Compliance.P4Baseline,3)="","",INDEX(I.Compliance.P4Baseline,3))</f>
        <v/>
      </c>
      <c r="G1538" s="91"/>
      <c r="H1538" s="66" t="str">
        <f>IF(AND(I.Facility.ProductCount&gt;=4,F1538=""),"Incomplete","Complete")</f>
        <v>Complete</v>
      </c>
      <c r="I1538" s="68" t="s">
        <v>1925</v>
      </c>
    </row>
    <row r="1539" spans="2:9" ht="14.45" customHeight="1" x14ac:dyDescent="0.25">
      <c r="B1539" s="34" t="s">
        <v>1953</v>
      </c>
      <c r="C1539" s="35">
        <v>1</v>
      </c>
      <c r="D1539" s="36" t="s">
        <v>2152</v>
      </c>
      <c r="E1539" s="36"/>
      <c r="F1539" s="35" t="str">
        <f>IF(I.Compliance.P5IPEmissions="","",I.Compliance.P5IPEmissions)</f>
        <v/>
      </c>
      <c r="G1539" s="36"/>
      <c r="H1539" s="35" t="str">
        <f>IF(AND(I.Facility.ProductCount&gt;=5,I.Product.P5Sector&lt;&gt;"Upstream oil and gas",I.Product.P5Sector&lt;&gt;"Natural gas transmission pipelines",I.Compliance.P5IPEmissions=""),"Incomplete","Complete")</f>
        <v>Complete</v>
      </c>
      <c r="I1539" s="37" t="s">
        <v>1959</v>
      </c>
    </row>
    <row r="1540" spans="2:9" ht="14.45" customHeight="1" x14ac:dyDescent="0.25">
      <c r="B1540" s="44" t="s">
        <v>1908</v>
      </c>
      <c r="C1540" s="28">
        <v>1</v>
      </c>
      <c r="D1540" s="45" t="s">
        <v>2153</v>
      </c>
      <c r="E1540" s="52"/>
      <c r="F1540" s="52" t="str">
        <f>IF(I.Compliance.P5ReductionPeriod="","",I.Compliance.P5ReductionPeriod)</f>
        <v/>
      </c>
      <c r="G1540" s="52"/>
      <c r="H1540" s="28" t="str">
        <f>IF(AND(I.Facility.ProductCount&gt;=5,I.Compliance.P5ReductionPeriod=""),"Incomplete","Complete")</f>
        <v>Complete</v>
      </c>
      <c r="I1540" s="46" t="s">
        <v>1926</v>
      </c>
    </row>
    <row r="1541" spans="2:9" ht="14.45" customHeight="1" x14ac:dyDescent="0.25">
      <c r="B1541" s="44" t="s">
        <v>1985</v>
      </c>
      <c r="C1541" s="28">
        <v>1</v>
      </c>
      <c r="D1541" s="45" t="s">
        <v>2154</v>
      </c>
      <c r="E1541" s="96"/>
      <c r="F1541" s="96" t="str">
        <f>IF(INDEX(I.Compliance.P5Baseline,1)="","",INDEX(I.Compliance.P5Baseline,1))</f>
        <v/>
      </c>
      <c r="G1541" s="96"/>
      <c r="H1541" s="28" t="str">
        <f>IF(AND(I.Facility.ProductCount&gt;=5,I.Compliance.P5IPEmissions="Yes",F1541=""),"Incomplete","Complete")</f>
        <v>Complete</v>
      </c>
      <c r="I1541" s="46" t="s">
        <v>1927</v>
      </c>
    </row>
    <row r="1542" spans="2:9" ht="14.45" customHeight="1" x14ac:dyDescent="0.25">
      <c r="B1542" s="44" t="s">
        <v>1985</v>
      </c>
      <c r="C1542" s="28">
        <v>2</v>
      </c>
      <c r="D1542" s="45" t="s">
        <v>2154</v>
      </c>
      <c r="E1542" s="96"/>
      <c r="F1542" s="96" t="str">
        <f>IF(INDEX(I.Compliance.P5Baseline,2)="","",INDEX(I.Compliance.P5Baseline,2))</f>
        <v/>
      </c>
      <c r="G1542" s="96"/>
      <c r="H1542" s="28" t="str">
        <f>IF(AND(I.Facility.ProductCount&gt;=5,I.Compliance.P5IPEmissions="Yes",F1542=""),"Incomplete","Complete")</f>
        <v>Complete</v>
      </c>
      <c r="I1542" s="46" t="s">
        <v>1928</v>
      </c>
    </row>
    <row r="1543" spans="2:9" ht="14.45" customHeight="1" x14ac:dyDescent="0.25">
      <c r="B1543" s="53" t="s">
        <v>1985</v>
      </c>
      <c r="C1543" s="66">
        <v>3</v>
      </c>
      <c r="D1543" s="54" t="s">
        <v>2154</v>
      </c>
      <c r="E1543" s="91"/>
      <c r="F1543" s="91" t="str">
        <f>IF(INDEX(I.Compliance.P5Baseline,3)="","",INDEX(I.Compliance.P5Baseline,3))</f>
        <v/>
      </c>
      <c r="G1543" s="91"/>
      <c r="H1543" s="66" t="str">
        <f>IF(AND(I.Facility.ProductCount&gt;=5,F1543=""),"Incomplete","Complete")</f>
        <v>Complete</v>
      </c>
      <c r="I1543" s="68" t="s">
        <v>1929</v>
      </c>
    </row>
    <row r="1544" spans="2:9" ht="14.45" customHeight="1" x14ac:dyDescent="0.25">
      <c r="B1544" s="34" t="s">
        <v>1909</v>
      </c>
      <c r="C1544" s="35">
        <v>1</v>
      </c>
      <c r="D1544" s="36" t="s">
        <v>2155</v>
      </c>
      <c r="E1544" s="92"/>
      <c r="F1544" s="92" t="str">
        <f>IF(I.Compliance.GTPReductionPeriod="","",I.Compliance.GTPReductionPeriod)</f>
        <v/>
      </c>
      <c r="G1544" s="92"/>
      <c r="H1544" s="35" t="str">
        <f>IF(AND(I.Facility.GasToPower="Yes",I.Compliance.GTPReductionPeriod=""),"Incomplete","Complete")</f>
        <v>Complete</v>
      </c>
      <c r="I1544" s="37" t="s">
        <v>1930</v>
      </c>
    </row>
    <row r="1545" spans="2:9" ht="14.45" customHeight="1" x14ac:dyDescent="0.25">
      <c r="B1545" s="53" t="s">
        <v>1968</v>
      </c>
      <c r="C1545" s="66">
        <v>1</v>
      </c>
      <c r="D1545" s="54" t="s">
        <v>2156</v>
      </c>
      <c r="E1545" s="91"/>
      <c r="F1545" s="91" t="str">
        <f>IF(I.Compliance.GTPBaselineEmissionsIntensity="","",I.Compliance.GTPBaselineEmissionsIntensity)</f>
        <v/>
      </c>
      <c r="G1545" s="91"/>
      <c r="H1545" s="66" t="str">
        <f>IF(AND(I.Facility.GasToPower="Yes",I.Compliance.GTPBaselineEmissionsIntensity=""),"Incomplete","Complete")</f>
        <v>Complete</v>
      </c>
      <c r="I1545" s="68" t="s">
        <v>1931</v>
      </c>
    </row>
    <row r="1546" spans="2:9" ht="14.45" customHeight="1" x14ac:dyDescent="0.25">
      <c r="B1546" s="44" t="s">
        <v>424</v>
      </c>
      <c r="C1546" s="28">
        <v>1</v>
      </c>
      <c r="D1546" s="45" t="s">
        <v>2157</v>
      </c>
      <c r="E1546" s="45"/>
      <c r="F1546" s="28" t="str">
        <f>IF(I.Declaration.Name="","",I.Declaration.Name)</f>
        <v/>
      </c>
      <c r="G1546" s="45"/>
      <c r="H1546" s="28" t="str">
        <f>IF(I.Declaration.Name="","Incomplete","Complete")</f>
        <v>Incomplete</v>
      </c>
      <c r="I1546" s="46" t="s">
        <v>1652</v>
      </c>
    </row>
    <row r="1547" spans="2:9" ht="14.45" customHeight="1" x14ac:dyDescent="0.25">
      <c r="B1547" s="53" t="s">
        <v>425</v>
      </c>
      <c r="C1547" s="66">
        <v>1</v>
      </c>
      <c r="D1547" s="54" t="s">
        <v>2158</v>
      </c>
      <c r="E1547" s="93"/>
      <c r="F1547" s="93" t="str">
        <f>IF(I.Declaration.Date="","",I.Declaration.Date)</f>
        <v/>
      </c>
      <c r="G1547" s="93"/>
      <c r="H1547" s="66" t="str">
        <f>IF(I.Declaration.Date="","Incomplete","Complete")</f>
        <v>Incomplete</v>
      </c>
      <c r="I1547" s="68" t="s">
        <v>1653</v>
      </c>
    </row>
    <row r="1548" spans="2:9" ht="14.45" customHeight="1" x14ac:dyDescent="0.25">
      <c r="B1548" s="44" t="s">
        <v>426</v>
      </c>
      <c r="C1548" s="28">
        <v>1</v>
      </c>
      <c r="D1548" s="45" t="s">
        <v>2159</v>
      </c>
      <c r="E1548" s="28"/>
      <c r="F1548" s="97"/>
      <c r="G1548" s="28"/>
      <c r="H1548" s="28"/>
      <c r="I1548" s="46"/>
    </row>
    <row r="1549" spans="2:9" ht="14.45" customHeight="1" x14ac:dyDescent="0.25">
      <c r="B1549" s="44" t="s">
        <v>427</v>
      </c>
      <c r="C1549" s="28">
        <v>1</v>
      </c>
      <c r="D1549" s="45" t="s">
        <v>2160</v>
      </c>
      <c r="E1549" s="28"/>
      <c r="F1549" s="97"/>
      <c r="G1549" s="28"/>
      <c r="H1549" s="28"/>
      <c r="I1549" s="46"/>
    </row>
    <row r="1550" spans="2:9" ht="14.45" customHeight="1" x14ac:dyDescent="0.25">
      <c r="B1550" s="44" t="s">
        <v>428</v>
      </c>
      <c r="C1550" s="28">
        <v>1</v>
      </c>
      <c r="D1550" s="45" t="s">
        <v>2161</v>
      </c>
      <c r="E1550" s="28"/>
      <c r="F1550" s="97"/>
      <c r="G1550" s="28"/>
      <c r="H1550" s="28"/>
      <c r="I1550" s="46"/>
    </row>
    <row r="1551" spans="2:9" ht="14.45" customHeight="1" x14ac:dyDescent="0.25">
      <c r="B1551" s="44" t="s">
        <v>429</v>
      </c>
      <c r="C1551" s="28">
        <v>1</v>
      </c>
      <c r="D1551" s="45" t="s">
        <v>2162</v>
      </c>
      <c r="E1551" s="28"/>
      <c r="F1551" s="97"/>
      <c r="G1551" s="28"/>
      <c r="H1551" s="28"/>
      <c r="I1551" s="46"/>
    </row>
    <row r="1552" spans="2:9" ht="14.45" customHeight="1" x14ac:dyDescent="0.25">
      <c r="B1552" s="44" t="s">
        <v>430</v>
      </c>
      <c r="C1552" s="28">
        <v>1</v>
      </c>
      <c r="D1552" s="45" t="s">
        <v>2163</v>
      </c>
      <c r="E1552" s="28"/>
      <c r="F1552" s="97"/>
      <c r="G1552" s="28"/>
      <c r="H1552" s="28"/>
      <c r="I1552" s="46"/>
    </row>
    <row r="1553" spans="2:9" ht="14.45" customHeight="1" x14ac:dyDescent="0.25">
      <c r="B1553" s="44" t="s">
        <v>431</v>
      </c>
      <c r="C1553" s="28">
        <v>1</v>
      </c>
      <c r="D1553" s="45" t="s">
        <v>2164</v>
      </c>
      <c r="E1553" s="28"/>
      <c r="F1553" s="97"/>
      <c r="G1553" s="28"/>
      <c r="H1553" s="28"/>
      <c r="I1553" s="46"/>
    </row>
    <row r="1554" spans="2:9" ht="14.45" customHeight="1" x14ac:dyDescent="0.25">
      <c r="B1554" s="44" t="s">
        <v>432</v>
      </c>
      <c r="C1554" s="28">
        <v>1</v>
      </c>
      <c r="D1554" s="45" t="s">
        <v>2165</v>
      </c>
      <c r="E1554" s="28"/>
      <c r="F1554" s="97"/>
      <c r="G1554" s="28"/>
      <c r="H1554" s="28"/>
      <c r="I1554" s="46"/>
    </row>
    <row r="1555" spans="2:9" ht="14.45" customHeight="1" x14ac:dyDescent="0.25">
      <c r="B1555" s="44" t="s">
        <v>433</v>
      </c>
      <c r="C1555" s="28">
        <v>1</v>
      </c>
      <c r="D1555" s="45" t="s">
        <v>2166</v>
      </c>
      <c r="E1555" s="28"/>
      <c r="F1555" s="97"/>
      <c r="G1555" s="28"/>
      <c r="H1555" s="28"/>
      <c r="I1555" s="46"/>
    </row>
    <row r="1556" spans="2:9" ht="14.45" customHeight="1" x14ac:dyDescent="0.25">
      <c r="B1556" s="53" t="s">
        <v>434</v>
      </c>
      <c r="C1556" s="66">
        <v>1</v>
      </c>
      <c r="D1556" s="54" t="s">
        <v>2167</v>
      </c>
      <c r="E1556" s="93"/>
      <c r="F1556" s="23"/>
      <c r="G1556" s="93"/>
      <c r="H1556" s="66"/>
      <c r="I1556" s="68"/>
    </row>
    <row r="1557" spans="2:9" ht="14.45" customHeight="1" x14ac:dyDescent="0.25">
      <c r="B1557" s="44" t="s">
        <v>435</v>
      </c>
      <c r="C1557" s="28">
        <v>1</v>
      </c>
      <c r="D1557" s="45" t="s">
        <v>2168</v>
      </c>
      <c r="E1557" s="28"/>
      <c r="F1557" s="97"/>
      <c r="G1557" s="28"/>
      <c r="H1557" s="28"/>
      <c r="I1557" s="46"/>
    </row>
    <row r="1558" spans="2:9" ht="14.45" customHeight="1" x14ac:dyDescent="0.25">
      <c r="B1558" s="44" t="s">
        <v>436</v>
      </c>
      <c r="C1558" s="28">
        <v>1</v>
      </c>
      <c r="D1558" s="45" t="s">
        <v>2169</v>
      </c>
      <c r="E1558" s="28"/>
      <c r="F1558" s="97"/>
      <c r="G1558" s="28"/>
      <c r="H1558" s="28"/>
      <c r="I1558" s="46"/>
    </row>
    <row r="1559" spans="2:9" ht="14.45" customHeight="1" x14ac:dyDescent="0.25">
      <c r="B1559" s="44" t="s">
        <v>437</v>
      </c>
      <c r="C1559" s="28">
        <v>1</v>
      </c>
      <c r="D1559" s="45" t="s">
        <v>2170</v>
      </c>
      <c r="E1559" s="28"/>
      <c r="F1559" s="97"/>
      <c r="G1559" s="28"/>
      <c r="H1559" s="28"/>
      <c r="I1559" s="46"/>
    </row>
    <row r="1560" spans="2:9" ht="14.45" customHeight="1" x14ac:dyDescent="0.25">
      <c r="B1560" s="44" t="s">
        <v>438</v>
      </c>
      <c r="C1560" s="28">
        <v>1</v>
      </c>
      <c r="D1560" s="45" t="s">
        <v>2171</v>
      </c>
      <c r="E1560" s="28"/>
      <c r="F1560" s="97"/>
      <c r="G1560" s="28"/>
      <c r="H1560" s="28"/>
      <c r="I1560" s="46"/>
    </row>
    <row r="1561" spans="2:9" ht="14.45" customHeight="1" x14ac:dyDescent="0.25">
      <c r="B1561" s="44" t="s">
        <v>439</v>
      </c>
      <c r="C1561" s="28">
        <v>1</v>
      </c>
      <c r="D1561" s="45" t="s">
        <v>2172</v>
      </c>
      <c r="E1561" s="28"/>
      <c r="F1561" s="97"/>
      <c r="G1561" s="28"/>
      <c r="H1561" s="28"/>
      <c r="I1561" s="46"/>
    </row>
    <row r="1562" spans="2:9" ht="14.45" customHeight="1" x14ac:dyDescent="0.25">
      <c r="B1562" s="44" t="s">
        <v>440</v>
      </c>
      <c r="C1562" s="28">
        <v>1</v>
      </c>
      <c r="D1562" s="45" t="s">
        <v>2173</v>
      </c>
      <c r="E1562" s="28"/>
      <c r="F1562" s="97"/>
      <c r="G1562" s="28"/>
      <c r="H1562" s="28"/>
      <c r="I1562" s="46"/>
    </row>
    <row r="1563" spans="2:9" ht="14.45" customHeight="1" x14ac:dyDescent="0.25">
      <c r="B1563" s="44" t="s">
        <v>441</v>
      </c>
      <c r="C1563" s="28">
        <v>1</v>
      </c>
      <c r="D1563" s="45" t="s">
        <v>2174</v>
      </c>
      <c r="E1563" s="28"/>
      <c r="F1563" s="97"/>
      <c r="G1563" s="28"/>
      <c r="H1563" s="28"/>
      <c r="I1563" s="46"/>
    </row>
    <row r="1564" spans="2:9" ht="14.45" customHeight="1" x14ac:dyDescent="0.25">
      <c r="B1564" s="44" t="s">
        <v>442</v>
      </c>
      <c r="C1564" s="28">
        <v>1</v>
      </c>
      <c r="D1564" s="45" t="s">
        <v>2175</v>
      </c>
      <c r="E1564" s="28"/>
      <c r="F1564" s="97"/>
      <c r="G1564" s="28"/>
      <c r="H1564" s="28"/>
      <c r="I1564" s="46"/>
    </row>
    <row r="1565" spans="2:9" ht="14.45" customHeight="1" x14ac:dyDescent="0.25">
      <c r="B1565" s="53" t="s">
        <v>443</v>
      </c>
      <c r="C1565" s="66">
        <v>1</v>
      </c>
      <c r="D1565" s="54" t="s">
        <v>2176</v>
      </c>
      <c r="E1565" s="66"/>
      <c r="F1565" s="98"/>
      <c r="G1565" s="66"/>
      <c r="H1565" s="66"/>
      <c r="I1565" s="68"/>
    </row>
    <row r="1566" spans="2:9" ht="14.45" customHeight="1" x14ac:dyDescent="0.25">
      <c r="B1566" s="50" t="s">
        <v>444</v>
      </c>
      <c r="C1566" s="28">
        <v>1</v>
      </c>
      <c r="D1566" s="45" t="s">
        <v>2177</v>
      </c>
      <c r="F1566" s="99"/>
      <c r="I1566" s="51"/>
    </row>
    <row r="1567" spans="2:9" ht="14.45" customHeight="1" x14ac:dyDescent="0.25">
      <c r="B1567" s="50" t="s">
        <v>445</v>
      </c>
      <c r="C1567" s="28">
        <v>1</v>
      </c>
      <c r="D1567" s="45" t="s">
        <v>2178</v>
      </c>
      <c r="F1567" s="99"/>
      <c r="I1567" s="51"/>
    </row>
    <row r="1568" spans="2:9" ht="14.45" customHeight="1" x14ac:dyDescent="0.25">
      <c r="B1568" s="50" t="s">
        <v>446</v>
      </c>
      <c r="C1568" s="28">
        <v>1</v>
      </c>
      <c r="D1568" s="45" t="s">
        <v>2179</v>
      </c>
      <c r="F1568" s="99"/>
      <c r="I1568" s="51"/>
    </row>
    <row r="1569" spans="2:9" ht="14.45" customHeight="1" x14ac:dyDescent="0.25">
      <c r="B1569" s="50" t="s">
        <v>447</v>
      </c>
      <c r="C1569" s="28">
        <v>1</v>
      </c>
      <c r="D1569" s="45" t="s">
        <v>2180</v>
      </c>
      <c r="F1569" s="99"/>
      <c r="I1569" s="51"/>
    </row>
    <row r="1570" spans="2:9" ht="14.45" customHeight="1" x14ac:dyDescent="0.25">
      <c r="B1570" s="50" t="s">
        <v>448</v>
      </c>
      <c r="C1570" s="28">
        <v>1</v>
      </c>
      <c r="D1570" s="45" t="s">
        <v>2181</v>
      </c>
      <c r="F1570" s="99"/>
      <c r="I1570" s="51"/>
    </row>
    <row r="1571" spans="2:9" ht="14.45" customHeight="1" x14ac:dyDescent="0.25">
      <c r="B1571" s="50" t="s">
        <v>449</v>
      </c>
      <c r="C1571" s="28">
        <v>1</v>
      </c>
      <c r="D1571" s="45" t="s">
        <v>2182</v>
      </c>
      <c r="F1571" s="99"/>
      <c r="I1571" s="51"/>
    </row>
    <row r="1572" spans="2:9" ht="14.45" customHeight="1" x14ac:dyDescent="0.25">
      <c r="B1572" s="50" t="s">
        <v>450</v>
      </c>
      <c r="C1572" s="28">
        <v>1</v>
      </c>
      <c r="D1572" s="45" t="s">
        <v>2183</v>
      </c>
      <c r="F1572" s="99"/>
      <c r="I1572" s="51"/>
    </row>
    <row r="1573" spans="2:9" ht="14.45" customHeight="1" x14ac:dyDescent="0.25">
      <c r="B1573" s="50" t="s">
        <v>451</v>
      </c>
      <c r="C1573" s="28">
        <v>1</v>
      </c>
      <c r="D1573" s="45" t="s">
        <v>2184</v>
      </c>
      <c r="F1573" s="99"/>
      <c r="I1573" s="51"/>
    </row>
    <row r="1574" spans="2:9" ht="14.45" customHeight="1" x14ac:dyDescent="0.25">
      <c r="B1574" s="75" t="s">
        <v>452</v>
      </c>
      <c r="C1574" s="66">
        <v>1</v>
      </c>
      <c r="D1574" s="54" t="s">
        <v>2185</v>
      </c>
      <c r="E1574" s="94"/>
      <c r="F1574" s="100"/>
      <c r="G1574" s="94"/>
      <c r="H1574" s="94"/>
      <c r="I1574" s="76"/>
    </row>
    <row r="1575" spans="2:9" ht="14.45" customHeight="1" x14ac:dyDescent="0.25">
      <c r="B1575" s="50" t="s">
        <v>453</v>
      </c>
      <c r="C1575" s="28">
        <v>1</v>
      </c>
      <c r="D1575" s="45" t="s">
        <v>2186</v>
      </c>
      <c r="F1575" s="99"/>
      <c r="I1575" s="51"/>
    </row>
    <row r="1576" spans="2:9" ht="14.45" customHeight="1" x14ac:dyDescent="0.25">
      <c r="B1576" s="50" t="s">
        <v>454</v>
      </c>
      <c r="C1576" s="28">
        <v>1</v>
      </c>
      <c r="D1576" s="45" t="s">
        <v>2187</v>
      </c>
      <c r="F1576" s="99"/>
      <c r="I1576" s="51"/>
    </row>
    <row r="1577" spans="2:9" ht="14.45" customHeight="1" x14ac:dyDescent="0.25">
      <c r="B1577" s="50" t="s">
        <v>455</v>
      </c>
      <c r="C1577" s="28">
        <v>1</v>
      </c>
      <c r="D1577" s="45" t="s">
        <v>2188</v>
      </c>
      <c r="F1577" s="99"/>
      <c r="I1577" s="51"/>
    </row>
    <row r="1578" spans="2:9" ht="14.45" customHeight="1" x14ac:dyDescent="0.25">
      <c r="B1578" s="50" t="s">
        <v>456</v>
      </c>
      <c r="C1578" s="28">
        <v>1</v>
      </c>
      <c r="D1578" s="45" t="s">
        <v>2189</v>
      </c>
      <c r="F1578" s="99"/>
      <c r="I1578" s="51"/>
    </row>
    <row r="1579" spans="2:9" ht="14.45" customHeight="1" x14ac:dyDescent="0.25">
      <c r="B1579" s="50" t="s">
        <v>457</v>
      </c>
      <c r="C1579" s="28">
        <v>1</v>
      </c>
      <c r="D1579" s="45" t="s">
        <v>2190</v>
      </c>
      <c r="F1579" s="99"/>
      <c r="I1579" s="51"/>
    </row>
    <row r="1580" spans="2:9" ht="14.45" customHeight="1" x14ac:dyDescent="0.25">
      <c r="B1580" s="50" t="s">
        <v>458</v>
      </c>
      <c r="C1580" s="28">
        <v>1</v>
      </c>
      <c r="D1580" s="45" t="s">
        <v>2191</v>
      </c>
      <c r="F1580" s="99"/>
      <c r="I1580" s="51"/>
    </row>
    <row r="1581" spans="2:9" ht="14.45" customHeight="1" x14ac:dyDescent="0.25">
      <c r="B1581" s="50" t="s">
        <v>459</v>
      </c>
      <c r="C1581" s="28">
        <v>1</v>
      </c>
      <c r="D1581" s="45" t="s">
        <v>2192</v>
      </c>
      <c r="F1581" s="99"/>
      <c r="I1581" s="51"/>
    </row>
    <row r="1582" spans="2:9" ht="14.45" customHeight="1" x14ac:dyDescent="0.25">
      <c r="B1582" s="50" t="s">
        <v>460</v>
      </c>
      <c r="C1582" s="28">
        <v>1</v>
      </c>
      <c r="D1582" s="45" t="s">
        <v>2193</v>
      </c>
      <c r="F1582" s="99"/>
      <c r="I1582" s="51"/>
    </row>
    <row r="1583" spans="2:9" ht="14.45" customHeight="1" x14ac:dyDescent="0.25">
      <c r="B1583" s="75" t="s">
        <v>461</v>
      </c>
      <c r="C1583" s="66">
        <v>1</v>
      </c>
      <c r="D1583" s="54" t="s">
        <v>2194</v>
      </c>
      <c r="E1583" s="94"/>
      <c r="F1583" s="100"/>
      <c r="G1583" s="94"/>
      <c r="H1583" s="94"/>
      <c r="I1583" s="76"/>
    </row>
    <row r="1584" spans="2:9" ht="14.45" customHeight="1" x14ac:dyDescent="0.25">
      <c r="B1584" s="50" t="s">
        <v>462</v>
      </c>
      <c r="C1584" s="28">
        <v>1</v>
      </c>
      <c r="D1584" s="45" t="s">
        <v>2195</v>
      </c>
      <c r="F1584" s="99"/>
      <c r="I1584" s="51"/>
    </row>
    <row r="1585" spans="2:9" ht="14.45" customHeight="1" x14ac:dyDescent="0.25">
      <c r="B1585" s="50" t="s">
        <v>463</v>
      </c>
      <c r="C1585" s="28">
        <v>1</v>
      </c>
      <c r="D1585" s="45" t="s">
        <v>2196</v>
      </c>
      <c r="F1585" s="99"/>
      <c r="I1585" s="51"/>
    </row>
    <row r="1586" spans="2:9" ht="14.45" customHeight="1" x14ac:dyDescent="0.25">
      <c r="B1586" s="50" t="s">
        <v>464</v>
      </c>
      <c r="C1586" s="28">
        <v>1</v>
      </c>
      <c r="D1586" s="45" t="s">
        <v>2197</v>
      </c>
      <c r="F1586" s="99"/>
      <c r="I1586" s="51"/>
    </row>
    <row r="1587" spans="2:9" ht="14.45" customHeight="1" x14ac:dyDescent="0.25">
      <c r="B1587" s="50" t="s">
        <v>465</v>
      </c>
      <c r="C1587" s="28">
        <v>1</v>
      </c>
      <c r="D1587" s="45" t="s">
        <v>2198</v>
      </c>
      <c r="F1587" s="99"/>
      <c r="I1587" s="51"/>
    </row>
    <row r="1588" spans="2:9" ht="14.45" customHeight="1" x14ac:dyDescent="0.25">
      <c r="B1588" s="50" t="s">
        <v>466</v>
      </c>
      <c r="C1588" s="28">
        <v>1</v>
      </c>
      <c r="D1588" s="45" t="s">
        <v>2199</v>
      </c>
      <c r="F1588" s="99"/>
      <c r="I1588" s="51"/>
    </row>
    <row r="1589" spans="2:9" ht="14.45" customHeight="1" x14ac:dyDescent="0.25">
      <c r="B1589" s="50" t="s">
        <v>467</v>
      </c>
      <c r="C1589" s="28">
        <v>1</v>
      </c>
      <c r="D1589" s="45" t="s">
        <v>2200</v>
      </c>
      <c r="F1589" s="99"/>
      <c r="I1589" s="51"/>
    </row>
    <row r="1590" spans="2:9" ht="14.45" customHeight="1" x14ac:dyDescent="0.25">
      <c r="B1590" s="50" t="s">
        <v>468</v>
      </c>
      <c r="C1590" s="28">
        <v>1</v>
      </c>
      <c r="D1590" s="45" t="s">
        <v>2201</v>
      </c>
      <c r="F1590" s="99"/>
      <c r="I1590" s="51"/>
    </row>
    <row r="1591" spans="2:9" ht="14.45" customHeight="1" x14ac:dyDescent="0.25">
      <c r="B1591" s="50" t="s">
        <v>469</v>
      </c>
      <c r="C1591" s="28">
        <v>1</v>
      </c>
      <c r="D1591" s="45" t="s">
        <v>2202</v>
      </c>
      <c r="F1591" s="99"/>
      <c r="I1591" s="51"/>
    </row>
    <row r="1592" spans="2:9" ht="14.45" customHeight="1" x14ac:dyDescent="0.25">
      <c r="B1592" s="75" t="s">
        <v>470</v>
      </c>
      <c r="C1592" s="66">
        <v>1</v>
      </c>
      <c r="D1592" s="54" t="s">
        <v>2203</v>
      </c>
      <c r="E1592" s="94"/>
      <c r="F1592" s="100"/>
      <c r="G1592" s="94"/>
      <c r="H1592" s="94"/>
      <c r="I1592" s="76"/>
    </row>
  </sheetData>
  <sheetProtection algorithmName="SHA-512" hashValue="Y9joAxnGef2TqFxdmS8eRTfWAe50vgMrHVcZ2ILatb8OChWfDHuq7YgW+VIdiMuRF2VnQyyTyd5Zt2rklGJKbA==" saltValue="d7Qr/hcRKG5MMzhrOq8bvg==" spinCount="100000" sheet="1" objects="1" scenarios="1" selectLockedCells="1" selectUnlockedCells="1"/>
  <phoneticPr fontId="15"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AB6D0E600912F43A06780007612B3BE" ma:contentTypeVersion="7" ma:contentTypeDescription="Create a new document." ma:contentTypeScope="" ma:versionID="28a362090f67c88f49cf82f2c844e4ed">
  <xsd:schema xmlns:xsd="http://www.w3.org/2001/XMLSchema" xmlns:xs="http://www.w3.org/2001/XMLSchema" xmlns:p="http://schemas.microsoft.com/office/2006/metadata/properties" xmlns:ns2="bc1d42ac-7b64-45cd-9065-b9f493686385" xmlns:ns3="a20525aa-aa8a-4bba-979a-5db41298085f" targetNamespace="http://schemas.microsoft.com/office/2006/metadata/properties" ma:root="true" ma:fieldsID="76200ad4edfc8ed3f6fb22488b3ec77f" ns2:_="" ns3:_="">
    <xsd:import namespace="bc1d42ac-7b64-45cd-9065-b9f493686385"/>
    <xsd:import namespace="a20525aa-aa8a-4bba-979a-5db4129808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1d42ac-7b64-45cd-9065-b9f49368638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0525aa-aa8a-4bba-979a-5db4129808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3953B0A-A2BD-4421-A7C8-1204BB3F07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1d42ac-7b64-45cd-9065-b9f493686385"/>
    <ds:schemaRef ds:uri="a20525aa-aa8a-4bba-979a-5db4129808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9FBA86C-E019-4EB5-865D-65A90FBE3E75}">
  <ds:schemaRefs>
    <ds:schemaRef ds:uri="http://schemas.microsoft.com/sharepoint/v3/contenttype/forms"/>
  </ds:schemaRefs>
</ds:datastoreItem>
</file>

<file path=customXml/itemProps3.xml><?xml version="1.0" encoding="utf-8"?>
<ds:datastoreItem xmlns:ds="http://schemas.openxmlformats.org/officeDocument/2006/customXml" ds:itemID="{7B5AE1C9-4936-4337-8209-8861DC96DF75}">
  <ds:schemaRefs>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http://purl.org/dc/dcmitype/"/>
    <ds:schemaRef ds:uri="http://schemas.microsoft.com/office/2006/metadata/properties"/>
    <ds:schemaRef ds:uri="a20525aa-aa8a-4bba-979a-5db41298085f"/>
    <ds:schemaRef ds:uri="http://purl.org/dc/elements/1.1/"/>
    <ds:schemaRef ds:uri="bc1d42ac-7b64-45cd-9065-b9f493686385"/>
    <ds:schemaRef ds:uri="http://www.w3.org/XML/1998/namespace"/>
  </ds:schemaRefs>
</ds:datastoreItem>
</file>

<file path=docMetadata/LabelInfo.xml><?xml version="1.0" encoding="utf-8"?>
<clbl:labelList xmlns:clbl="http://schemas.microsoft.com/office/2020/mipLabelMetadata">
  <clbl:label id="{9715e697-1c31-4156-8581-01c5d1e29c65}" enabled="1" method="Standard" siteId="{cf4e8a24-641b-40d2-905e-9a328b644fa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Instructions</vt:lpstr>
      <vt:lpstr>Facility Information</vt:lpstr>
      <vt:lpstr>Product Information</vt:lpstr>
      <vt:lpstr>Production Data</vt:lpstr>
      <vt:lpstr>Electricity Data</vt:lpstr>
      <vt:lpstr>Gas-to-Power Data</vt:lpstr>
      <vt:lpstr>Drilling Data</vt:lpstr>
      <vt:lpstr>Compliance</vt:lpstr>
      <vt:lpstr>Declaration</vt:lpstr>
      <vt:lpstr>Appendix</vt:lpstr>
    </vt:vector>
  </TitlesOfParts>
  <Company>Government of Saskatchewan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Environment</dc:creator>
  <cp:lastModifiedBy>Kot, Aimee ENV</cp:lastModifiedBy>
  <cp:lastPrinted>2024-01-22T15:44:09Z</cp:lastPrinted>
  <dcterms:created xsi:type="dcterms:W3CDTF">2023-09-22T14:28:35Z</dcterms:created>
  <dcterms:modified xsi:type="dcterms:W3CDTF">2025-02-10T17:59:33Z</dcterms:modified>
</cp:coreProperties>
</file>