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python.xml" ContentType="application/vnd.ms-excel.pytho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defaultThemeVersion="202300"/>
  <mc:AlternateContent xmlns:mc="http://schemas.openxmlformats.org/markup-compatibility/2006">
    <mc:Choice Requires="x15">
      <x15ac:absPath xmlns:x15ac="http://schemas.microsoft.com/office/spreadsheetml/2010/11/ac" url="C:\Users\mpalmari\Downloads\"/>
    </mc:Choice>
  </mc:AlternateContent>
  <xr:revisionPtr revIDLastSave="0" documentId="13_ncr:1_{8DD05BAA-E30E-427B-9415-33501ADA619B}" xr6:coauthVersionLast="47" xr6:coauthVersionMax="47" xr10:uidLastSave="{00000000-0000-0000-0000-000000000000}"/>
  <workbookProtection workbookAlgorithmName="SHA-512" workbookHashValue="tj5RfNsnhwsAu+ufHgrAcr0k76opJ+G4mBKDh6CQnmeEu7w90nP5nC4g8cYomUO5m4mq7MInXkXzJ6N/Ne7R/Q==" workbookSaltValue="nIl8k5zsBJcSbCM4M/hXUQ==" workbookSpinCount="100000" lockStructure="1"/>
  <bookViews>
    <workbookView xWindow="-120" yWindow="-120" windowWidth="29040" windowHeight="15720" tabRatio="807" xr2:uid="{8E35415A-8E99-4951-BE2B-AE94C4F38474}"/>
  </bookViews>
  <sheets>
    <sheet name="Instructions" sheetId="1" r:id="rId1"/>
    <sheet name="Compliance Information" sheetId="2" r:id="rId2"/>
    <sheet name="Performance Credit Information" sheetId="8" state="veryHidden" r:id="rId3"/>
    <sheet name="CCUS Credit Information" sheetId="9" state="veryHidden" r:id="rId4"/>
    <sheet name="Payment Information" sheetId="7" r:id="rId5"/>
    <sheet name="Summary" sheetId="10" r:id="rId6"/>
    <sheet name="Declaration" sheetId="5" r:id="rId7"/>
    <sheet name="Developer" sheetId="6" state="veryHidden" r:id="rId8"/>
  </sheets>
  <definedNames>
    <definedName name="_xlnm._FilterDatabase" localSheetId="7" hidden="1">Developer!$A$3:$I$4089</definedName>
    <definedName name="_xlnm._FilterDatabase" localSheetId="4" hidden="1">'Payment Information'!$C$6:$E$13</definedName>
    <definedName name="I.CCUS.EndRange" hidden="1">'CCUS Credit Information'!$E$18:$E$1017</definedName>
    <definedName name="I.CCUS.RangeCount" hidden="1">'CCUS Credit Information'!$C$10</definedName>
    <definedName name="I.CCUS.StartRange" hidden="1">'CCUS Credit Information'!$D$18:$D$1017</definedName>
    <definedName name="I.Compliance.EmitterName" hidden="1">'Compliance Information'!$C$7</definedName>
    <definedName name="I.Compliance.FacilityCount" hidden="1">'Compliance Information'!$C$13</definedName>
    <definedName name="I.Compliance.FacilityName" hidden="1">'Compliance Information'!$D$17:$D$36</definedName>
    <definedName name="I.Compliance.FacilityObligation" hidden="1">'Compliance Information'!$F$17:$F$36</definedName>
    <definedName name="I.Compliance.FulfilledCCUS" hidden="1">'Compliance Information'!$C$47</definedName>
    <definedName name="I.Compliance.FulfilledPerformance" hidden="1">'Compliance Information'!$C$44</definedName>
    <definedName name="I.Compliance.OBPSNumber" hidden="1">'Compliance Information'!$E$17:$E$36</definedName>
    <definedName name="I.Compliance.Year" hidden="1">'Compliance Information'!$C$10</definedName>
    <definedName name="I.Declaration.Date" hidden="1">Declaration!$F$28</definedName>
    <definedName name="I.Declaration.Name" hidden="1">Declaration!$D$9</definedName>
    <definedName name="I.Payment.ContactAddress1" hidden="1">'Payment Information'!$C$60</definedName>
    <definedName name="I.Payment.ContactAddress2" hidden="1">'Payment Information'!$E$60</definedName>
    <definedName name="I.Payment.ContactCity" hidden="1">'Payment Information'!$C$63</definedName>
    <definedName name="I.Payment.ContactCountry" hidden="1">'Payment Information'!$C$66</definedName>
    <definedName name="I.Payment.ContactEmail" hidden="1">'Payment Information'!$E$57</definedName>
    <definedName name="I.Payment.ContactFirstName" hidden="1">'Payment Information'!$C$54</definedName>
    <definedName name="I.Payment.ContactLastName" hidden="1">'Payment Information'!$E$54</definedName>
    <definedName name="I.Payment.ContactPhone1" hidden="1">'Payment Information'!$C$69</definedName>
    <definedName name="I.Payment.ContactPhone1Extension" hidden="1">'Payment Information'!$E$69</definedName>
    <definedName name="I.Payment.ContactPhone2" hidden="1">'Payment Information'!$C$72</definedName>
    <definedName name="I.Payment.ContactPhone2Extension" hidden="1">'Payment Information'!$E$72</definedName>
    <definedName name="I.Payment.ContactPosition" hidden="1">'Payment Information'!$C$57</definedName>
    <definedName name="I.Payment.ContactPostalCode" hidden="1">'Payment Information'!$E$66</definedName>
    <definedName name="I.Payment.ContactProvince" hidden="1">'Payment Information'!$E$63</definedName>
    <definedName name="I.Performance.EndRange" hidden="1">'Performance Credit Information'!$E$18:$E$1017</definedName>
    <definedName name="I.Performance.RangeCount" hidden="1">'Performance Credit Information'!$C$10</definedName>
    <definedName name="I.Performance.StartRange" hidden="1">'Performance Credit Information'!$D$18:$D$1017</definedName>
    <definedName name="R.CCUS.CreditCount" hidden="1">'CCUS Credit Information'!$C$1020</definedName>
    <definedName name="R.CCUS.FulfilledCCUS" hidden="1">'CCUS Credit Information'!$C$7</definedName>
    <definedName name="R.CCUS.Notification" hidden="1">'CCUS Credit Information'!$C$1026</definedName>
    <definedName name="R.CCUS.PrintArea" hidden="1">'CCUS Credit Information'!$B$1:$G$1028</definedName>
    <definedName name="R.CCUS.RowCreditCount" hidden="1">'CCUS Credit Information'!$F$18:$F$1017</definedName>
    <definedName name="R.CCUS.RowNumber" hidden="1">'CCUS Credit Information'!$C$18:$C$1017</definedName>
    <definedName name="R.CCUS.Timestamp" hidden="1">'CCUS Credit Information'!$C$1022</definedName>
    <definedName name="R.Compliance.FulfilledPayment" hidden="1">'Compliance Information'!$C$50</definedName>
    <definedName name="R.Compliance.Notification" hidden="1">'Compliance Information'!$C$56</definedName>
    <definedName name="R.Compliance.Obligation" hidden="1">'Compliance Information'!$C$39</definedName>
    <definedName name="R.Compliance.PrintArea" hidden="1">'Compliance Information'!$B$1:$G$58</definedName>
    <definedName name="R.Compliance.RowNumber" hidden="1">'Compliance Information'!$C$17:$C$36</definedName>
    <definedName name="R.Compliance.Timestamp" hidden="1">'Compliance Information'!$C$52</definedName>
    <definedName name="R.Declaration.FormName" hidden="1">Declaration!$C$33</definedName>
    <definedName name="R.Declaration.Notification" hidden="1">Declaration!$C$36</definedName>
    <definedName name="R.Declaration.PrintArea" hidden="1">Declaration!$B$1:$G$38</definedName>
    <definedName name="R.Declaration.Timestamp" hidden="1">Declaration!$C$31</definedName>
    <definedName name="R.Instructions.PrintArea" hidden="1">Instructions!$B$1:$F$72</definedName>
    <definedName name="R.Instructions.VersionDate" hidden="1">Instructions!$E$72</definedName>
    <definedName name="R.Instructions.VersionNumber" hidden="1">Instructions!$C$72</definedName>
    <definedName name="R.Payment.AmountDue" hidden="1">'Payment Information'!$C$19</definedName>
    <definedName name="R.Payment.FulfilledPayment" hidden="1">'Payment Information'!$C$13</definedName>
    <definedName name="R.Payment.Notification" hidden="1">'Payment Information'!$C$78</definedName>
    <definedName name="R.Payment.Price" hidden="1">'Payment Information'!$C$16</definedName>
    <definedName name="R.Payment.PrintArea" hidden="1">'Payment Information'!$B$1:$F$80</definedName>
    <definedName name="R.Payment.Timestamp" hidden="1">'Payment Information'!$C$74</definedName>
    <definedName name="R.Performance.CreditCount" hidden="1">'Performance Credit Information'!$C$1020</definedName>
    <definedName name="R.Performance.FulfilledPerformance" hidden="1">'Performance Credit Information'!$C$7</definedName>
    <definedName name="R.Performance.Notification" hidden="1">'Performance Credit Information'!$C$1026</definedName>
    <definedName name="R.Performance.PrintArea" hidden="1">'Performance Credit Information'!$B$1:$G$1028</definedName>
    <definedName name="R.Performance.RowCreditCount" hidden="1">'Performance Credit Information'!$F$18:$F$1017</definedName>
    <definedName name="R.Performance.RowNumber" hidden="1">'Performance Credit Information'!$C$18:$C$1017</definedName>
    <definedName name="R.Performance.Timestamp" hidden="1">'Performance Credit Information'!$C$1022</definedName>
    <definedName name="R.Summary.PrintArea" hidden="1">Summary!$B$1:$F$26</definedName>
    <definedName name="S.CCUS.Table1" hidden="1">'CCUS Credit Information'!$D$18:$E$1017</definedName>
    <definedName name="S.Compliance.Table1" hidden="1">'Compliance Information'!$D$17:$F$36</definedName>
    <definedName name="S.Developer.Inputs" hidden="1">Developer!$B$4:$I$4089</definedName>
    <definedName name="S.Developer.LastEntry" hidden="1">Developer!$E$4:$E$4089</definedName>
    <definedName name="S.Developer.Lookups" hidden="1">Developer!$S$4:$T$15</definedName>
    <definedName name="S.Developer.Ranges" hidden="1">Developer!$N$4:$Q$37</definedName>
    <definedName name="S.Developer.Sections" hidden="1">Developer!$K$4:$L$13</definedName>
    <definedName name="S.Payment.Contact" hidden="1">'Payment Information'!$B$49:$F$73</definedName>
    <definedName name="S.Payment.Options" hidden="1">'Payment Information'!$B$21:$F$48</definedName>
    <definedName name="S.Performance.Table1" hidden="1">'Performance Credit Information'!$D$18:$E$1017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 i="6" l="1"/>
  <c r="P6" i="6"/>
  <c r="P11" i="6"/>
  <c r="P18" i="6"/>
  <c r="P25" i="6"/>
  <c r="P31" i="6"/>
  <c r="P35" i="6"/>
  <c r="P36" i="6"/>
  <c r="F4" i="6"/>
  <c r="H4" i="6"/>
  <c r="F5" i="6"/>
  <c r="H5" i="6"/>
  <c r="F6" i="6"/>
  <c r="H6" i="6"/>
  <c r="F7" i="6"/>
  <c r="H7" i="6" s="1"/>
  <c r="F8" i="6"/>
  <c r="H8" i="6" s="1"/>
  <c r="F9" i="6"/>
  <c r="H9" i="6"/>
  <c r="F10" i="6"/>
  <c r="H10" i="6" s="1"/>
  <c r="F11" i="6"/>
  <c r="H11" i="6" s="1"/>
  <c r="F12" i="6"/>
  <c r="H12" i="6" s="1"/>
  <c r="F13" i="6"/>
  <c r="H13" i="6" s="1"/>
  <c r="F14" i="6"/>
  <c r="H14" i="6" s="1"/>
  <c r="F15" i="6"/>
  <c r="H15" i="6" s="1"/>
  <c r="F16" i="6"/>
  <c r="H16" i="6" s="1"/>
  <c r="F17" i="6"/>
  <c r="H17" i="6" s="1"/>
  <c r="F18" i="6"/>
  <c r="H18" i="6" s="1"/>
  <c r="F19" i="6"/>
  <c r="H19" i="6" s="1"/>
  <c r="F20" i="6"/>
  <c r="H20" i="6" s="1"/>
  <c r="F21" i="6"/>
  <c r="H21" i="6"/>
  <c r="F22" i="6"/>
  <c r="H22" i="6" s="1"/>
  <c r="F23" i="6"/>
  <c r="H23" i="6" s="1"/>
  <c r="F24" i="6"/>
  <c r="H24" i="6" s="1"/>
  <c r="F25" i="6"/>
  <c r="H25" i="6" s="1"/>
  <c r="F26" i="6"/>
  <c r="H26" i="6" s="1"/>
  <c r="F27" i="6"/>
  <c r="H27" i="6" s="1"/>
  <c r="F28" i="6"/>
  <c r="H28" i="6" s="1"/>
  <c r="F29" i="6"/>
  <c r="H29" i="6" s="1"/>
  <c r="F30" i="6"/>
  <c r="H30" i="6" s="1"/>
  <c r="F31" i="6"/>
  <c r="H31" i="6" s="1"/>
  <c r="F32" i="6"/>
  <c r="H32" i="6" s="1"/>
  <c r="F33" i="6"/>
  <c r="H33" i="6"/>
  <c r="F34" i="6"/>
  <c r="H34" i="6" s="1"/>
  <c r="F35" i="6"/>
  <c r="H35" i="6" s="1"/>
  <c r="F36" i="6"/>
  <c r="H36" i="6" s="1"/>
  <c r="F37" i="6"/>
  <c r="H37" i="6" s="1"/>
  <c r="F38" i="6"/>
  <c r="H38" i="6" s="1"/>
  <c r="F39" i="6"/>
  <c r="H39" i="6" s="1"/>
  <c r="F40" i="6"/>
  <c r="H40" i="6" s="1"/>
  <c r="F41" i="6"/>
  <c r="H41" i="6" s="1"/>
  <c r="F42" i="6"/>
  <c r="H42" i="6" s="1"/>
  <c r="F43" i="6"/>
  <c r="H43" i="6" s="1"/>
  <c r="F44" i="6"/>
  <c r="H44" i="6" s="1"/>
  <c r="F45" i="6"/>
  <c r="H45" i="6" s="1"/>
  <c r="F46" i="6"/>
  <c r="H46" i="6" s="1"/>
  <c r="F47" i="6"/>
  <c r="H47" i="6" s="1"/>
  <c r="F48" i="6"/>
  <c r="H48" i="6" s="1"/>
  <c r="F49" i="6"/>
  <c r="H49" i="6" s="1"/>
  <c r="F50" i="6"/>
  <c r="H50" i="6" s="1"/>
  <c r="F51" i="6"/>
  <c r="H51" i="6" s="1"/>
  <c r="F52" i="6"/>
  <c r="H52" i="6" s="1"/>
  <c r="F53" i="6"/>
  <c r="H53" i="6" s="1"/>
  <c r="F54" i="6"/>
  <c r="H54" i="6" s="1"/>
  <c r="F55" i="6"/>
  <c r="H55" i="6" s="1"/>
  <c r="F56" i="6"/>
  <c r="H56" i="6" s="1"/>
  <c r="F57" i="6"/>
  <c r="H57" i="6" s="1"/>
  <c r="F58" i="6"/>
  <c r="H58" i="6" s="1"/>
  <c r="F59" i="6"/>
  <c r="H59" i="6" s="1"/>
  <c r="F60" i="6"/>
  <c r="H60" i="6" s="1"/>
  <c r="F61" i="6"/>
  <c r="H61" i="6" s="1"/>
  <c r="F62" i="6"/>
  <c r="H62" i="6" s="1"/>
  <c r="F63" i="6"/>
  <c r="H63" i="6" s="1"/>
  <c r="F64" i="6"/>
  <c r="H64" i="6" s="1"/>
  <c r="F65" i="6"/>
  <c r="H65" i="6" s="1"/>
  <c r="F66" i="6"/>
  <c r="H66" i="6" s="1"/>
  <c r="F67" i="6"/>
  <c r="H67" i="6"/>
  <c r="F68" i="6"/>
  <c r="H68" i="6"/>
  <c r="F70" i="6"/>
  <c r="H70" i="6"/>
  <c r="F71" i="6"/>
  <c r="H71" i="6" s="1"/>
  <c r="F72" i="6"/>
  <c r="H72" i="6" s="1"/>
  <c r="F73" i="6"/>
  <c r="H73" i="6" s="1"/>
  <c r="F74" i="6"/>
  <c r="H74" i="6" s="1"/>
  <c r="F75" i="6"/>
  <c r="H75" i="6" s="1"/>
  <c r="F76" i="6"/>
  <c r="H76" i="6" s="1"/>
  <c r="F77" i="6"/>
  <c r="H77" i="6" s="1"/>
  <c r="F78" i="6"/>
  <c r="H78" i="6" s="1"/>
  <c r="F79" i="6"/>
  <c r="H79" i="6" s="1"/>
  <c r="F80" i="6"/>
  <c r="H80" i="6" s="1"/>
  <c r="F81" i="6"/>
  <c r="H81" i="6" s="1"/>
  <c r="F82" i="6"/>
  <c r="H82" i="6" s="1"/>
  <c r="F83" i="6"/>
  <c r="H83" i="6" s="1"/>
  <c r="F84" i="6"/>
  <c r="H84" i="6" s="1"/>
  <c r="F85" i="6"/>
  <c r="H85" i="6" s="1"/>
  <c r="F86" i="6"/>
  <c r="H86" i="6" s="1"/>
  <c r="F87" i="6"/>
  <c r="H87" i="6" s="1"/>
  <c r="F88" i="6"/>
  <c r="H88" i="6" s="1"/>
  <c r="F89" i="6"/>
  <c r="H89" i="6" s="1"/>
  <c r="F90" i="6"/>
  <c r="H90" i="6" s="1"/>
  <c r="F91" i="6"/>
  <c r="H91" i="6" s="1"/>
  <c r="F92" i="6"/>
  <c r="H92" i="6" s="1"/>
  <c r="F93" i="6"/>
  <c r="H93" i="6" s="1"/>
  <c r="F94" i="6"/>
  <c r="H94" i="6" s="1"/>
  <c r="F95" i="6"/>
  <c r="H95" i="6" s="1"/>
  <c r="F96" i="6"/>
  <c r="H96" i="6" s="1"/>
  <c r="F97" i="6"/>
  <c r="H97" i="6" s="1"/>
  <c r="F98" i="6"/>
  <c r="H98" i="6" s="1"/>
  <c r="F99" i="6"/>
  <c r="H99" i="6" s="1"/>
  <c r="F100" i="6"/>
  <c r="H100" i="6" s="1"/>
  <c r="F101" i="6"/>
  <c r="H101" i="6" s="1"/>
  <c r="F102" i="6"/>
  <c r="H102" i="6" s="1"/>
  <c r="F103" i="6"/>
  <c r="H103" i="6" s="1"/>
  <c r="F104" i="6"/>
  <c r="H104" i="6" s="1"/>
  <c r="F105" i="6"/>
  <c r="H105" i="6" s="1"/>
  <c r="F106" i="6"/>
  <c r="H106" i="6" s="1"/>
  <c r="F107" i="6"/>
  <c r="H107" i="6" s="1"/>
  <c r="F108" i="6"/>
  <c r="H108" i="6" s="1"/>
  <c r="F109" i="6"/>
  <c r="H109" i="6" s="1"/>
  <c r="F110" i="6"/>
  <c r="H110" i="6" s="1"/>
  <c r="F111" i="6"/>
  <c r="H111" i="6" s="1"/>
  <c r="F112" i="6"/>
  <c r="H112" i="6" s="1"/>
  <c r="F113" i="6"/>
  <c r="H113" i="6" s="1"/>
  <c r="F114" i="6"/>
  <c r="H114" i="6" s="1"/>
  <c r="F115" i="6"/>
  <c r="H115" i="6" s="1"/>
  <c r="F116" i="6"/>
  <c r="H116" i="6" s="1"/>
  <c r="F117" i="6"/>
  <c r="H117" i="6" s="1"/>
  <c r="F118" i="6"/>
  <c r="H118" i="6" s="1"/>
  <c r="F119" i="6"/>
  <c r="H119" i="6" s="1"/>
  <c r="F120" i="6"/>
  <c r="H120" i="6" s="1"/>
  <c r="F121" i="6"/>
  <c r="H121" i="6" s="1"/>
  <c r="F122" i="6"/>
  <c r="H122" i="6" s="1"/>
  <c r="F123" i="6"/>
  <c r="H123" i="6" s="1"/>
  <c r="F124" i="6"/>
  <c r="H124" i="6" s="1"/>
  <c r="F125" i="6"/>
  <c r="H125" i="6" s="1"/>
  <c r="F126" i="6"/>
  <c r="H126" i="6" s="1"/>
  <c r="F127" i="6"/>
  <c r="H127" i="6" s="1"/>
  <c r="F128" i="6"/>
  <c r="H128" i="6" s="1"/>
  <c r="F129" i="6"/>
  <c r="H129" i="6" s="1"/>
  <c r="F130" i="6"/>
  <c r="H130" i="6" s="1"/>
  <c r="F131" i="6"/>
  <c r="H131" i="6" s="1"/>
  <c r="F132" i="6"/>
  <c r="H132" i="6" s="1"/>
  <c r="F133" i="6"/>
  <c r="H133" i="6" s="1"/>
  <c r="F134" i="6"/>
  <c r="H134" i="6" s="1"/>
  <c r="F135" i="6"/>
  <c r="H135" i="6" s="1"/>
  <c r="F136" i="6"/>
  <c r="H136" i="6" s="1"/>
  <c r="F137" i="6"/>
  <c r="H137" i="6" s="1"/>
  <c r="F138" i="6"/>
  <c r="H138" i="6" s="1"/>
  <c r="F139" i="6"/>
  <c r="H139" i="6" s="1"/>
  <c r="F140" i="6"/>
  <c r="H140" i="6" s="1"/>
  <c r="F141" i="6"/>
  <c r="H141" i="6" s="1"/>
  <c r="F142" i="6"/>
  <c r="H142" i="6" s="1"/>
  <c r="F143" i="6"/>
  <c r="H143" i="6" s="1"/>
  <c r="F144" i="6"/>
  <c r="H144" i="6" s="1"/>
  <c r="F145" i="6"/>
  <c r="H145" i="6" s="1"/>
  <c r="F146" i="6"/>
  <c r="H146" i="6" s="1"/>
  <c r="F147" i="6"/>
  <c r="H147" i="6" s="1"/>
  <c r="F148" i="6"/>
  <c r="H148" i="6" s="1"/>
  <c r="F149" i="6"/>
  <c r="H149" i="6" s="1"/>
  <c r="F150" i="6"/>
  <c r="H150" i="6" s="1"/>
  <c r="F151" i="6"/>
  <c r="H151" i="6" s="1"/>
  <c r="F152" i="6"/>
  <c r="H152" i="6" s="1"/>
  <c r="F153" i="6"/>
  <c r="H153" i="6" s="1"/>
  <c r="F154" i="6"/>
  <c r="H154" i="6" s="1"/>
  <c r="F155" i="6"/>
  <c r="H155" i="6" s="1"/>
  <c r="F156" i="6"/>
  <c r="H156" i="6" s="1"/>
  <c r="F157" i="6"/>
  <c r="H157" i="6" s="1"/>
  <c r="F158" i="6"/>
  <c r="H158" i="6" s="1"/>
  <c r="F159" i="6"/>
  <c r="H159" i="6" s="1"/>
  <c r="F160" i="6"/>
  <c r="H160" i="6" s="1"/>
  <c r="F161" i="6"/>
  <c r="H161" i="6" s="1"/>
  <c r="F162" i="6"/>
  <c r="H162" i="6" s="1"/>
  <c r="F163" i="6"/>
  <c r="H163" i="6" s="1"/>
  <c r="F164" i="6"/>
  <c r="H164" i="6" s="1"/>
  <c r="F165" i="6"/>
  <c r="H165" i="6" s="1"/>
  <c r="F166" i="6"/>
  <c r="H166" i="6" s="1"/>
  <c r="F167" i="6"/>
  <c r="H167" i="6" s="1"/>
  <c r="F168" i="6"/>
  <c r="H168" i="6" s="1"/>
  <c r="F169" i="6"/>
  <c r="H169" i="6" s="1"/>
  <c r="F170" i="6"/>
  <c r="H170" i="6" s="1"/>
  <c r="F171" i="6"/>
  <c r="H171" i="6" s="1"/>
  <c r="F172" i="6"/>
  <c r="H172" i="6" s="1"/>
  <c r="F173" i="6"/>
  <c r="H173" i="6" s="1"/>
  <c r="F174" i="6"/>
  <c r="H174" i="6" s="1"/>
  <c r="F175" i="6"/>
  <c r="H175" i="6" s="1"/>
  <c r="F176" i="6"/>
  <c r="H176" i="6" s="1"/>
  <c r="F177" i="6"/>
  <c r="H177" i="6" s="1"/>
  <c r="F178" i="6"/>
  <c r="H178" i="6" s="1"/>
  <c r="F179" i="6"/>
  <c r="H179" i="6" s="1"/>
  <c r="F180" i="6"/>
  <c r="H180" i="6" s="1"/>
  <c r="F181" i="6"/>
  <c r="H181" i="6" s="1"/>
  <c r="F182" i="6"/>
  <c r="H182" i="6" s="1"/>
  <c r="F183" i="6"/>
  <c r="H183" i="6" s="1"/>
  <c r="F184" i="6"/>
  <c r="H184" i="6" s="1"/>
  <c r="F185" i="6"/>
  <c r="H185" i="6" s="1"/>
  <c r="F186" i="6"/>
  <c r="H186" i="6" s="1"/>
  <c r="F187" i="6"/>
  <c r="H187" i="6" s="1"/>
  <c r="F188" i="6"/>
  <c r="H188" i="6" s="1"/>
  <c r="F189" i="6"/>
  <c r="H189" i="6" s="1"/>
  <c r="F190" i="6"/>
  <c r="H190" i="6" s="1"/>
  <c r="F191" i="6"/>
  <c r="H191" i="6" s="1"/>
  <c r="F192" i="6"/>
  <c r="H192" i="6" s="1"/>
  <c r="F193" i="6"/>
  <c r="H193" i="6" s="1"/>
  <c r="F194" i="6"/>
  <c r="H194" i="6" s="1"/>
  <c r="F195" i="6"/>
  <c r="H195" i="6" s="1"/>
  <c r="F196" i="6"/>
  <c r="H196" i="6" s="1"/>
  <c r="F197" i="6"/>
  <c r="H197" i="6" s="1"/>
  <c r="F198" i="6"/>
  <c r="H198" i="6" s="1"/>
  <c r="F199" i="6"/>
  <c r="H199" i="6" s="1"/>
  <c r="F200" i="6"/>
  <c r="H200" i="6" s="1"/>
  <c r="F201" i="6"/>
  <c r="H201" i="6" s="1"/>
  <c r="F202" i="6"/>
  <c r="H202" i="6" s="1"/>
  <c r="F203" i="6"/>
  <c r="H203" i="6" s="1"/>
  <c r="F204" i="6"/>
  <c r="H204" i="6" s="1"/>
  <c r="F205" i="6"/>
  <c r="H205" i="6" s="1"/>
  <c r="F206" i="6"/>
  <c r="H206" i="6" s="1"/>
  <c r="F207" i="6"/>
  <c r="H207" i="6" s="1"/>
  <c r="F208" i="6"/>
  <c r="H208" i="6" s="1"/>
  <c r="F209" i="6"/>
  <c r="H209" i="6" s="1"/>
  <c r="F210" i="6"/>
  <c r="H210" i="6" s="1"/>
  <c r="F211" i="6"/>
  <c r="H211" i="6" s="1"/>
  <c r="F212" i="6"/>
  <c r="H212" i="6" s="1"/>
  <c r="F213" i="6"/>
  <c r="H213" i="6" s="1"/>
  <c r="F214" i="6"/>
  <c r="H214" i="6" s="1"/>
  <c r="F215" i="6"/>
  <c r="H215" i="6" s="1"/>
  <c r="F216" i="6"/>
  <c r="H216" i="6" s="1"/>
  <c r="F217" i="6"/>
  <c r="H217" i="6" s="1"/>
  <c r="F218" i="6"/>
  <c r="H218" i="6" s="1"/>
  <c r="F219" i="6"/>
  <c r="H219" i="6" s="1"/>
  <c r="F220" i="6"/>
  <c r="H220" i="6" s="1"/>
  <c r="F221" i="6"/>
  <c r="H221" i="6" s="1"/>
  <c r="F222" i="6"/>
  <c r="H222" i="6" s="1"/>
  <c r="F223" i="6"/>
  <c r="H223" i="6" s="1"/>
  <c r="F224" i="6"/>
  <c r="H224" i="6" s="1"/>
  <c r="F225" i="6"/>
  <c r="H225" i="6" s="1"/>
  <c r="F226" i="6"/>
  <c r="H226" i="6" s="1"/>
  <c r="F227" i="6"/>
  <c r="H227" i="6" s="1"/>
  <c r="F228" i="6"/>
  <c r="H228" i="6" s="1"/>
  <c r="F229" i="6"/>
  <c r="H229" i="6" s="1"/>
  <c r="F230" i="6"/>
  <c r="H230" i="6" s="1"/>
  <c r="F231" i="6"/>
  <c r="H231" i="6" s="1"/>
  <c r="F232" i="6"/>
  <c r="H232" i="6" s="1"/>
  <c r="F233" i="6"/>
  <c r="H233" i="6" s="1"/>
  <c r="F234" i="6"/>
  <c r="H234" i="6" s="1"/>
  <c r="F235" i="6"/>
  <c r="H235" i="6" s="1"/>
  <c r="F236" i="6"/>
  <c r="H236" i="6" s="1"/>
  <c r="F237" i="6"/>
  <c r="H237" i="6" s="1"/>
  <c r="F238" i="6"/>
  <c r="H238" i="6" s="1"/>
  <c r="F239" i="6"/>
  <c r="H239" i="6" s="1"/>
  <c r="F240" i="6"/>
  <c r="H240" i="6" s="1"/>
  <c r="F241" i="6"/>
  <c r="H241" i="6" s="1"/>
  <c r="F242" i="6"/>
  <c r="H242" i="6" s="1"/>
  <c r="F243" i="6"/>
  <c r="H243" i="6" s="1"/>
  <c r="F244" i="6"/>
  <c r="H244" i="6" s="1"/>
  <c r="F245" i="6"/>
  <c r="H245" i="6" s="1"/>
  <c r="F246" i="6"/>
  <c r="H246" i="6" s="1"/>
  <c r="F247" i="6"/>
  <c r="H247" i="6" s="1"/>
  <c r="F248" i="6"/>
  <c r="H248" i="6" s="1"/>
  <c r="F249" i="6"/>
  <c r="H249" i="6" s="1"/>
  <c r="F250" i="6"/>
  <c r="H250" i="6" s="1"/>
  <c r="F251" i="6"/>
  <c r="H251" i="6" s="1"/>
  <c r="F252" i="6"/>
  <c r="H252" i="6" s="1"/>
  <c r="F253" i="6"/>
  <c r="H253" i="6" s="1"/>
  <c r="F254" i="6"/>
  <c r="H254" i="6" s="1"/>
  <c r="F255" i="6"/>
  <c r="H255" i="6" s="1"/>
  <c r="F256" i="6"/>
  <c r="H256" i="6" s="1"/>
  <c r="F257" i="6"/>
  <c r="H257" i="6" s="1"/>
  <c r="F258" i="6"/>
  <c r="H258" i="6" s="1"/>
  <c r="F259" i="6"/>
  <c r="H259" i="6" s="1"/>
  <c r="F260" i="6"/>
  <c r="H260" i="6" s="1"/>
  <c r="F261" i="6"/>
  <c r="H261" i="6" s="1"/>
  <c r="F262" i="6"/>
  <c r="H262" i="6" s="1"/>
  <c r="F263" i="6"/>
  <c r="H263" i="6" s="1"/>
  <c r="F264" i="6"/>
  <c r="H264" i="6" s="1"/>
  <c r="F265" i="6"/>
  <c r="H265" i="6" s="1"/>
  <c r="F266" i="6"/>
  <c r="H266" i="6" s="1"/>
  <c r="F267" i="6"/>
  <c r="H267" i="6" s="1"/>
  <c r="F268" i="6"/>
  <c r="H268" i="6" s="1"/>
  <c r="F269" i="6"/>
  <c r="H269" i="6" s="1"/>
  <c r="F270" i="6"/>
  <c r="H270" i="6" s="1"/>
  <c r="F271" i="6"/>
  <c r="H271" i="6" s="1"/>
  <c r="F272" i="6"/>
  <c r="H272" i="6" s="1"/>
  <c r="F273" i="6"/>
  <c r="H273" i="6" s="1"/>
  <c r="F274" i="6"/>
  <c r="H274" i="6" s="1"/>
  <c r="F275" i="6"/>
  <c r="H275" i="6" s="1"/>
  <c r="F276" i="6"/>
  <c r="H276" i="6" s="1"/>
  <c r="F277" i="6"/>
  <c r="H277" i="6" s="1"/>
  <c r="F278" i="6"/>
  <c r="H278" i="6" s="1"/>
  <c r="F279" i="6"/>
  <c r="H279" i="6" s="1"/>
  <c r="F280" i="6"/>
  <c r="H280" i="6" s="1"/>
  <c r="F281" i="6"/>
  <c r="H281" i="6" s="1"/>
  <c r="F282" i="6"/>
  <c r="H282" i="6" s="1"/>
  <c r="F283" i="6"/>
  <c r="H283" i="6" s="1"/>
  <c r="F284" i="6"/>
  <c r="H284" i="6" s="1"/>
  <c r="F285" i="6"/>
  <c r="H285" i="6" s="1"/>
  <c r="F286" i="6"/>
  <c r="H286" i="6" s="1"/>
  <c r="F287" i="6"/>
  <c r="H287" i="6" s="1"/>
  <c r="F288" i="6"/>
  <c r="H288" i="6" s="1"/>
  <c r="F289" i="6"/>
  <c r="H289" i="6" s="1"/>
  <c r="F290" i="6"/>
  <c r="H290" i="6" s="1"/>
  <c r="F291" i="6"/>
  <c r="H291" i="6" s="1"/>
  <c r="F292" i="6"/>
  <c r="H292" i="6" s="1"/>
  <c r="F293" i="6"/>
  <c r="H293" i="6" s="1"/>
  <c r="F294" i="6"/>
  <c r="H294" i="6" s="1"/>
  <c r="F295" i="6"/>
  <c r="H295" i="6" s="1"/>
  <c r="F296" i="6"/>
  <c r="H296" i="6" s="1"/>
  <c r="F297" i="6"/>
  <c r="H297" i="6" s="1"/>
  <c r="F298" i="6"/>
  <c r="H298" i="6" s="1"/>
  <c r="F299" i="6"/>
  <c r="H299" i="6" s="1"/>
  <c r="F300" i="6"/>
  <c r="H300" i="6" s="1"/>
  <c r="F301" i="6"/>
  <c r="H301" i="6" s="1"/>
  <c r="F302" i="6"/>
  <c r="H302" i="6" s="1"/>
  <c r="F303" i="6"/>
  <c r="H303" i="6" s="1"/>
  <c r="F304" i="6"/>
  <c r="H304" i="6" s="1"/>
  <c r="F305" i="6"/>
  <c r="H305" i="6" s="1"/>
  <c r="F306" i="6"/>
  <c r="H306" i="6" s="1"/>
  <c r="F307" i="6"/>
  <c r="H307" i="6" s="1"/>
  <c r="F308" i="6"/>
  <c r="H308" i="6" s="1"/>
  <c r="F309" i="6"/>
  <c r="H309" i="6" s="1"/>
  <c r="F310" i="6"/>
  <c r="H310" i="6" s="1"/>
  <c r="F311" i="6"/>
  <c r="H311" i="6" s="1"/>
  <c r="F312" i="6"/>
  <c r="H312" i="6" s="1"/>
  <c r="F313" i="6"/>
  <c r="H313" i="6" s="1"/>
  <c r="F314" i="6"/>
  <c r="H314" i="6" s="1"/>
  <c r="F315" i="6"/>
  <c r="H315" i="6" s="1"/>
  <c r="F316" i="6"/>
  <c r="H316" i="6" s="1"/>
  <c r="F317" i="6"/>
  <c r="H317" i="6" s="1"/>
  <c r="F318" i="6"/>
  <c r="H318" i="6" s="1"/>
  <c r="F319" i="6"/>
  <c r="H319" i="6" s="1"/>
  <c r="F320" i="6"/>
  <c r="H320" i="6" s="1"/>
  <c r="F321" i="6"/>
  <c r="H321" i="6" s="1"/>
  <c r="F322" i="6"/>
  <c r="H322" i="6" s="1"/>
  <c r="F323" i="6"/>
  <c r="H323" i="6" s="1"/>
  <c r="F324" i="6"/>
  <c r="H324" i="6" s="1"/>
  <c r="F325" i="6"/>
  <c r="H325" i="6" s="1"/>
  <c r="F326" i="6"/>
  <c r="H326" i="6" s="1"/>
  <c r="F327" i="6"/>
  <c r="H327" i="6" s="1"/>
  <c r="F328" i="6"/>
  <c r="H328" i="6" s="1"/>
  <c r="F329" i="6"/>
  <c r="H329" i="6" s="1"/>
  <c r="F330" i="6"/>
  <c r="H330" i="6" s="1"/>
  <c r="F331" i="6"/>
  <c r="H331" i="6" s="1"/>
  <c r="F332" i="6"/>
  <c r="H332" i="6" s="1"/>
  <c r="F333" i="6"/>
  <c r="H333" i="6" s="1"/>
  <c r="F334" i="6"/>
  <c r="H334" i="6" s="1"/>
  <c r="F335" i="6"/>
  <c r="H335" i="6" s="1"/>
  <c r="F336" i="6"/>
  <c r="H336" i="6" s="1"/>
  <c r="F337" i="6"/>
  <c r="H337" i="6" s="1"/>
  <c r="F338" i="6"/>
  <c r="H338" i="6" s="1"/>
  <c r="F339" i="6"/>
  <c r="H339" i="6" s="1"/>
  <c r="F340" i="6"/>
  <c r="H340" i="6" s="1"/>
  <c r="F341" i="6"/>
  <c r="H341" i="6" s="1"/>
  <c r="F342" i="6"/>
  <c r="H342" i="6" s="1"/>
  <c r="F343" i="6"/>
  <c r="H343" i="6" s="1"/>
  <c r="F344" i="6"/>
  <c r="H344" i="6" s="1"/>
  <c r="F345" i="6"/>
  <c r="H345" i="6" s="1"/>
  <c r="F346" i="6"/>
  <c r="H346" i="6" s="1"/>
  <c r="F347" i="6"/>
  <c r="H347" i="6" s="1"/>
  <c r="F348" i="6"/>
  <c r="H348" i="6" s="1"/>
  <c r="F349" i="6"/>
  <c r="H349" i="6" s="1"/>
  <c r="F350" i="6"/>
  <c r="H350" i="6" s="1"/>
  <c r="F351" i="6"/>
  <c r="H351" i="6" s="1"/>
  <c r="F352" i="6"/>
  <c r="H352" i="6" s="1"/>
  <c r="F353" i="6"/>
  <c r="H353" i="6" s="1"/>
  <c r="F354" i="6"/>
  <c r="H354" i="6" s="1"/>
  <c r="F355" i="6"/>
  <c r="H355" i="6" s="1"/>
  <c r="F356" i="6"/>
  <c r="H356" i="6" s="1"/>
  <c r="F357" i="6"/>
  <c r="H357" i="6" s="1"/>
  <c r="F358" i="6"/>
  <c r="H358" i="6" s="1"/>
  <c r="F359" i="6"/>
  <c r="H359" i="6" s="1"/>
  <c r="F360" i="6"/>
  <c r="H360" i="6" s="1"/>
  <c r="F361" i="6"/>
  <c r="H361" i="6" s="1"/>
  <c r="F362" i="6"/>
  <c r="H362" i="6" s="1"/>
  <c r="F363" i="6"/>
  <c r="H363" i="6" s="1"/>
  <c r="F364" i="6"/>
  <c r="H364" i="6" s="1"/>
  <c r="F365" i="6"/>
  <c r="H365" i="6" s="1"/>
  <c r="F366" i="6"/>
  <c r="H366" i="6" s="1"/>
  <c r="F367" i="6"/>
  <c r="H367" i="6" s="1"/>
  <c r="F368" i="6"/>
  <c r="H368" i="6" s="1"/>
  <c r="F369" i="6"/>
  <c r="H369" i="6" s="1"/>
  <c r="F370" i="6"/>
  <c r="H370" i="6" s="1"/>
  <c r="F371" i="6"/>
  <c r="H371" i="6" s="1"/>
  <c r="F372" i="6"/>
  <c r="H372" i="6" s="1"/>
  <c r="F373" i="6"/>
  <c r="H373" i="6" s="1"/>
  <c r="F374" i="6"/>
  <c r="H374" i="6" s="1"/>
  <c r="F375" i="6"/>
  <c r="H375" i="6" s="1"/>
  <c r="F376" i="6"/>
  <c r="H376" i="6" s="1"/>
  <c r="F377" i="6"/>
  <c r="H377" i="6" s="1"/>
  <c r="F378" i="6"/>
  <c r="H378" i="6" s="1"/>
  <c r="F379" i="6"/>
  <c r="H379" i="6" s="1"/>
  <c r="F380" i="6"/>
  <c r="H380" i="6" s="1"/>
  <c r="F381" i="6"/>
  <c r="H381" i="6" s="1"/>
  <c r="F382" i="6"/>
  <c r="H382" i="6" s="1"/>
  <c r="F383" i="6"/>
  <c r="H383" i="6" s="1"/>
  <c r="F384" i="6"/>
  <c r="H384" i="6" s="1"/>
  <c r="F385" i="6"/>
  <c r="H385" i="6" s="1"/>
  <c r="F386" i="6"/>
  <c r="H386" i="6" s="1"/>
  <c r="F387" i="6"/>
  <c r="H387" i="6" s="1"/>
  <c r="F388" i="6"/>
  <c r="H388" i="6" s="1"/>
  <c r="F389" i="6"/>
  <c r="H389" i="6" s="1"/>
  <c r="F390" i="6"/>
  <c r="H390" i="6" s="1"/>
  <c r="F391" i="6"/>
  <c r="H391" i="6" s="1"/>
  <c r="F392" i="6"/>
  <c r="H392" i="6" s="1"/>
  <c r="F393" i="6"/>
  <c r="H393" i="6" s="1"/>
  <c r="F394" i="6"/>
  <c r="H394" i="6" s="1"/>
  <c r="F395" i="6"/>
  <c r="H395" i="6" s="1"/>
  <c r="F396" i="6"/>
  <c r="H396" i="6" s="1"/>
  <c r="F397" i="6"/>
  <c r="H397" i="6" s="1"/>
  <c r="F398" i="6"/>
  <c r="H398" i="6" s="1"/>
  <c r="F399" i="6"/>
  <c r="H399" i="6" s="1"/>
  <c r="F400" i="6"/>
  <c r="H400" i="6" s="1"/>
  <c r="F401" i="6"/>
  <c r="H401" i="6" s="1"/>
  <c r="F402" i="6"/>
  <c r="H402" i="6" s="1"/>
  <c r="F403" i="6"/>
  <c r="H403" i="6" s="1"/>
  <c r="F404" i="6"/>
  <c r="H404" i="6" s="1"/>
  <c r="F405" i="6"/>
  <c r="H405" i="6" s="1"/>
  <c r="F406" i="6"/>
  <c r="H406" i="6" s="1"/>
  <c r="F407" i="6"/>
  <c r="H407" i="6" s="1"/>
  <c r="F408" i="6"/>
  <c r="H408" i="6" s="1"/>
  <c r="F409" i="6"/>
  <c r="H409" i="6" s="1"/>
  <c r="F410" i="6"/>
  <c r="H410" i="6" s="1"/>
  <c r="F411" i="6"/>
  <c r="H411" i="6" s="1"/>
  <c r="F412" i="6"/>
  <c r="H412" i="6" s="1"/>
  <c r="F413" i="6"/>
  <c r="H413" i="6" s="1"/>
  <c r="F414" i="6"/>
  <c r="H414" i="6" s="1"/>
  <c r="F415" i="6"/>
  <c r="H415" i="6" s="1"/>
  <c r="F416" i="6"/>
  <c r="H416" i="6" s="1"/>
  <c r="F417" i="6"/>
  <c r="H417" i="6" s="1"/>
  <c r="F418" i="6"/>
  <c r="H418" i="6" s="1"/>
  <c r="F419" i="6"/>
  <c r="H419" i="6" s="1"/>
  <c r="F420" i="6"/>
  <c r="H420" i="6" s="1"/>
  <c r="F421" i="6"/>
  <c r="H421" i="6" s="1"/>
  <c r="F422" i="6"/>
  <c r="H422" i="6" s="1"/>
  <c r="F423" i="6"/>
  <c r="H423" i="6" s="1"/>
  <c r="F424" i="6"/>
  <c r="H424" i="6" s="1"/>
  <c r="F425" i="6"/>
  <c r="H425" i="6" s="1"/>
  <c r="F426" i="6"/>
  <c r="H426" i="6" s="1"/>
  <c r="F427" i="6"/>
  <c r="H427" i="6" s="1"/>
  <c r="F428" i="6"/>
  <c r="H428" i="6" s="1"/>
  <c r="F429" i="6"/>
  <c r="H429" i="6" s="1"/>
  <c r="F430" i="6"/>
  <c r="H430" i="6" s="1"/>
  <c r="F431" i="6"/>
  <c r="H431" i="6" s="1"/>
  <c r="F432" i="6"/>
  <c r="H432" i="6" s="1"/>
  <c r="F433" i="6"/>
  <c r="H433" i="6" s="1"/>
  <c r="F434" i="6"/>
  <c r="H434" i="6" s="1"/>
  <c r="F435" i="6"/>
  <c r="H435" i="6" s="1"/>
  <c r="F436" i="6"/>
  <c r="H436" i="6" s="1"/>
  <c r="F437" i="6"/>
  <c r="H437" i="6" s="1"/>
  <c r="F438" i="6"/>
  <c r="H438" i="6" s="1"/>
  <c r="F439" i="6"/>
  <c r="H439" i="6" s="1"/>
  <c r="F440" i="6"/>
  <c r="H440" i="6" s="1"/>
  <c r="F441" i="6"/>
  <c r="H441" i="6" s="1"/>
  <c r="F442" i="6"/>
  <c r="H442" i="6" s="1"/>
  <c r="F443" i="6"/>
  <c r="H443" i="6" s="1"/>
  <c r="F444" i="6"/>
  <c r="H444" i="6" s="1"/>
  <c r="F445" i="6"/>
  <c r="H445" i="6" s="1"/>
  <c r="F446" i="6"/>
  <c r="H446" i="6" s="1"/>
  <c r="F447" i="6"/>
  <c r="H447" i="6" s="1"/>
  <c r="F448" i="6"/>
  <c r="H448" i="6" s="1"/>
  <c r="F449" i="6"/>
  <c r="H449" i="6" s="1"/>
  <c r="F450" i="6"/>
  <c r="H450" i="6" s="1"/>
  <c r="F451" i="6"/>
  <c r="H451" i="6" s="1"/>
  <c r="F452" i="6"/>
  <c r="H452" i="6" s="1"/>
  <c r="F453" i="6"/>
  <c r="H453" i="6" s="1"/>
  <c r="F454" i="6"/>
  <c r="H454" i="6" s="1"/>
  <c r="F455" i="6"/>
  <c r="H455" i="6" s="1"/>
  <c r="F456" i="6"/>
  <c r="H456" i="6" s="1"/>
  <c r="F457" i="6"/>
  <c r="H457" i="6" s="1"/>
  <c r="F458" i="6"/>
  <c r="H458" i="6" s="1"/>
  <c r="F459" i="6"/>
  <c r="H459" i="6" s="1"/>
  <c r="F460" i="6"/>
  <c r="H460" i="6" s="1"/>
  <c r="F461" i="6"/>
  <c r="H461" i="6" s="1"/>
  <c r="F462" i="6"/>
  <c r="H462" i="6" s="1"/>
  <c r="F463" i="6"/>
  <c r="H463" i="6" s="1"/>
  <c r="F464" i="6"/>
  <c r="H464" i="6" s="1"/>
  <c r="F465" i="6"/>
  <c r="H465" i="6" s="1"/>
  <c r="F466" i="6"/>
  <c r="H466" i="6" s="1"/>
  <c r="F467" i="6"/>
  <c r="H467" i="6" s="1"/>
  <c r="F468" i="6"/>
  <c r="H468" i="6" s="1"/>
  <c r="F469" i="6"/>
  <c r="H469" i="6" s="1"/>
  <c r="F470" i="6"/>
  <c r="H470" i="6" s="1"/>
  <c r="F471" i="6"/>
  <c r="H471" i="6" s="1"/>
  <c r="F472" i="6"/>
  <c r="H472" i="6" s="1"/>
  <c r="F473" i="6"/>
  <c r="H473" i="6" s="1"/>
  <c r="F474" i="6"/>
  <c r="H474" i="6" s="1"/>
  <c r="F475" i="6"/>
  <c r="H475" i="6" s="1"/>
  <c r="F476" i="6"/>
  <c r="H476" i="6" s="1"/>
  <c r="F477" i="6"/>
  <c r="H477" i="6" s="1"/>
  <c r="F478" i="6"/>
  <c r="H478" i="6" s="1"/>
  <c r="F479" i="6"/>
  <c r="H479" i="6" s="1"/>
  <c r="F480" i="6"/>
  <c r="H480" i="6" s="1"/>
  <c r="F481" i="6"/>
  <c r="H481" i="6" s="1"/>
  <c r="F482" i="6"/>
  <c r="H482" i="6" s="1"/>
  <c r="F483" i="6"/>
  <c r="H483" i="6" s="1"/>
  <c r="F484" i="6"/>
  <c r="H484" i="6" s="1"/>
  <c r="F485" i="6"/>
  <c r="H485" i="6" s="1"/>
  <c r="F486" i="6"/>
  <c r="H486" i="6" s="1"/>
  <c r="F487" i="6"/>
  <c r="H487" i="6" s="1"/>
  <c r="F488" i="6"/>
  <c r="H488" i="6" s="1"/>
  <c r="F489" i="6"/>
  <c r="H489" i="6" s="1"/>
  <c r="F490" i="6"/>
  <c r="H490" i="6" s="1"/>
  <c r="F491" i="6"/>
  <c r="H491" i="6" s="1"/>
  <c r="F492" i="6"/>
  <c r="H492" i="6" s="1"/>
  <c r="F493" i="6"/>
  <c r="H493" i="6" s="1"/>
  <c r="F494" i="6"/>
  <c r="H494" i="6" s="1"/>
  <c r="F495" i="6"/>
  <c r="H495" i="6" s="1"/>
  <c r="F496" i="6"/>
  <c r="H496" i="6" s="1"/>
  <c r="F497" i="6"/>
  <c r="H497" i="6" s="1"/>
  <c r="F498" i="6"/>
  <c r="H498" i="6" s="1"/>
  <c r="F499" i="6"/>
  <c r="H499" i="6" s="1"/>
  <c r="F500" i="6"/>
  <c r="H500" i="6" s="1"/>
  <c r="F501" i="6"/>
  <c r="H501" i="6" s="1"/>
  <c r="F502" i="6"/>
  <c r="H502" i="6" s="1"/>
  <c r="F503" i="6"/>
  <c r="H503" i="6" s="1"/>
  <c r="F504" i="6"/>
  <c r="H504" i="6" s="1"/>
  <c r="F505" i="6"/>
  <c r="H505" i="6" s="1"/>
  <c r="F506" i="6"/>
  <c r="H506" i="6" s="1"/>
  <c r="F507" i="6"/>
  <c r="H507" i="6" s="1"/>
  <c r="F508" i="6"/>
  <c r="H508" i="6" s="1"/>
  <c r="F509" i="6"/>
  <c r="H509" i="6" s="1"/>
  <c r="F510" i="6"/>
  <c r="H510" i="6" s="1"/>
  <c r="F511" i="6"/>
  <c r="H511" i="6" s="1"/>
  <c r="F512" i="6"/>
  <c r="H512" i="6" s="1"/>
  <c r="F513" i="6"/>
  <c r="H513" i="6" s="1"/>
  <c r="F514" i="6"/>
  <c r="H514" i="6" s="1"/>
  <c r="F515" i="6"/>
  <c r="H515" i="6" s="1"/>
  <c r="F516" i="6"/>
  <c r="H516" i="6" s="1"/>
  <c r="F517" i="6"/>
  <c r="H517" i="6" s="1"/>
  <c r="F518" i="6"/>
  <c r="H518" i="6" s="1"/>
  <c r="F519" i="6"/>
  <c r="H519" i="6" s="1"/>
  <c r="F520" i="6"/>
  <c r="H520" i="6" s="1"/>
  <c r="F521" i="6"/>
  <c r="H521" i="6" s="1"/>
  <c r="F522" i="6"/>
  <c r="H522" i="6" s="1"/>
  <c r="F523" i="6"/>
  <c r="H523" i="6" s="1"/>
  <c r="F524" i="6"/>
  <c r="H524" i="6" s="1"/>
  <c r="F525" i="6"/>
  <c r="H525" i="6" s="1"/>
  <c r="F526" i="6"/>
  <c r="H526" i="6" s="1"/>
  <c r="F527" i="6"/>
  <c r="H527" i="6" s="1"/>
  <c r="F528" i="6"/>
  <c r="H528" i="6" s="1"/>
  <c r="F529" i="6"/>
  <c r="H529" i="6" s="1"/>
  <c r="F530" i="6"/>
  <c r="H530" i="6" s="1"/>
  <c r="F531" i="6"/>
  <c r="H531" i="6" s="1"/>
  <c r="F532" i="6"/>
  <c r="H532" i="6" s="1"/>
  <c r="F533" i="6"/>
  <c r="H533" i="6" s="1"/>
  <c r="F534" i="6"/>
  <c r="H534" i="6" s="1"/>
  <c r="F535" i="6"/>
  <c r="H535" i="6" s="1"/>
  <c r="F536" i="6"/>
  <c r="H536" i="6" s="1"/>
  <c r="F537" i="6"/>
  <c r="H537" i="6" s="1"/>
  <c r="F538" i="6"/>
  <c r="H538" i="6" s="1"/>
  <c r="F539" i="6"/>
  <c r="H539" i="6" s="1"/>
  <c r="F540" i="6"/>
  <c r="H540" i="6" s="1"/>
  <c r="F541" i="6"/>
  <c r="H541" i="6" s="1"/>
  <c r="F542" i="6"/>
  <c r="H542" i="6" s="1"/>
  <c r="F543" i="6"/>
  <c r="H543" i="6" s="1"/>
  <c r="F544" i="6"/>
  <c r="H544" i="6" s="1"/>
  <c r="F545" i="6"/>
  <c r="H545" i="6" s="1"/>
  <c r="F546" i="6"/>
  <c r="H546" i="6" s="1"/>
  <c r="F547" i="6"/>
  <c r="H547" i="6" s="1"/>
  <c r="F548" i="6"/>
  <c r="H548" i="6" s="1"/>
  <c r="F549" i="6"/>
  <c r="H549" i="6" s="1"/>
  <c r="F550" i="6"/>
  <c r="H550" i="6" s="1"/>
  <c r="F551" i="6"/>
  <c r="H551" i="6" s="1"/>
  <c r="F552" i="6"/>
  <c r="H552" i="6" s="1"/>
  <c r="F553" i="6"/>
  <c r="H553" i="6" s="1"/>
  <c r="F554" i="6"/>
  <c r="H554" i="6" s="1"/>
  <c r="F555" i="6"/>
  <c r="H555" i="6" s="1"/>
  <c r="F556" i="6"/>
  <c r="H556" i="6" s="1"/>
  <c r="F557" i="6"/>
  <c r="H557" i="6" s="1"/>
  <c r="F558" i="6"/>
  <c r="H558" i="6" s="1"/>
  <c r="F559" i="6"/>
  <c r="H559" i="6" s="1"/>
  <c r="F560" i="6"/>
  <c r="H560" i="6" s="1"/>
  <c r="F561" i="6"/>
  <c r="H561" i="6" s="1"/>
  <c r="F562" i="6"/>
  <c r="H562" i="6" s="1"/>
  <c r="F563" i="6"/>
  <c r="H563" i="6" s="1"/>
  <c r="F564" i="6"/>
  <c r="H564" i="6" s="1"/>
  <c r="F565" i="6"/>
  <c r="H565" i="6" s="1"/>
  <c r="F566" i="6"/>
  <c r="H566" i="6" s="1"/>
  <c r="F567" i="6"/>
  <c r="H567" i="6" s="1"/>
  <c r="F568" i="6"/>
  <c r="H568" i="6" s="1"/>
  <c r="F569" i="6"/>
  <c r="H569" i="6" s="1"/>
  <c r="F570" i="6"/>
  <c r="H570" i="6" s="1"/>
  <c r="F571" i="6"/>
  <c r="H571" i="6" s="1"/>
  <c r="F572" i="6"/>
  <c r="H572" i="6" s="1"/>
  <c r="F573" i="6"/>
  <c r="H573" i="6" s="1"/>
  <c r="F574" i="6"/>
  <c r="H574" i="6" s="1"/>
  <c r="F575" i="6"/>
  <c r="H575" i="6" s="1"/>
  <c r="F576" i="6"/>
  <c r="H576" i="6" s="1"/>
  <c r="F577" i="6"/>
  <c r="H577" i="6" s="1"/>
  <c r="F578" i="6"/>
  <c r="H578" i="6" s="1"/>
  <c r="F579" i="6"/>
  <c r="H579" i="6" s="1"/>
  <c r="F580" i="6"/>
  <c r="H580" i="6" s="1"/>
  <c r="F581" i="6"/>
  <c r="H581" i="6" s="1"/>
  <c r="F582" i="6"/>
  <c r="H582" i="6" s="1"/>
  <c r="F583" i="6"/>
  <c r="H583" i="6" s="1"/>
  <c r="F584" i="6"/>
  <c r="H584" i="6" s="1"/>
  <c r="F585" i="6"/>
  <c r="H585" i="6" s="1"/>
  <c r="F586" i="6"/>
  <c r="H586" i="6" s="1"/>
  <c r="F587" i="6"/>
  <c r="H587" i="6" s="1"/>
  <c r="F588" i="6"/>
  <c r="H588" i="6" s="1"/>
  <c r="F589" i="6"/>
  <c r="H589" i="6" s="1"/>
  <c r="F590" i="6"/>
  <c r="H590" i="6" s="1"/>
  <c r="F591" i="6"/>
  <c r="H591" i="6" s="1"/>
  <c r="F592" i="6"/>
  <c r="H592" i="6" s="1"/>
  <c r="F593" i="6"/>
  <c r="H593" i="6" s="1"/>
  <c r="F594" i="6"/>
  <c r="H594" i="6" s="1"/>
  <c r="F595" i="6"/>
  <c r="H595" i="6" s="1"/>
  <c r="F596" i="6"/>
  <c r="H596" i="6" s="1"/>
  <c r="F597" i="6"/>
  <c r="H597" i="6" s="1"/>
  <c r="F598" i="6"/>
  <c r="H598" i="6" s="1"/>
  <c r="F599" i="6"/>
  <c r="H599" i="6" s="1"/>
  <c r="F600" i="6"/>
  <c r="H600" i="6" s="1"/>
  <c r="F601" i="6"/>
  <c r="H601" i="6" s="1"/>
  <c r="F602" i="6"/>
  <c r="H602" i="6" s="1"/>
  <c r="F603" i="6"/>
  <c r="H603" i="6" s="1"/>
  <c r="F604" i="6"/>
  <c r="H604" i="6" s="1"/>
  <c r="F605" i="6"/>
  <c r="H605" i="6" s="1"/>
  <c r="F606" i="6"/>
  <c r="H606" i="6" s="1"/>
  <c r="F607" i="6"/>
  <c r="H607" i="6" s="1"/>
  <c r="F608" i="6"/>
  <c r="H608" i="6" s="1"/>
  <c r="F609" i="6"/>
  <c r="H609" i="6" s="1"/>
  <c r="F610" i="6"/>
  <c r="H610" i="6" s="1"/>
  <c r="F611" i="6"/>
  <c r="H611" i="6" s="1"/>
  <c r="F612" i="6"/>
  <c r="H612" i="6" s="1"/>
  <c r="F613" i="6"/>
  <c r="H613" i="6" s="1"/>
  <c r="F614" i="6"/>
  <c r="H614" i="6" s="1"/>
  <c r="F615" i="6"/>
  <c r="H615" i="6" s="1"/>
  <c r="F616" i="6"/>
  <c r="H616" i="6" s="1"/>
  <c r="F617" i="6"/>
  <c r="H617" i="6" s="1"/>
  <c r="F618" i="6"/>
  <c r="H618" i="6" s="1"/>
  <c r="F619" i="6"/>
  <c r="H619" i="6" s="1"/>
  <c r="F620" i="6"/>
  <c r="H620" i="6" s="1"/>
  <c r="F621" i="6"/>
  <c r="H621" i="6" s="1"/>
  <c r="F622" i="6"/>
  <c r="H622" i="6" s="1"/>
  <c r="F623" i="6"/>
  <c r="H623" i="6" s="1"/>
  <c r="F624" i="6"/>
  <c r="H624" i="6" s="1"/>
  <c r="F625" i="6"/>
  <c r="H625" i="6" s="1"/>
  <c r="F626" i="6"/>
  <c r="H626" i="6" s="1"/>
  <c r="F627" i="6"/>
  <c r="H627" i="6" s="1"/>
  <c r="F628" i="6"/>
  <c r="H628" i="6" s="1"/>
  <c r="F629" i="6"/>
  <c r="H629" i="6" s="1"/>
  <c r="F630" i="6"/>
  <c r="H630" i="6" s="1"/>
  <c r="F631" i="6"/>
  <c r="H631" i="6" s="1"/>
  <c r="F632" i="6"/>
  <c r="H632" i="6" s="1"/>
  <c r="F633" i="6"/>
  <c r="H633" i="6" s="1"/>
  <c r="F634" i="6"/>
  <c r="H634" i="6" s="1"/>
  <c r="F635" i="6"/>
  <c r="H635" i="6" s="1"/>
  <c r="F636" i="6"/>
  <c r="H636" i="6" s="1"/>
  <c r="F637" i="6"/>
  <c r="H637" i="6" s="1"/>
  <c r="F638" i="6"/>
  <c r="H638" i="6" s="1"/>
  <c r="F639" i="6"/>
  <c r="H639" i="6" s="1"/>
  <c r="F640" i="6"/>
  <c r="H640" i="6" s="1"/>
  <c r="F641" i="6"/>
  <c r="H641" i="6" s="1"/>
  <c r="F642" i="6"/>
  <c r="H642" i="6" s="1"/>
  <c r="F643" i="6"/>
  <c r="H643" i="6" s="1"/>
  <c r="F644" i="6"/>
  <c r="H644" i="6" s="1"/>
  <c r="F645" i="6"/>
  <c r="H645" i="6" s="1"/>
  <c r="F646" i="6"/>
  <c r="H646" i="6" s="1"/>
  <c r="F647" i="6"/>
  <c r="H647" i="6" s="1"/>
  <c r="F648" i="6"/>
  <c r="H648" i="6" s="1"/>
  <c r="F649" i="6"/>
  <c r="H649" i="6" s="1"/>
  <c r="F650" i="6"/>
  <c r="H650" i="6" s="1"/>
  <c r="F651" i="6"/>
  <c r="H651" i="6" s="1"/>
  <c r="F652" i="6"/>
  <c r="H652" i="6" s="1"/>
  <c r="F653" i="6"/>
  <c r="H653" i="6" s="1"/>
  <c r="F654" i="6"/>
  <c r="H654" i="6" s="1"/>
  <c r="F655" i="6"/>
  <c r="H655" i="6" s="1"/>
  <c r="F656" i="6"/>
  <c r="H656" i="6" s="1"/>
  <c r="F657" i="6"/>
  <c r="H657" i="6" s="1"/>
  <c r="F658" i="6"/>
  <c r="H658" i="6" s="1"/>
  <c r="F659" i="6"/>
  <c r="H659" i="6" s="1"/>
  <c r="F660" i="6"/>
  <c r="H660" i="6" s="1"/>
  <c r="F661" i="6"/>
  <c r="H661" i="6" s="1"/>
  <c r="F662" i="6"/>
  <c r="H662" i="6" s="1"/>
  <c r="F663" i="6"/>
  <c r="H663" i="6" s="1"/>
  <c r="F664" i="6"/>
  <c r="H664" i="6" s="1"/>
  <c r="F665" i="6"/>
  <c r="H665" i="6" s="1"/>
  <c r="F666" i="6"/>
  <c r="H666" i="6" s="1"/>
  <c r="F667" i="6"/>
  <c r="H667" i="6" s="1"/>
  <c r="F668" i="6"/>
  <c r="H668" i="6" s="1"/>
  <c r="F669" i="6"/>
  <c r="H669" i="6" s="1"/>
  <c r="F670" i="6"/>
  <c r="H670" i="6" s="1"/>
  <c r="F671" i="6"/>
  <c r="H671" i="6" s="1"/>
  <c r="F672" i="6"/>
  <c r="H672" i="6" s="1"/>
  <c r="F673" i="6"/>
  <c r="H673" i="6" s="1"/>
  <c r="F674" i="6"/>
  <c r="H674" i="6" s="1"/>
  <c r="F675" i="6"/>
  <c r="H675" i="6" s="1"/>
  <c r="F676" i="6"/>
  <c r="H676" i="6" s="1"/>
  <c r="F677" i="6"/>
  <c r="H677" i="6" s="1"/>
  <c r="F678" i="6"/>
  <c r="H678" i="6" s="1"/>
  <c r="F679" i="6"/>
  <c r="H679" i="6" s="1"/>
  <c r="F680" i="6"/>
  <c r="H680" i="6" s="1"/>
  <c r="F681" i="6"/>
  <c r="H681" i="6" s="1"/>
  <c r="F682" i="6"/>
  <c r="H682" i="6" s="1"/>
  <c r="F683" i="6"/>
  <c r="H683" i="6" s="1"/>
  <c r="F684" i="6"/>
  <c r="H684" i="6" s="1"/>
  <c r="F685" i="6"/>
  <c r="H685" i="6" s="1"/>
  <c r="F686" i="6"/>
  <c r="H686" i="6" s="1"/>
  <c r="F687" i="6"/>
  <c r="H687" i="6" s="1"/>
  <c r="F688" i="6"/>
  <c r="H688" i="6" s="1"/>
  <c r="F689" i="6"/>
  <c r="H689" i="6" s="1"/>
  <c r="F690" i="6"/>
  <c r="H690" i="6" s="1"/>
  <c r="F691" i="6"/>
  <c r="H691" i="6" s="1"/>
  <c r="F692" i="6"/>
  <c r="H692" i="6" s="1"/>
  <c r="F693" i="6"/>
  <c r="H693" i="6" s="1"/>
  <c r="F694" i="6"/>
  <c r="H694" i="6" s="1"/>
  <c r="F695" i="6"/>
  <c r="H695" i="6" s="1"/>
  <c r="F696" i="6"/>
  <c r="H696" i="6" s="1"/>
  <c r="F697" i="6"/>
  <c r="H697" i="6" s="1"/>
  <c r="F698" i="6"/>
  <c r="H698" i="6" s="1"/>
  <c r="F699" i="6"/>
  <c r="H699" i="6" s="1"/>
  <c r="F700" i="6"/>
  <c r="H700" i="6" s="1"/>
  <c r="F701" i="6"/>
  <c r="H701" i="6" s="1"/>
  <c r="F702" i="6"/>
  <c r="H702" i="6" s="1"/>
  <c r="F703" i="6"/>
  <c r="H703" i="6" s="1"/>
  <c r="F704" i="6"/>
  <c r="H704" i="6" s="1"/>
  <c r="F705" i="6"/>
  <c r="H705" i="6" s="1"/>
  <c r="F706" i="6"/>
  <c r="H706" i="6" s="1"/>
  <c r="F707" i="6"/>
  <c r="H707" i="6" s="1"/>
  <c r="F708" i="6"/>
  <c r="H708" i="6" s="1"/>
  <c r="F709" i="6"/>
  <c r="H709" i="6" s="1"/>
  <c r="F710" i="6"/>
  <c r="H710" i="6" s="1"/>
  <c r="F711" i="6"/>
  <c r="H711" i="6" s="1"/>
  <c r="F712" i="6"/>
  <c r="H712" i="6" s="1"/>
  <c r="F713" i="6"/>
  <c r="H713" i="6" s="1"/>
  <c r="F714" i="6"/>
  <c r="H714" i="6" s="1"/>
  <c r="F715" i="6"/>
  <c r="H715" i="6" s="1"/>
  <c r="F716" i="6"/>
  <c r="H716" i="6" s="1"/>
  <c r="F717" i="6"/>
  <c r="H717" i="6" s="1"/>
  <c r="F718" i="6"/>
  <c r="H718" i="6" s="1"/>
  <c r="F719" i="6"/>
  <c r="H719" i="6" s="1"/>
  <c r="F720" i="6"/>
  <c r="H720" i="6" s="1"/>
  <c r="F721" i="6"/>
  <c r="H721" i="6" s="1"/>
  <c r="F722" i="6"/>
  <c r="H722" i="6" s="1"/>
  <c r="F723" i="6"/>
  <c r="H723" i="6" s="1"/>
  <c r="F724" i="6"/>
  <c r="H724" i="6" s="1"/>
  <c r="F725" i="6"/>
  <c r="H725" i="6" s="1"/>
  <c r="F726" i="6"/>
  <c r="H726" i="6" s="1"/>
  <c r="F727" i="6"/>
  <c r="H727" i="6" s="1"/>
  <c r="F728" i="6"/>
  <c r="H728" i="6" s="1"/>
  <c r="F729" i="6"/>
  <c r="H729" i="6" s="1"/>
  <c r="F730" i="6"/>
  <c r="H730" i="6" s="1"/>
  <c r="F731" i="6"/>
  <c r="H731" i="6" s="1"/>
  <c r="F732" i="6"/>
  <c r="H732" i="6" s="1"/>
  <c r="F733" i="6"/>
  <c r="H733" i="6" s="1"/>
  <c r="F734" i="6"/>
  <c r="H734" i="6" s="1"/>
  <c r="F735" i="6"/>
  <c r="H735" i="6" s="1"/>
  <c r="F736" i="6"/>
  <c r="H736" i="6" s="1"/>
  <c r="F737" i="6"/>
  <c r="H737" i="6" s="1"/>
  <c r="F738" i="6"/>
  <c r="H738" i="6" s="1"/>
  <c r="F739" i="6"/>
  <c r="H739" i="6" s="1"/>
  <c r="F740" i="6"/>
  <c r="H740" i="6" s="1"/>
  <c r="F741" i="6"/>
  <c r="H741" i="6" s="1"/>
  <c r="F742" i="6"/>
  <c r="H742" i="6" s="1"/>
  <c r="F743" i="6"/>
  <c r="H743" i="6" s="1"/>
  <c r="F744" i="6"/>
  <c r="H744" i="6" s="1"/>
  <c r="F745" i="6"/>
  <c r="H745" i="6" s="1"/>
  <c r="F746" i="6"/>
  <c r="H746" i="6" s="1"/>
  <c r="F747" i="6"/>
  <c r="H747" i="6" s="1"/>
  <c r="F748" i="6"/>
  <c r="H748" i="6" s="1"/>
  <c r="F749" i="6"/>
  <c r="H749" i="6" s="1"/>
  <c r="F750" i="6"/>
  <c r="H750" i="6" s="1"/>
  <c r="F751" i="6"/>
  <c r="H751" i="6" s="1"/>
  <c r="F752" i="6"/>
  <c r="H752" i="6" s="1"/>
  <c r="F753" i="6"/>
  <c r="H753" i="6" s="1"/>
  <c r="F754" i="6"/>
  <c r="H754" i="6" s="1"/>
  <c r="F755" i="6"/>
  <c r="H755" i="6" s="1"/>
  <c r="F756" i="6"/>
  <c r="H756" i="6" s="1"/>
  <c r="F757" i="6"/>
  <c r="H757" i="6" s="1"/>
  <c r="F758" i="6"/>
  <c r="H758" i="6" s="1"/>
  <c r="F759" i="6"/>
  <c r="H759" i="6" s="1"/>
  <c r="F760" i="6"/>
  <c r="H760" i="6" s="1"/>
  <c r="F761" i="6"/>
  <c r="H761" i="6" s="1"/>
  <c r="F762" i="6"/>
  <c r="H762" i="6" s="1"/>
  <c r="F763" i="6"/>
  <c r="H763" i="6" s="1"/>
  <c r="F764" i="6"/>
  <c r="H764" i="6" s="1"/>
  <c r="F765" i="6"/>
  <c r="H765" i="6" s="1"/>
  <c r="F766" i="6"/>
  <c r="H766" i="6" s="1"/>
  <c r="F767" i="6"/>
  <c r="H767" i="6" s="1"/>
  <c r="F768" i="6"/>
  <c r="H768" i="6" s="1"/>
  <c r="F769" i="6"/>
  <c r="H769" i="6" s="1"/>
  <c r="F770" i="6"/>
  <c r="H770" i="6" s="1"/>
  <c r="F771" i="6"/>
  <c r="H771" i="6" s="1"/>
  <c r="F772" i="6"/>
  <c r="H772" i="6" s="1"/>
  <c r="F773" i="6"/>
  <c r="H773" i="6" s="1"/>
  <c r="F774" i="6"/>
  <c r="H774" i="6" s="1"/>
  <c r="F775" i="6"/>
  <c r="H775" i="6" s="1"/>
  <c r="F776" i="6"/>
  <c r="H776" i="6" s="1"/>
  <c r="F777" i="6"/>
  <c r="H777" i="6" s="1"/>
  <c r="F778" i="6"/>
  <c r="H778" i="6" s="1"/>
  <c r="F779" i="6"/>
  <c r="H779" i="6" s="1"/>
  <c r="F780" i="6"/>
  <c r="H780" i="6" s="1"/>
  <c r="F781" i="6"/>
  <c r="H781" i="6" s="1"/>
  <c r="F782" i="6"/>
  <c r="H782" i="6" s="1"/>
  <c r="F783" i="6"/>
  <c r="H783" i="6" s="1"/>
  <c r="F784" i="6"/>
  <c r="H784" i="6" s="1"/>
  <c r="F785" i="6"/>
  <c r="H785" i="6" s="1"/>
  <c r="F786" i="6"/>
  <c r="H786" i="6" s="1"/>
  <c r="F787" i="6"/>
  <c r="H787" i="6" s="1"/>
  <c r="F788" i="6"/>
  <c r="H788" i="6" s="1"/>
  <c r="F789" i="6"/>
  <c r="H789" i="6" s="1"/>
  <c r="F790" i="6"/>
  <c r="H790" i="6" s="1"/>
  <c r="F791" i="6"/>
  <c r="H791" i="6" s="1"/>
  <c r="F792" i="6"/>
  <c r="H792" i="6" s="1"/>
  <c r="F793" i="6"/>
  <c r="H793" i="6" s="1"/>
  <c r="F794" i="6"/>
  <c r="H794" i="6" s="1"/>
  <c r="F795" i="6"/>
  <c r="H795" i="6" s="1"/>
  <c r="F796" i="6"/>
  <c r="H796" i="6" s="1"/>
  <c r="F797" i="6"/>
  <c r="H797" i="6" s="1"/>
  <c r="F798" i="6"/>
  <c r="H798" i="6" s="1"/>
  <c r="F799" i="6"/>
  <c r="H799" i="6" s="1"/>
  <c r="F800" i="6"/>
  <c r="H800" i="6" s="1"/>
  <c r="F801" i="6"/>
  <c r="H801" i="6" s="1"/>
  <c r="F802" i="6"/>
  <c r="H802" i="6" s="1"/>
  <c r="F803" i="6"/>
  <c r="H803" i="6" s="1"/>
  <c r="F804" i="6"/>
  <c r="H804" i="6" s="1"/>
  <c r="F805" i="6"/>
  <c r="H805" i="6" s="1"/>
  <c r="F806" i="6"/>
  <c r="H806" i="6" s="1"/>
  <c r="F807" i="6"/>
  <c r="H807" i="6" s="1"/>
  <c r="F808" i="6"/>
  <c r="H808" i="6" s="1"/>
  <c r="F809" i="6"/>
  <c r="H809" i="6" s="1"/>
  <c r="F810" i="6"/>
  <c r="H810" i="6" s="1"/>
  <c r="F811" i="6"/>
  <c r="H811" i="6" s="1"/>
  <c r="F812" i="6"/>
  <c r="H812" i="6" s="1"/>
  <c r="F813" i="6"/>
  <c r="H813" i="6" s="1"/>
  <c r="F814" i="6"/>
  <c r="H814" i="6" s="1"/>
  <c r="F815" i="6"/>
  <c r="H815" i="6" s="1"/>
  <c r="F816" i="6"/>
  <c r="H816" i="6" s="1"/>
  <c r="F817" i="6"/>
  <c r="H817" i="6" s="1"/>
  <c r="F818" i="6"/>
  <c r="H818" i="6" s="1"/>
  <c r="F819" i="6"/>
  <c r="H819" i="6" s="1"/>
  <c r="F820" i="6"/>
  <c r="H820" i="6" s="1"/>
  <c r="F821" i="6"/>
  <c r="H821" i="6" s="1"/>
  <c r="F822" i="6"/>
  <c r="H822" i="6" s="1"/>
  <c r="F823" i="6"/>
  <c r="H823" i="6" s="1"/>
  <c r="F824" i="6"/>
  <c r="H824" i="6" s="1"/>
  <c r="F825" i="6"/>
  <c r="H825" i="6" s="1"/>
  <c r="F826" i="6"/>
  <c r="H826" i="6" s="1"/>
  <c r="F827" i="6"/>
  <c r="H827" i="6" s="1"/>
  <c r="F828" i="6"/>
  <c r="H828" i="6" s="1"/>
  <c r="F829" i="6"/>
  <c r="H829" i="6" s="1"/>
  <c r="F830" i="6"/>
  <c r="H830" i="6" s="1"/>
  <c r="F831" i="6"/>
  <c r="H831" i="6" s="1"/>
  <c r="F832" i="6"/>
  <c r="H832" i="6" s="1"/>
  <c r="F833" i="6"/>
  <c r="H833" i="6" s="1"/>
  <c r="F834" i="6"/>
  <c r="H834" i="6" s="1"/>
  <c r="F835" i="6"/>
  <c r="H835" i="6" s="1"/>
  <c r="F836" i="6"/>
  <c r="H836" i="6" s="1"/>
  <c r="F837" i="6"/>
  <c r="H837" i="6" s="1"/>
  <c r="F838" i="6"/>
  <c r="H838" i="6" s="1"/>
  <c r="F839" i="6"/>
  <c r="H839" i="6" s="1"/>
  <c r="F840" i="6"/>
  <c r="H840" i="6" s="1"/>
  <c r="F841" i="6"/>
  <c r="H841" i="6" s="1"/>
  <c r="F842" i="6"/>
  <c r="H842" i="6" s="1"/>
  <c r="F843" i="6"/>
  <c r="H843" i="6" s="1"/>
  <c r="F844" i="6"/>
  <c r="H844" i="6" s="1"/>
  <c r="F845" i="6"/>
  <c r="H845" i="6" s="1"/>
  <c r="F846" i="6"/>
  <c r="H846" i="6" s="1"/>
  <c r="F847" i="6"/>
  <c r="H847" i="6" s="1"/>
  <c r="F848" i="6"/>
  <c r="H848" i="6" s="1"/>
  <c r="F849" i="6"/>
  <c r="H849" i="6" s="1"/>
  <c r="F850" i="6"/>
  <c r="H850" i="6" s="1"/>
  <c r="F851" i="6"/>
  <c r="H851" i="6" s="1"/>
  <c r="F852" i="6"/>
  <c r="H852" i="6" s="1"/>
  <c r="F853" i="6"/>
  <c r="H853" i="6" s="1"/>
  <c r="F854" i="6"/>
  <c r="H854" i="6" s="1"/>
  <c r="F855" i="6"/>
  <c r="H855" i="6" s="1"/>
  <c r="F856" i="6"/>
  <c r="H856" i="6" s="1"/>
  <c r="F857" i="6"/>
  <c r="H857" i="6" s="1"/>
  <c r="F858" i="6"/>
  <c r="H858" i="6" s="1"/>
  <c r="F859" i="6"/>
  <c r="H859" i="6" s="1"/>
  <c r="F860" i="6"/>
  <c r="H860" i="6" s="1"/>
  <c r="F861" i="6"/>
  <c r="H861" i="6" s="1"/>
  <c r="F862" i="6"/>
  <c r="H862" i="6" s="1"/>
  <c r="F863" i="6"/>
  <c r="H863" i="6" s="1"/>
  <c r="F864" i="6"/>
  <c r="H864" i="6" s="1"/>
  <c r="F865" i="6"/>
  <c r="H865" i="6" s="1"/>
  <c r="F866" i="6"/>
  <c r="H866" i="6" s="1"/>
  <c r="F867" i="6"/>
  <c r="H867" i="6" s="1"/>
  <c r="F868" i="6"/>
  <c r="H868" i="6" s="1"/>
  <c r="F869" i="6"/>
  <c r="H869" i="6" s="1"/>
  <c r="F870" i="6"/>
  <c r="H870" i="6" s="1"/>
  <c r="F871" i="6"/>
  <c r="H871" i="6" s="1"/>
  <c r="F872" i="6"/>
  <c r="H872" i="6" s="1"/>
  <c r="F873" i="6"/>
  <c r="H873" i="6" s="1"/>
  <c r="F874" i="6"/>
  <c r="H874" i="6" s="1"/>
  <c r="F875" i="6"/>
  <c r="H875" i="6" s="1"/>
  <c r="F876" i="6"/>
  <c r="H876" i="6" s="1"/>
  <c r="F877" i="6"/>
  <c r="H877" i="6" s="1"/>
  <c r="F878" i="6"/>
  <c r="H878" i="6" s="1"/>
  <c r="F879" i="6"/>
  <c r="H879" i="6" s="1"/>
  <c r="F880" i="6"/>
  <c r="H880" i="6" s="1"/>
  <c r="F881" i="6"/>
  <c r="H881" i="6" s="1"/>
  <c r="F882" i="6"/>
  <c r="H882" i="6" s="1"/>
  <c r="F883" i="6"/>
  <c r="H883" i="6" s="1"/>
  <c r="F884" i="6"/>
  <c r="H884" i="6" s="1"/>
  <c r="F885" i="6"/>
  <c r="H885" i="6" s="1"/>
  <c r="F886" i="6"/>
  <c r="H886" i="6" s="1"/>
  <c r="F887" i="6"/>
  <c r="H887" i="6" s="1"/>
  <c r="F888" i="6"/>
  <c r="H888" i="6" s="1"/>
  <c r="F889" i="6"/>
  <c r="H889" i="6" s="1"/>
  <c r="F890" i="6"/>
  <c r="H890" i="6" s="1"/>
  <c r="F891" i="6"/>
  <c r="H891" i="6" s="1"/>
  <c r="F892" i="6"/>
  <c r="H892" i="6" s="1"/>
  <c r="F893" i="6"/>
  <c r="H893" i="6" s="1"/>
  <c r="F894" i="6"/>
  <c r="H894" i="6" s="1"/>
  <c r="F895" i="6"/>
  <c r="H895" i="6" s="1"/>
  <c r="F896" i="6"/>
  <c r="H896" i="6" s="1"/>
  <c r="F897" i="6"/>
  <c r="H897" i="6" s="1"/>
  <c r="F898" i="6"/>
  <c r="H898" i="6" s="1"/>
  <c r="F899" i="6"/>
  <c r="H899" i="6" s="1"/>
  <c r="F900" i="6"/>
  <c r="H900" i="6" s="1"/>
  <c r="F901" i="6"/>
  <c r="H901" i="6" s="1"/>
  <c r="F902" i="6"/>
  <c r="H902" i="6" s="1"/>
  <c r="F903" i="6"/>
  <c r="H903" i="6" s="1"/>
  <c r="F904" i="6"/>
  <c r="H904" i="6" s="1"/>
  <c r="F905" i="6"/>
  <c r="H905" i="6" s="1"/>
  <c r="F906" i="6"/>
  <c r="H906" i="6" s="1"/>
  <c r="F907" i="6"/>
  <c r="H907" i="6" s="1"/>
  <c r="F908" i="6"/>
  <c r="H908" i="6" s="1"/>
  <c r="F909" i="6"/>
  <c r="H909" i="6" s="1"/>
  <c r="F910" i="6"/>
  <c r="H910" i="6" s="1"/>
  <c r="F911" i="6"/>
  <c r="H911" i="6" s="1"/>
  <c r="F912" i="6"/>
  <c r="H912" i="6" s="1"/>
  <c r="F913" i="6"/>
  <c r="H913" i="6" s="1"/>
  <c r="F914" i="6"/>
  <c r="H914" i="6" s="1"/>
  <c r="F915" i="6"/>
  <c r="H915" i="6" s="1"/>
  <c r="F916" i="6"/>
  <c r="H916" i="6" s="1"/>
  <c r="F917" i="6"/>
  <c r="H917" i="6" s="1"/>
  <c r="F918" i="6"/>
  <c r="H918" i="6" s="1"/>
  <c r="F919" i="6"/>
  <c r="H919" i="6" s="1"/>
  <c r="F920" i="6"/>
  <c r="H920" i="6" s="1"/>
  <c r="F921" i="6"/>
  <c r="H921" i="6" s="1"/>
  <c r="F922" i="6"/>
  <c r="H922" i="6" s="1"/>
  <c r="F923" i="6"/>
  <c r="H923" i="6" s="1"/>
  <c r="F924" i="6"/>
  <c r="H924" i="6" s="1"/>
  <c r="F925" i="6"/>
  <c r="H925" i="6" s="1"/>
  <c r="F926" i="6"/>
  <c r="H926" i="6" s="1"/>
  <c r="F927" i="6"/>
  <c r="H927" i="6" s="1"/>
  <c r="F928" i="6"/>
  <c r="H928" i="6" s="1"/>
  <c r="F929" i="6"/>
  <c r="H929" i="6" s="1"/>
  <c r="F930" i="6"/>
  <c r="H930" i="6" s="1"/>
  <c r="F931" i="6"/>
  <c r="H931" i="6" s="1"/>
  <c r="F932" i="6"/>
  <c r="H932" i="6" s="1"/>
  <c r="F933" i="6"/>
  <c r="H933" i="6" s="1"/>
  <c r="F934" i="6"/>
  <c r="H934" i="6" s="1"/>
  <c r="F935" i="6"/>
  <c r="H935" i="6" s="1"/>
  <c r="F936" i="6"/>
  <c r="H936" i="6" s="1"/>
  <c r="F937" i="6"/>
  <c r="H937" i="6" s="1"/>
  <c r="F938" i="6"/>
  <c r="H938" i="6" s="1"/>
  <c r="F939" i="6"/>
  <c r="H939" i="6" s="1"/>
  <c r="F940" i="6"/>
  <c r="H940" i="6" s="1"/>
  <c r="F941" i="6"/>
  <c r="H941" i="6" s="1"/>
  <c r="F942" i="6"/>
  <c r="H942" i="6" s="1"/>
  <c r="F943" i="6"/>
  <c r="H943" i="6" s="1"/>
  <c r="F944" i="6"/>
  <c r="H944" i="6" s="1"/>
  <c r="F945" i="6"/>
  <c r="H945" i="6" s="1"/>
  <c r="F946" i="6"/>
  <c r="H946" i="6" s="1"/>
  <c r="F947" i="6"/>
  <c r="H947" i="6" s="1"/>
  <c r="F948" i="6"/>
  <c r="H948" i="6" s="1"/>
  <c r="F949" i="6"/>
  <c r="H949" i="6" s="1"/>
  <c r="F950" i="6"/>
  <c r="H950" i="6" s="1"/>
  <c r="F951" i="6"/>
  <c r="H951" i="6" s="1"/>
  <c r="F952" i="6"/>
  <c r="H952" i="6" s="1"/>
  <c r="F953" i="6"/>
  <c r="H953" i="6" s="1"/>
  <c r="F954" i="6"/>
  <c r="H954" i="6" s="1"/>
  <c r="F955" i="6"/>
  <c r="H955" i="6" s="1"/>
  <c r="F956" i="6"/>
  <c r="H956" i="6" s="1"/>
  <c r="F957" i="6"/>
  <c r="H957" i="6" s="1"/>
  <c r="F958" i="6"/>
  <c r="H958" i="6" s="1"/>
  <c r="F959" i="6"/>
  <c r="H959" i="6" s="1"/>
  <c r="F960" i="6"/>
  <c r="H960" i="6" s="1"/>
  <c r="F961" i="6"/>
  <c r="H961" i="6" s="1"/>
  <c r="F962" i="6"/>
  <c r="H962" i="6" s="1"/>
  <c r="F963" i="6"/>
  <c r="H963" i="6" s="1"/>
  <c r="F964" i="6"/>
  <c r="H964" i="6" s="1"/>
  <c r="F965" i="6"/>
  <c r="H965" i="6" s="1"/>
  <c r="F966" i="6"/>
  <c r="H966" i="6" s="1"/>
  <c r="F967" i="6"/>
  <c r="H967" i="6" s="1"/>
  <c r="F968" i="6"/>
  <c r="H968" i="6" s="1"/>
  <c r="F969" i="6"/>
  <c r="H969" i="6" s="1"/>
  <c r="F970" i="6"/>
  <c r="H970" i="6" s="1"/>
  <c r="F971" i="6"/>
  <c r="H971" i="6" s="1"/>
  <c r="F972" i="6"/>
  <c r="H972" i="6" s="1"/>
  <c r="F973" i="6"/>
  <c r="H973" i="6" s="1"/>
  <c r="F974" i="6"/>
  <c r="H974" i="6" s="1"/>
  <c r="F975" i="6"/>
  <c r="H975" i="6" s="1"/>
  <c r="F976" i="6"/>
  <c r="H976" i="6" s="1"/>
  <c r="F977" i="6"/>
  <c r="H977" i="6" s="1"/>
  <c r="F978" i="6"/>
  <c r="H978" i="6" s="1"/>
  <c r="F979" i="6"/>
  <c r="H979" i="6" s="1"/>
  <c r="F980" i="6"/>
  <c r="H980" i="6" s="1"/>
  <c r="F981" i="6"/>
  <c r="H981" i="6" s="1"/>
  <c r="F982" i="6"/>
  <c r="H982" i="6" s="1"/>
  <c r="F983" i="6"/>
  <c r="H983" i="6" s="1"/>
  <c r="F984" i="6"/>
  <c r="H984" i="6" s="1"/>
  <c r="F985" i="6"/>
  <c r="H985" i="6" s="1"/>
  <c r="F986" i="6"/>
  <c r="H986" i="6" s="1"/>
  <c r="F987" i="6"/>
  <c r="H987" i="6" s="1"/>
  <c r="F988" i="6"/>
  <c r="H988" i="6" s="1"/>
  <c r="F989" i="6"/>
  <c r="H989" i="6" s="1"/>
  <c r="F990" i="6"/>
  <c r="H990" i="6" s="1"/>
  <c r="F991" i="6"/>
  <c r="H991" i="6" s="1"/>
  <c r="F992" i="6"/>
  <c r="H992" i="6" s="1"/>
  <c r="F993" i="6"/>
  <c r="H993" i="6" s="1"/>
  <c r="F994" i="6"/>
  <c r="H994" i="6" s="1"/>
  <c r="F995" i="6"/>
  <c r="H995" i="6" s="1"/>
  <c r="F996" i="6"/>
  <c r="H996" i="6" s="1"/>
  <c r="F997" i="6"/>
  <c r="H997" i="6" s="1"/>
  <c r="F998" i="6"/>
  <c r="H998" i="6" s="1"/>
  <c r="F999" i="6"/>
  <c r="H999" i="6" s="1"/>
  <c r="F1000" i="6"/>
  <c r="H1000" i="6" s="1"/>
  <c r="F1001" i="6"/>
  <c r="H1001" i="6" s="1"/>
  <c r="F1002" i="6"/>
  <c r="H1002" i="6" s="1"/>
  <c r="F1003" i="6"/>
  <c r="H1003" i="6" s="1"/>
  <c r="F1004" i="6"/>
  <c r="H1004" i="6" s="1"/>
  <c r="F1005" i="6"/>
  <c r="H1005" i="6" s="1"/>
  <c r="F1006" i="6"/>
  <c r="H1006" i="6" s="1"/>
  <c r="F1007" i="6"/>
  <c r="H1007" i="6" s="1"/>
  <c r="F1008" i="6"/>
  <c r="H1008" i="6" s="1"/>
  <c r="F1009" i="6"/>
  <c r="H1009" i="6" s="1"/>
  <c r="F1010" i="6"/>
  <c r="H1010" i="6" s="1"/>
  <c r="F1011" i="6"/>
  <c r="H1011" i="6" s="1"/>
  <c r="F1012" i="6"/>
  <c r="H1012" i="6" s="1"/>
  <c r="F1013" i="6"/>
  <c r="H1013" i="6" s="1"/>
  <c r="F1014" i="6"/>
  <c r="H1014" i="6" s="1"/>
  <c r="F1015" i="6"/>
  <c r="H1015" i="6" s="1"/>
  <c r="F1016" i="6"/>
  <c r="H1016" i="6" s="1"/>
  <c r="F1017" i="6"/>
  <c r="H1017" i="6" s="1"/>
  <c r="F1018" i="6"/>
  <c r="H1018" i="6" s="1"/>
  <c r="F1019" i="6"/>
  <c r="H1019" i="6" s="1"/>
  <c r="F1020" i="6"/>
  <c r="H1020" i="6" s="1"/>
  <c r="F1021" i="6"/>
  <c r="H1021" i="6" s="1"/>
  <c r="F1022" i="6"/>
  <c r="H1022" i="6" s="1"/>
  <c r="F1023" i="6"/>
  <c r="H1023" i="6" s="1"/>
  <c r="F1024" i="6"/>
  <c r="H1024" i="6" s="1"/>
  <c r="F1025" i="6"/>
  <c r="H1025" i="6" s="1"/>
  <c r="F1026" i="6"/>
  <c r="H1026" i="6" s="1"/>
  <c r="F1027" i="6"/>
  <c r="H1027" i="6" s="1"/>
  <c r="F1028" i="6"/>
  <c r="H1028" i="6" s="1"/>
  <c r="F1029" i="6"/>
  <c r="H1029" i="6" s="1"/>
  <c r="F1030" i="6"/>
  <c r="H1030" i="6" s="1"/>
  <c r="F1031" i="6"/>
  <c r="H1031" i="6" s="1"/>
  <c r="F1032" i="6"/>
  <c r="H1032" i="6" s="1"/>
  <c r="F1033" i="6"/>
  <c r="H1033" i="6" s="1"/>
  <c r="F1034" i="6"/>
  <c r="H1034" i="6" s="1"/>
  <c r="F1035" i="6"/>
  <c r="H1035" i="6" s="1"/>
  <c r="F1036" i="6"/>
  <c r="H1036" i="6" s="1"/>
  <c r="F1037" i="6"/>
  <c r="H1037" i="6" s="1"/>
  <c r="F1038" i="6"/>
  <c r="H1038" i="6" s="1"/>
  <c r="F1039" i="6"/>
  <c r="H1039" i="6" s="1"/>
  <c r="F1040" i="6"/>
  <c r="H1040" i="6" s="1"/>
  <c r="F1041" i="6"/>
  <c r="H1041" i="6" s="1"/>
  <c r="F1042" i="6"/>
  <c r="H1042" i="6" s="1"/>
  <c r="F1043" i="6"/>
  <c r="H1043" i="6" s="1"/>
  <c r="F1044" i="6"/>
  <c r="H1044" i="6" s="1"/>
  <c r="F1045" i="6"/>
  <c r="H1045" i="6" s="1"/>
  <c r="F1046" i="6"/>
  <c r="H1046" i="6" s="1"/>
  <c r="F1047" i="6"/>
  <c r="H1047" i="6" s="1"/>
  <c r="F1048" i="6"/>
  <c r="H1048" i="6" s="1"/>
  <c r="F1049" i="6"/>
  <c r="H1049" i="6" s="1"/>
  <c r="F1050" i="6"/>
  <c r="H1050" i="6" s="1"/>
  <c r="F1051" i="6"/>
  <c r="H1051" i="6" s="1"/>
  <c r="F1052" i="6"/>
  <c r="H1052" i="6" s="1"/>
  <c r="F1053" i="6"/>
  <c r="H1053" i="6" s="1"/>
  <c r="F1054" i="6"/>
  <c r="H1054" i="6" s="1"/>
  <c r="F1055" i="6"/>
  <c r="H1055" i="6" s="1"/>
  <c r="F1056" i="6"/>
  <c r="H1056" i="6" s="1"/>
  <c r="F1057" i="6"/>
  <c r="H1057" i="6" s="1"/>
  <c r="F1058" i="6"/>
  <c r="H1058" i="6" s="1"/>
  <c r="F1059" i="6"/>
  <c r="H1059" i="6" s="1"/>
  <c r="F1060" i="6"/>
  <c r="H1060" i="6" s="1"/>
  <c r="F1061" i="6"/>
  <c r="H1061" i="6" s="1"/>
  <c r="F1062" i="6"/>
  <c r="H1062" i="6" s="1"/>
  <c r="F1063" i="6"/>
  <c r="H1063" i="6" s="1"/>
  <c r="F1064" i="6"/>
  <c r="H1064" i="6" s="1"/>
  <c r="F1065" i="6"/>
  <c r="H1065" i="6" s="1"/>
  <c r="F1066" i="6"/>
  <c r="H1066" i="6" s="1"/>
  <c r="F1067" i="6"/>
  <c r="H1067" i="6" s="1"/>
  <c r="F1068" i="6"/>
  <c r="H1068" i="6" s="1"/>
  <c r="F1069" i="6"/>
  <c r="H1069" i="6" s="1"/>
  <c r="F1070" i="6"/>
  <c r="H1070" i="6" s="1"/>
  <c r="F1071" i="6"/>
  <c r="H1071" i="6" s="1"/>
  <c r="F1072" i="6"/>
  <c r="H1072" i="6" s="1"/>
  <c r="F1073" i="6"/>
  <c r="H1073" i="6" s="1"/>
  <c r="F1074" i="6"/>
  <c r="H1074" i="6" s="1"/>
  <c r="F1075" i="6"/>
  <c r="H1075" i="6" s="1"/>
  <c r="F1076" i="6"/>
  <c r="H1076" i="6" s="1"/>
  <c r="F1077" i="6"/>
  <c r="H1077" i="6" s="1"/>
  <c r="F1078" i="6"/>
  <c r="H1078" i="6" s="1"/>
  <c r="F1079" i="6"/>
  <c r="H1079" i="6" s="1"/>
  <c r="F1080" i="6"/>
  <c r="H1080" i="6" s="1"/>
  <c r="F1081" i="6"/>
  <c r="H1081" i="6" s="1"/>
  <c r="F1082" i="6"/>
  <c r="H1082" i="6" s="1"/>
  <c r="F1083" i="6"/>
  <c r="H1083" i="6" s="1"/>
  <c r="F1084" i="6"/>
  <c r="H1084" i="6" s="1"/>
  <c r="F1085" i="6"/>
  <c r="H1085" i="6" s="1"/>
  <c r="F1086" i="6"/>
  <c r="H1086" i="6" s="1"/>
  <c r="F1087" i="6"/>
  <c r="H1087" i="6" s="1"/>
  <c r="F1088" i="6"/>
  <c r="H1088" i="6" s="1"/>
  <c r="F1089" i="6"/>
  <c r="H1089" i="6" s="1"/>
  <c r="F1090" i="6"/>
  <c r="H1090" i="6" s="1"/>
  <c r="F1091" i="6"/>
  <c r="H1091" i="6" s="1"/>
  <c r="F1092" i="6"/>
  <c r="H1092" i="6" s="1"/>
  <c r="F1093" i="6"/>
  <c r="H1093" i="6" s="1"/>
  <c r="F1094" i="6"/>
  <c r="H1094" i="6" s="1"/>
  <c r="F1095" i="6"/>
  <c r="H1095" i="6" s="1"/>
  <c r="F1096" i="6"/>
  <c r="H1096" i="6" s="1"/>
  <c r="F1097" i="6"/>
  <c r="H1097" i="6" s="1"/>
  <c r="F1098" i="6"/>
  <c r="H1098" i="6" s="1"/>
  <c r="F1099" i="6"/>
  <c r="H1099" i="6" s="1"/>
  <c r="F1100" i="6"/>
  <c r="H1100" i="6" s="1"/>
  <c r="F1101" i="6"/>
  <c r="H1101" i="6" s="1"/>
  <c r="F1102" i="6"/>
  <c r="H1102" i="6" s="1"/>
  <c r="F1103" i="6"/>
  <c r="H1103" i="6" s="1"/>
  <c r="F1104" i="6"/>
  <c r="H1104" i="6" s="1"/>
  <c r="F1105" i="6"/>
  <c r="H1105" i="6" s="1"/>
  <c r="F1106" i="6"/>
  <c r="H1106" i="6" s="1"/>
  <c r="F1107" i="6"/>
  <c r="H1107" i="6" s="1"/>
  <c r="F1108" i="6"/>
  <c r="H1108" i="6" s="1"/>
  <c r="F1109" i="6"/>
  <c r="H1109" i="6" s="1"/>
  <c r="F1110" i="6"/>
  <c r="H1110" i="6" s="1"/>
  <c r="F1111" i="6"/>
  <c r="H1111" i="6" s="1"/>
  <c r="F1112" i="6"/>
  <c r="H1112" i="6" s="1"/>
  <c r="F1113" i="6"/>
  <c r="H1113" i="6" s="1"/>
  <c r="F1114" i="6"/>
  <c r="H1114" i="6" s="1"/>
  <c r="F1115" i="6"/>
  <c r="H1115" i="6" s="1"/>
  <c r="F1116" i="6"/>
  <c r="H1116" i="6" s="1"/>
  <c r="F1117" i="6"/>
  <c r="H1117" i="6" s="1"/>
  <c r="F1118" i="6"/>
  <c r="H1118" i="6" s="1"/>
  <c r="F1119" i="6"/>
  <c r="H1119" i="6" s="1"/>
  <c r="F1120" i="6"/>
  <c r="H1120" i="6" s="1"/>
  <c r="F1121" i="6"/>
  <c r="H1121" i="6" s="1"/>
  <c r="F1122" i="6"/>
  <c r="H1122" i="6" s="1"/>
  <c r="F1123" i="6"/>
  <c r="H1123" i="6" s="1"/>
  <c r="F1124" i="6"/>
  <c r="H1124" i="6" s="1"/>
  <c r="F1125" i="6"/>
  <c r="H1125" i="6" s="1"/>
  <c r="F1126" i="6"/>
  <c r="H1126" i="6" s="1"/>
  <c r="F1127" i="6"/>
  <c r="H1127" i="6" s="1"/>
  <c r="F1128" i="6"/>
  <c r="H1128" i="6" s="1"/>
  <c r="F1129" i="6"/>
  <c r="H1129" i="6" s="1"/>
  <c r="F1130" i="6"/>
  <c r="H1130" i="6" s="1"/>
  <c r="F1131" i="6"/>
  <c r="H1131" i="6" s="1"/>
  <c r="F1132" i="6"/>
  <c r="H1132" i="6" s="1"/>
  <c r="F1133" i="6"/>
  <c r="H1133" i="6" s="1"/>
  <c r="F1134" i="6"/>
  <c r="H1134" i="6" s="1"/>
  <c r="F1135" i="6"/>
  <c r="H1135" i="6" s="1"/>
  <c r="F1136" i="6"/>
  <c r="H1136" i="6" s="1"/>
  <c r="F1137" i="6"/>
  <c r="H1137" i="6" s="1"/>
  <c r="F1138" i="6"/>
  <c r="H1138" i="6" s="1"/>
  <c r="F1139" i="6"/>
  <c r="H1139" i="6" s="1"/>
  <c r="F1140" i="6"/>
  <c r="H1140" i="6" s="1"/>
  <c r="F1141" i="6"/>
  <c r="H1141" i="6" s="1"/>
  <c r="F1142" i="6"/>
  <c r="H1142" i="6" s="1"/>
  <c r="F1143" i="6"/>
  <c r="H1143" i="6" s="1"/>
  <c r="F1144" i="6"/>
  <c r="H1144" i="6" s="1"/>
  <c r="F1145" i="6"/>
  <c r="H1145" i="6" s="1"/>
  <c r="F1146" i="6"/>
  <c r="H1146" i="6" s="1"/>
  <c r="F1147" i="6"/>
  <c r="H1147" i="6" s="1"/>
  <c r="F1148" i="6"/>
  <c r="H1148" i="6" s="1"/>
  <c r="F1149" i="6"/>
  <c r="H1149" i="6" s="1"/>
  <c r="F1150" i="6"/>
  <c r="H1150" i="6" s="1"/>
  <c r="F1151" i="6"/>
  <c r="H1151" i="6" s="1"/>
  <c r="F1152" i="6"/>
  <c r="H1152" i="6" s="1"/>
  <c r="F1153" i="6"/>
  <c r="H1153" i="6" s="1"/>
  <c r="F1154" i="6"/>
  <c r="H1154" i="6" s="1"/>
  <c r="F1155" i="6"/>
  <c r="H1155" i="6" s="1"/>
  <c r="F1156" i="6"/>
  <c r="H1156" i="6" s="1"/>
  <c r="F1157" i="6"/>
  <c r="H1157" i="6" s="1"/>
  <c r="F1158" i="6"/>
  <c r="H1158" i="6" s="1"/>
  <c r="F1159" i="6"/>
  <c r="H1159" i="6" s="1"/>
  <c r="F1160" i="6"/>
  <c r="H1160" i="6" s="1"/>
  <c r="F1161" i="6"/>
  <c r="H1161" i="6" s="1"/>
  <c r="F1162" i="6"/>
  <c r="H1162" i="6" s="1"/>
  <c r="F1163" i="6"/>
  <c r="H1163" i="6" s="1"/>
  <c r="F1164" i="6"/>
  <c r="H1164" i="6" s="1"/>
  <c r="F1165" i="6"/>
  <c r="H1165" i="6" s="1"/>
  <c r="F1166" i="6"/>
  <c r="H1166" i="6" s="1"/>
  <c r="F1167" i="6"/>
  <c r="H1167" i="6" s="1"/>
  <c r="F1168" i="6"/>
  <c r="H1168" i="6" s="1"/>
  <c r="F1169" i="6"/>
  <c r="H1169" i="6" s="1"/>
  <c r="F1170" i="6"/>
  <c r="H1170" i="6" s="1"/>
  <c r="F1171" i="6"/>
  <c r="H1171" i="6" s="1"/>
  <c r="F1172" i="6"/>
  <c r="H1172" i="6" s="1"/>
  <c r="F1173" i="6"/>
  <c r="H1173" i="6" s="1"/>
  <c r="F1174" i="6"/>
  <c r="H1174" i="6" s="1"/>
  <c r="F1175" i="6"/>
  <c r="H1175" i="6" s="1"/>
  <c r="F1176" i="6"/>
  <c r="H1176" i="6" s="1"/>
  <c r="F1177" i="6"/>
  <c r="H1177" i="6" s="1"/>
  <c r="F1178" i="6"/>
  <c r="H1178" i="6" s="1"/>
  <c r="F1179" i="6"/>
  <c r="H1179" i="6" s="1"/>
  <c r="F1180" i="6"/>
  <c r="H1180" i="6" s="1"/>
  <c r="F1181" i="6"/>
  <c r="H1181" i="6" s="1"/>
  <c r="F1182" i="6"/>
  <c r="H1182" i="6" s="1"/>
  <c r="F1183" i="6"/>
  <c r="H1183" i="6" s="1"/>
  <c r="F1184" i="6"/>
  <c r="H1184" i="6" s="1"/>
  <c r="F1185" i="6"/>
  <c r="H1185" i="6" s="1"/>
  <c r="F1186" i="6"/>
  <c r="H1186" i="6" s="1"/>
  <c r="F1187" i="6"/>
  <c r="H1187" i="6" s="1"/>
  <c r="F1188" i="6"/>
  <c r="H1188" i="6" s="1"/>
  <c r="F1189" i="6"/>
  <c r="H1189" i="6" s="1"/>
  <c r="F1190" i="6"/>
  <c r="H1190" i="6" s="1"/>
  <c r="F1191" i="6"/>
  <c r="H1191" i="6" s="1"/>
  <c r="F1192" i="6"/>
  <c r="H1192" i="6" s="1"/>
  <c r="F1193" i="6"/>
  <c r="H1193" i="6" s="1"/>
  <c r="F1194" i="6"/>
  <c r="H1194" i="6" s="1"/>
  <c r="F1195" i="6"/>
  <c r="H1195" i="6" s="1"/>
  <c r="F1196" i="6"/>
  <c r="H1196" i="6" s="1"/>
  <c r="F1197" i="6"/>
  <c r="H1197" i="6" s="1"/>
  <c r="F1198" i="6"/>
  <c r="H1198" i="6" s="1"/>
  <c r="F1199" i="6"/>
  <c r="H1199" i="6" s="1"/>
  <c r="F1200" i="6"/>
  <c r="H1200" i="6" s="1"/>
  <c r="F1201" i="6"/>
  <c r="H1201" i="6" s="1"/>
  <c r="F1202" i="6"/>
  <c r="H1202" i="6" s="1"/>
  <c r="F1203" i="6"/>
  <c r="H1203" i="6" s="1"/>
  <c r="F1204" i="6"/>
  <c r="H1204" i="6" s="1"/>
  <c r="F1205" i="6"/>
  <c r="H1205" i="6" s="1"/>
  <c r="F1206" i="6"/>
  <c r="H1206" i="6" s="1"/>
  <c r="F1207" i="6"/>
  <c r="H1207" i="6" s="1"/>
  <c r="F1208" i="6"/>
  <c r="H1208" i="6" s="1"/>
  <c r="F1209" i="6"/>
  <c r="H1209" i="6" s="1"/>
  <c r="F1210" i="6"/>
  <c r="H1210" i="6" s="1"/>
  <c r="F1211" i="6"/>
  <c r="H1211" i="6" s="1"/>
  <c r="F1212" i="6"/>
  <c r="H1212" i="6" s="1"/>
  <c r="F1213" i="6"/>
  <c r="H1213" i="6" s="1"/>
  <c r="F1214" i="6"/>
  <c r="H1214" i="6" s="1"/>
  <c r="F1215" i="6"/>
  <c r="H1215" i="6" s="1"/>
  <c r="F1216" i="6"/>
  <c r="H1216" i="6" s="1"/>
  <c r="F1217" i="6"/>
  <c r="H1217" i="6" s="1"/>
  <c r="F1218" i="6"/>
  <c r="H1218" i="6" s="1"/>
  <c r="F1219" i="6"/>
  <c r="H1219" i="6" s="1"/>
  <c r="F1220" i="6"/>
  <c r="H1220" i="6" s="1"/>
  <c r="F1221" i="6"/>
  <c r="H1221" i="6" s="1"/>
  <c r="F1222" i="6"/>
  <c r="H1222" i="6" s="1"/>
  <c r="F1223" i="6"/>
  <c r="H1223" i="6" s="1"/>
  <c r="F1224" i="6"/>
  <c r="H1224" i="6" s="1"/>
  <c r="F1225" i="6"/>
  <c r="H1225" i="6" s="1"/>
  <c r="F1226" i="6"/>
  <c r="H1226" i="6" s="1"/>
  <c r="F1227" i="6"/>
  <c r="H1227" i="6" s="1"/>
  <c r="F1228" i="6"/>
  <c r="H1228" i="6" s="1"/>
  <c r="F1229" i="6"/>
  <c r="H1229" i="6" s="1"/>
  <c r="F1230" i="6"/>
  <c r="H1230" i="6" s="1"/>
  <c r="F1231" i="6"/>
  <c r="H1231" i="6" s="1"/>
  <c r="F1232" i="6"/>
  <c r="H1232" i="6" s="1"/>
  <c r="F1233" i="6"/>
  <c r="H1233" i="6" s="1"/>
  <c r="F1234" i="6"/>
  <c r="H1234" i="6" s="1"/>
  <c r="F1235" i="6"/>
  <c r="H1235" i="6" s="1"/>
  <c r="F1236" i="6"/>
  <c r="H1236" i="6" s="1"/>
  <c r="F1237" i="6"/>
  <c r="H1237" i="6" s="1"/>
  <c r="F1238" i="6"/>
  <c r="H1238" i="6" s="1"/>
  <c r="F1239" i="6"/>
  <c r="H1239" i="6" s="1"/>
  <c r="F1240" i="6"/>
  <c r="H1240" i="6" s="1"/>
  <c r="F1241" i="6"/>
  <c r="H1241" i="6" s="1"/>
  <c r="F1242" i="6"/>
  <c r="H1242" i="6" s="1"/>
  <c r="F1243" i="6"/>
  <c r="H1243" i="6" s="1"/>
  <c r="F1244" i="6"/>
  <c r="H1244" i="6" s="1"/>
  <c r="F1245" i="6"/>
  <c r="H1245" i="6" s="1"/>
  <c r="F1246" i="6"/>
  <c r="H1246" i="6" s="1"/>
  <c r="F1247" i="6"/>
  <c r="H1247" i="6" s="1"/>
  <c r="F1248" i="6"/>
  <c r="H1248" i="6" s="1"/>
  <c r="F1249" i="6"/>
  <c r="H1249" i="6" s="1"/>
  <c r="F1250" i="6"/>
  <c r="H1250" i="6" s="1"/>
  <c r="F1251" i="6"/>
  <c r="H1251" i="6" s="1"/>
  <c r="F1252" i="6"/>
  <c r="H1252" i="6" s="1"/>
  <c r="F1253" i="6"/>
  <c r="H1253" i="6" s="1"/>
  <c r="F1254" i="6"/>
  <c r="H1254" i="6" s="1"/>
  <c r="F1255" i="6"/>
  <c r="H1255" i="6" s="1"/>
  <c r="F1256" i="6"/>
  <c r="H1256" i="6" s="1"/>
  <c r="F1257" i="6"/>
  <c r="H1257" i="6" s="1"/>
  <c r="F1258" i="6"/>
  <c r="H1258" i="6" s="1"/>
  <c r="F1259" i="6"/>
  <c r="H1259" i="6" s="1"/>
  <c r="F1260" i="6"/>
  <c r="H1260" i="6" s="1"/>
  <c r="F1261" i="6"/>
  <c r="H1261" i="6" s="1"/>
  <c r="F1262" i="6"/>
  <c r="H1262" i="6" s="1"/>
  <c r="F1263" i="6"/>
  <c r="H1263" i="6" s="1"/>
  <c r="F1264" i="6"/>
  <c r="H1264" i="6" s="1"/>
  <c r="F1265" i="6"/>
  <c r="H1265" i="6" s="1"/>
  <c r="F1266" i="6"/>
  <c r="H1266" i="6" s="1"/>
  <c r="F1267" i="6"/>
  <c r="H1267" i="6" s="1"/>
  <c r="F1268" i="6"/>
  <c r="H1268" i="6" s="1"/>
  <c r="F1269" i="6"/>
  <c r="H1269" i="6" s="1"/>
  <c r="F1270" i="6"/>
  <c r="H1270" i="6" s="1"/>
  <c r="F1271" i="6"/>
  <c r="H1271" i="6" s="1"/>
  <c r="F1272" i="6"/>
  <c r="H1272" i="6" s="1"/>
  <c r="F1273" i="6"/>
  <c r="H1273" i="6" s="1"/>
  <c r="F1274" i="6"/>
  <c r="H1274" i="6" s="1"/>
  <c r="F1275" i="6"/>
  <c r="H1275" i="6" s="1"/>
  <c r="F1276" i="6"/>
  <c r="H1276" i="6" s="1"/>
  <c r="F1277" i="6"/>
  <c r="H1277" i="6" s="1"/>
  <c r="F1278" i="6"/>
  <c r="H1278" i="6" s="1"/>
  <c r="F1279" i="6"/>
  <c r="H1279" i="6" s="1"/>
  <c r="F1280" i="6"/>
  <c r="H1280" i="6" s="1"/>
  <c r="F1281" i="6"/>
  <c r="H1281" i="6" s="1"/>
  <c r="F1282" i="6"/>
  <c r="H1282" i="6" s="1"/>
  <c r="F1283" i="6"/>
  <c r="H1283" i="6" s="1"/>
  <c r="F1284" i="6"/>
  <c r="H1284" i="6" s="1"/>
  <c r="F1285" i="6"/>
  <c r="H1285" i="6" s="1"/>
  <c r="F1286" i="6"/>
  <c r="H1286" i="6" s="1"/>
  <c r="F1287" i="6"/>
  <c r="H1287" i="6" s="1"/>
  <c r="F1288" i="6"/>
  <c r="H1288" i="6" s="1"/>
  <c r="F1289" i="6"/>
  <c r="H1289" i="6" s="1"/>
  <c r="F1290" i="6"/>
  <c r="H1290" i="6" s="1"/>
  <c r="F1291" i="6"/>
  <c r="H1291" i="6" s="1"/>
  <c r="F1292" i="6"/>
  <c r="H1292" i="6" s="1"/>
  <c r="F1293" i="6"/>
  <c r="H1293" i="6" s="1"/>
  <c r="F1294" i="6"/>
  <c r="H1294" i="6" s="1"/>
  <c r="F1295" i="6"/>
  <c r="H1295" i="6" s="1"/>
  <c r="F1296" i="6"/>
  <c r="H1296" i="6" s="1"/>
  <c r="F1297" i="6"/>
  <c r="H1297" i="6" s="1"/>
  <c r="F1298" i="6"/>
  <c r="H1298" i="6" s="1"/>
  <c r="F1299" i="6"/>
  <c r="H1299" i="6" s="1"/>
  <c r="F1300" i="6"/>
  <c r="H1300" i="6" s="1"/>
  <c r="F1301" i="6"/>
  <c r="H1301" i="6" s="1"/>
  <c r="F1302" i="6"/>
  <c r="H1302" i="6" s="1"/>
  <c r="F1303" i="6"/>
  <c r="H1303" i="6" s="1"/>
  <c r="F1304" i="6"/>
  <c r="H1304" i="6" s="1"/>
  <c r="F1305" i="6"/>
  <c r="H1305" i="6" s="1"/>
  <c r="F1306" i="6"/>
  <c r="H1306" i="6" s="1"/>
  <c r="F1307" i="6"/>
  <c r="H1307" i="6" s="1"/>
  <c r="F1308" i="6"/>
  <c r="H1308" i="6" s="1"/>
  <c r="F1309" i="6"/>
  <c r="H1309" i="6" s="1"/>
  <c r="F1310" i="6"/>
  <c r="H1310" i="6" s="1"/>
  <c r="F1311" i="6"/>
  <c r="H1311" i="6" s="1"/>
  <c r="F1312" i="6"/>
  <c r="H1312" i="6" s="1"/>
  <c r="F1313" i="6"/>
  <c r="H1313" i="6" s="1"/>
  <c r="F1314" i="6"/>
  <c r="H1314" i="6" s="1"/>
  <c r="F1315" i="6"/>
  <c r="H1315" i="6" s="1"/>
  <c r="F1316" i="6"/>
  <c r="H1316" i="6" s="1"/>
  <c r="F1317" i="6"/>
  <c r="H1317" i="6" s="1"/>
  <c r="F1318" i="6"/>
  <c r="H1318" i="6" s="1"/>
  <c r="F1319" i="6"/>
  <c r="H1319" i="6" s="1"/>
  <c r="F1320" i="6"/>
  <c r="H1320" i="6" s="1"/>
  <c r="F1321" i="6"/>
  <c r="H1321" i="6" s="1"/>
  <c r="F1322" i="6"/>
  <c r="H1322" i="6" s="1"/>
  <c r="F1323" i="6"/>
  <c r="H1323" i="6" s="1"/>
  <c r="F1324" i="6"/>
  <c r="H1324" i="6" s="1"/>
  <c r="F1325" i="6"/>
  <c r="H1325" i="6" s="1"/>
  <c r="F1326" i="6"/>
  <c r="H1326" i="6" s="1"/>
  <c r="F1327" i="6"/>
  <c r="H1327" i="6" s="1"/>
  <c r="F1328" i="6"/>
  <c r="H1328" i="6" s="1"/>
  <c r="F1329" i="6"/>
  <c r="H1329" i="6" s="1"/>
  <c r="F1330" i="6"/>
  <c r="H1330" i="6" s="1"/>
  <c r="F1331" i="6"/>
  <c r="H1331" i="6" s="1"/>
  <c r="F1332" i="6"/>
  <c r="H1332" i="6" s="1"/>
  <c r="F1333" i="6"/>
  <c r="H1333" i="6" s="1"/>
  <c r="F1334" i="6"/>
  <c r="H1334" i="6" s="1"/>
  <c r="F1335" i="6"/>
  <c r="H1335" i="6" s="1"/>
  <c r="F1336" i="6"/>
  <c r="H1336" i="6" s="1"/>
  <c r="F1337" i="6"/>
  <c r="H1337" i="6" s="1"/>
  <c r="F1338" i="6"/>
  <c r="H1338" i="6" s="1"/>
  <c r="F1339" i="6"/>
  <c r="H1339" i="6" s="1"/>
  <c r="F1340" i="6"/>
  <c r="H1340" i="6" s="1"/>
  <c r="F1341" i="6"/>
  <c r="H1341" i="6" s="1"/>
  <c r="F1342" i="6"/>
  <c r="H1342" i="6" s="1"/>
  <c r="F1343" i="6"/>
  <c r="H1343" i="6" s="1"/>
  <c r="F1344" i="6"/>
  <c r="H1344" i="6" s="1"/>
  <c r="F1345" i="6"/>
  <c r="H1345" i="6" s="1"/>
  <c r="F1346" i="6"/>
  <c r="H1346" i="6" s="1"/>
  <c r="F1347" i="6"/>
  <c r="H1347" i="6" s="1"/>
  <c r="F1348" i="6"/>
  <c r="H1348" i="6" s="1"/>
  <c r="F1349" i="6"/>
  <c r="H1349" i="6" s="1"/>
  <c r="F1350" i="6"/>
  <c r="H1350" i="6" s="1"/>
  <c r="F1351" i="6"/>
  <c r="H1351" i="6" s="1"/>
  <c r="F1352" i="6"/>
  <c r="H1352" i="6" s="1"/>
  <c r="F1353" i="6"/>
  <c r="H1353" i="6" s="1"/>
  <c r="F1354" i="6"/>
  <c r="H1354" i="6" s="1"/>
  <c r="F1355" i="6"/>
  <c r="H1355" i="6" s="1"/>
  <c r="F1356" i="6"/>
  <c r="H1356" i="6" s="1"/>
  <c r="F1357" i="6"/>
  <c r="H1357" i="6" s="1"/>
  <c r="F1358" i="6"/>
  <c r="H1358" i="6" s="1"/>
  <c r="F1359" i="6"/>
  <c r="H1359" i="6" s="1"/>
  <c r="F1360" i="6"/>
  <c r="H1360" i="6" s="1"/>
  <c r="F1361" i="6"/>
  <c r="H1361" i="6" s="1"/>
  <c r="F1362" i="6"/>
  <c r="H1362" i="6" s="1"/>
  <c r="F1363" i="6"/>
  <c r="H1363" i="6" s="1"/>
  <c r="F1364" i="6"/>
  <c r="H1364" i="6" s="1"/>
  <c r="F1365" i="6"/>
  <c r="H1365" i="6" s="1"/>
  <c r="F1366" i="6"/>
  <c r="H1366" i="6" s="1"/>
  <c r="F1367" i="6"/>
  <c r="H1367" i="6" s="1"/>
  <c r="F1368" i="6"/>
  <c r="H1368" i="6" s="1"/>
  <c r="F1369" i="6"/>
  <c r="H1369" i="6" s="1"/>
  <c r="F1370" i="6"/>
  <c r="H1370" i="6" s="1"/>
  <c r="F1371" i="6"/>
  <c r="H1371" i="6" s="1"/>
  <c r="F1372" i="6"/>
  <c r="H1372" i="6" s="1"/>
  <c r="F1373" i="6"/>
  <c r="H1373" i="6" s="1"/>
  <c r="F1374" i="6"/>
  <c r="H1374" i="6" s="1"/>
  <c r="F1375" i="6"/>
  <c r="H1375" i="6" s="1"/>
  <c r="F1376" i="6"/>
  <c r="H1376" i="6" s="1"/>
  <c r="F1377" i="6"/>
  <c r="H1377" i="6" s="1"/>
  <c r="F1378" i="6"/>
  <c r="H1378" i="6" s="1"/>
  <c r="F1379" i="6"/>
  <c r="H1379" i="6" s="1"/>
  <c r="F1380" i="6"/>
  <c r="H1380" i="6" s="1"/>
  <c r="F1381" i="6"/>
  <c r="H1381" i="6" s="1"/>
  <c r="F1382" i="6"/>
  <c r="H1382" i="6" s="1"/>
  <c r="F1383" i="6"/>
  <c r="H1383" i="6" s="1"/>
  <c r="F1384" i="6"/>
  <c r="H1384" i="6" s="1"/>
  <c r="F1385" i="6"/>
  <c r="H1385" i="6" s="1"/>
  <c r="F1386" i="6"/>
  <c r="H1386" i="6" s="1"/>
  <c r="F1387" i="6"/>
  <c r="H1387" i="6" s="1"/>
  <c r="F1388" i="6"/>
  <c r="H1388" i="6" s="1"/>
  <c r="F1389" i="6"/>
  <c r="H1389" i="6" s="1"/>
  <c r="F1390" i="6"/>
  <c r="H1390" i="6" s="1"/>
  <c r="F1391" i="6"/>
  <c r="H1391" i="6" s="1"/>
  <c r="F1392" i="6"/>
  <c r="H1392" i="6" s="1"/>
  <c r="F1393" i="6"/>
  <c r="H1393" i="6" s="1"/>
  <c r="F1394" i="6"/>
  <c r="H1394" i="6" s="1"/>
  <c r="F1395" i="6"/>
  <c r="H1395" i="6" s="1"/>
  <c r="F1396" i="6"/>
  <c r="H1396" i="6" s="1"/>
  <c r="F1397" i="6"/>
  <c r="H1397" i="6" s="1"/>
  <c r="F1398" i="6"/>
  <c r="H1398" i="6" s="1"/>
  <c r="F1399" i="6"/>
  <c r="H1399" i="6" s="1"/>
  <c r="F1400" i="6"/>
  <c r="H1400" i="6" s="1"/>
  <c r="F1401" i="6"/>
  <c r="H1401" i="6" s="1"/>
  <c r="F1402" i="6"/>
  <c r="H1402" i="6" s="1"/>
  <c r="F1403" i="6"/>
  <c r="H1403" i="6" s="1"/>
  <c r="F1404" i="6"/>
  <c r="H1404" i="6" s="1"/>
  <c r="F1405" i="6"/>
  <c r="H1405" i="6" s="1"/>
  <c r="F1406" i="6"/>
  <c r="H1406" i="6" s="1"/>
  <c r="F1407" i="6"/>
  <c r="H1407" i="6" s="1"/>
  <c r="F1408" i="6"/>
  <c r="H1408" i="6" s="1"/>
  <c r="F1409" i="6"/>
  <c r="H1409" i="6" s="1"/>
  <c r="F1410" i="6"/>
  <c r="H1410" i="6" s="1"/>
  <c r="F1411" i="6"/>
  <c r="H1411" i="6" s="1"/>
  <c r="F1412" i="6"/>
  <c r="H1412" i="6" s="1"/>
  <c r="F1413" i="6"/>
  <c r="H1413" i="6" s="1"/>
  <c r="F1414" i="6"/>
  <c r="H1414" i="6" s="1"/>
  <c r="F1415" i="6"/>
  <c r="H1415" i="6" s="1"/>
  <c r="F1416" i="6"/>
  <c r="H1416" i="6" s="1"/>
  <c r="F1417" i="6"/>
  <c r="H1417" i="6" s="1"/>
  <c r="F1418" i="6"/>
  <c r="H1418" i="6" s="1"/>
  <c r="F1419" i="6"/>
  <c r="H1419" i="6" s="1"/>
  <c r="F1420" i="6"/>
  <c r="H1420" i="6" s="1"/>
  <c r="F1421" i="6"/>
  <c r="H1421" i="6" s="1"/>
  <c r="F1422" i="6"/>
  <c r="H1422" i="6" s="1"/>
  <c r="F1423" i="6"/>
  <c r="H1423" i="6" s="1"/>
  <c r="F1424" i="6"/>
  <c r="H1424" i="6" s="1"/>
  <c r="F1425" i="6"/>
  <c r="H1425" i="6" s="1"/>
  <c r="F1426" i="6"/>
  <c r="H1426" i="6" s="1"/>
  <c r="F1427" i="6"/>
  <c r="H1427" i="6" s="1"/>
  <c r="F1428" i="6"/>
  <c r="H1428" i="6" s="1"/>
  <c r="F1429" i="6"/>
  <c r="H1429" i="6" s="1"/>
  <c r="F1430" i="6"/>
  <c r="H1430" i="6" s="1"/>
  <c r="F1431" i="6"/>
  <c r="H1431" i="6" s="1"/>
  <c r="F1432" i="6"/>
  <c r="H1432" i="6" s="1"/>
  <c r="F1433" i="6"/>
  <c r="H1433" i="6" s="1"/>
  <c r="F1434" i="6"/>
  <c r="H1434" i="6" s="1"/>
  <c r="F1435" i="6"/>
  <c r="H1435" i="6" s="1"/>
  <c r="F1436" i="6"/>
  <c r="H1436" i="6" s="1"/>
  <c r="F1437" i="6"/>
  <c r="H1437" i="6" s="1"/>
  <c r="F1438" i="6"/>
  <c r="H1438" i="6" s="1"/>
  <c r="F1439" i="6"/>
  <c r="H1439" i="6" s="1"/>
  <c r="F1440" i="6"/>
  <c r="H1440" i="6" s="1"/>
  <c r="F1441" i="6"/>
  <c r="H1441" i="6" s="1"/>
  <c r="F1442" i="6"/>
  <c r="H1442" i="6" s="1"/>
  <c r="F1443" i="6"/>
  <c r="H1443" i="6" s="1"/>
  <c r="F1444" i="6"/>
  <c r="H1444" i="6" s="1"/>
  <c r="F1445" i="6"/>
  <c r="H1445" i="6" s="1"/>
  <c r="F1446" i="6"/>
  <c r="H1446" i="6" s="1"/>
  <c r="F1447" i="6"/>
  <c r="H1447" i="6" s="1"/>
  <c r="F1448" i="6"/>
  <c r="H1448" i="6" s="1"/>
  <c r="F1449" i="6"/>
  <c r="H1449" i="6" s="1"/>
  <c r="F1450" i="6"/>
  <c r="H1450" i="6" s="1"/>
  <c r="F1451" i="6"/>
  <c r="H1451" i="6" s="1"/>
  <c r="F1452" i="6"/>
  <c r="H1452" i="6" s="1"/>
  <c r="F1453" i="6"/>
  <c r="H1453" i="6" s="1"/>
  <c r="F1454" i="6"/>
  <c r="H1454" i="6" s="1"/>
  <c r="F1455" i="6"/>
  <c r="H1455" i="6" s="1"/>
  <c r="F1456" i="6"/>
  <c r="H1456" i="6" s="1"/>
  <c r="F1457" i="6"/>
  <c r="H1457" i="6" s="1"/>
  <c r="F1458" i="6"/>
  <c r="H1458" i="6" s="1"/>
  <c r="F1459" i="6"/>
  <c r="H1459" i="6" s="1"/>
  <c r="F1460" i="6"/>
  <c r="H1460" i="6" s="1"/>
  <c r="F1461" i="6"/>
  <c r="H1461" i="6" s="1"/>
  <c r="F1462" i="6"/>
  <c r="H1462" i="6" s="1"/>
  <c r="F1463" i="6"/>
  <c r="H1463" i="6" s="1"/>
  <c r="F1464" i="6"/>
  <c r="H1464" i="6" s="1"/>
  <c r="F1465" i="6"/>
  <c r="H1465" i="6" s="1"/>
  <c r="F1466" i="6"/>
  <c r="H1466" i="6" s="1"/>
  <c r="F1467" i="6"/>
  <c r="H1467" i="6" s="1"/>
  <c r="F1468" i="6"/>
  <c r="H1468" i="6" s="1"/>
  <c r="F1469" i="6"/>
  <c r="H1469" i="6" s="1"/>
  <c r="F1470" i="6"/>
  <c r="H1470" i="6" s="1"/>
  <c r="F1471" i="6"/>
  <c r="H1471" i="6" s="1"/>
  <c r="F1472" i="6"/>
  <c r="H1472" i="6" s="1"/>
  <c r="F1473" i="6"/>
  <c r="H1473" i="6" s="1"/>
  <c r="F1474" i="6"/>
  <c r="H1474" i="6" s="1"/>
  <c r="F1475" i="6"/>
  <c r="H1475" i="6" s="1"/>
  <c r="F1476" i="6"/>
  <c r="H1476" i="6" s="1"/>
  <c r="F1477" i="6"/>
  <c r="H1477" i="6" s="1"/>
  <c r="F1478" i="6"/>
  <c r="H1478" i="6" s="1"/>
  <c r="F1479" i="6"/>
  <c r="H1479" i="6" s="1"/>
  <c r="F1480" i="6"/>
  <c r="H1480" i="6" s="1"/>
  <c r="F1481" i="6"/>
  <c r="H1481" i="6" s="1"/>
  <c r="F1482" i="6"/>
  <c r="H1482" i="6" s="1"/>
  <c r="F1483" i="6"/>
  <c r="H1483" i="6" s="1"/>
  <c r="F1484" i="6"/>
  <c r="H1484" i="6" s="1"/>
  <c r="F1485" i="6"/>
  <c r="H1485" i="6" s="1"/>
  <c r="F1486" i="6"/>
  <c r="H1486" i="6" s="1"/>
  <c r="F1487" i="6"/>
  <c r="H1487" i="6" s="1"/>
  <c r="F1488" i="6"/>
  <c r="H1488" i="6" s="1"/>
  <c r="F1489" i="6"/>
  <c r="H1489" i="6" s="1"/>
  <c r="F1490" i="6"/>
  <c r="H1490" i="6" s="1"/>
  <c r="F1491" i="6"/>
  <c r="H1491" i="6" s="1"/>
  <c r="F1492" i="6"/>
  <c r="H1492" i="6" s="1"/>
  <c r="F1493" i="6"/>
  <c r="H1493" i="6" s="1"/>
  <c r="F1494" i="6"/>
  <c r="H1494" i="6" s="1"/>
  <c r="F1495" i="6"/>
  <c r="H1495" i="6" s="1"/>
  <c r="F1496" i="6"/>
  <c r="H1496" i="6" s="1"/>
  <c r="F1497" i="6"/>
  <c r="H1497" i="6" s="1"/>
  <c r="F1498" i="6"/>
  <c r="H1498" i="6" s="1"/>
  <c r="F1499" i="6"/>
  <c r="H1499" i="6" s="1"/>
  <c r="F1500" i="6"/>
  <c r="H1500" i="6" s="1"/>
  <c r="F1501" i="6"/>
  <c r="H1501" i="6" s="1"/>
  <c r="F1502" i="6"/>
  <c r="H1502" i="6" s="1"/>
  <c r="F1503" i="6"/>
  <c r="H1503" i="6" s="1"/>
  <c r="F1504" i="6"/>
  <c r="H1504" i="6" s="1"/>
  <c r="F1505" i="6"/>
  <c r="H1505" i="6" s="1"/>
  <c r="F1506" i="6"/>
  <c r="H1506" i="6" s="1"/>
  <c r="F1507" i="6"/>
  <c r="H1507" i="6" s="1"/>
  <c r="F1508" i="6"/>
  <c r="H1508" i="6" s="1"/>
  <c r="F1509" i="6"/>
  <c r="H1509" i="6" s="1"/>
  <c r="F1510" i="6"/>
  <c r="H1510" i="6" s="1"/>
  <c r="F1511" i="6"/>
  <c r="H1511" i="6" s="1"/>
  <c r="F1512" i="6"/>
  <c r="H1512" i="6" s="1"/>
  <c r="F1513" i="6"/>
  <c r="H1513" i="6" s="1"/>
  <c r="F1514" i="6"/>
  <c r="H1514" i="6" s="1"/>
  <c r="F1515" i="6"/>
  <c r="H1515" i="6" s="1"/>
  <c r="F1516" i="6"/>
  <c r="H1516" i="6" s="1"/>
  <c r="F1517" i="6"/>
  <c r="H1517" i="6" s="1"/>
  <c r="F1518" i="6"/>
  <c r="H1518" i="6" s="1"/>
  <c r="F1519" i="6"/>
  <c r="H1519" i="6" s="1"/>
  <c r="F1520" i="6"/>
  <c r="H1520" i="6" s="1"/>
  <c r="F1521" i="6"/>
  <c r="H1521" i="6" s="1"/>
  <c r="F1522" i="6"/>
  <c r="H1522" i="6" s="1"/>
  <c r="F1523" i="6"/>
  <c r="H1523" i="6" s="1"/>
  <c r="F1524" i="6"/>
  <c r="H1524" i="6" s="1"/>
  <c r="F1525" i="6"/>
  <c r="H1525" i="6" s="1"/>
  <c r="F1526" i="6"/>
  <c r="H1526" i="6" s="1"/>
  <c r="F1527" i="6"/>
  <c r="H1527" i="6" s="1"/>
  <c r="F1528" i="6"/>
  <c r="H1528" i="6" s="1"/>
  <c r="F1529" i="6"/>
  <c r="H1529" i="6" s="1"/>
  <c r="F1530" i="6"/>
  <c r="H1530" i="6" s="1"/>
  <c r="F1531" i="6"/>
  <c r="H1531" i="6" s="1"/>
  <c r="F1532" i="6"/>
  <c r="H1532" i="6" s="1"/>
  <c r="F1533" i="6"/>
  <c r="H1533" i="6" s="1"/>
  <c r="F1534" i="6"/>
  <c r="H1534" i="6" s="1"/>
  <c r="F1535" i="6"/>
  <c r="H1535" i="6" s="1"/>
  <c r="F1536" i="6"/>
  <c r="H1536" i="6" s="1"/>
  <c r="F1537" i="6"/>
  <c r="H1537" i="6" s="1"/>
  <c r="F1538" i="6"/>
  <c r="H1538" i="6" s="1"/>
  <c r="F1539" i="6"/>
  <c r="H1539" i="6" s="1"/>
  <c r="F1540" i="6"/>
  <c r="H1540" i="6" s="1"/>
  <c r="F1541" i="6"/>
  <c r="H1541" i="6" s="1"/>
  <c r="F1542" i="6"/>
  <c r="H1542" i="6" s="1"/>
  <c r="F1543" i="6"/>
  <c r="H1543" i="6" s="1"/>
  <c r="F1544" i="6"/>
  <c r="H1544" i="6" s="1"/>
  <c r="F1545" i="6"/>
  <c r="H1545" i="6" s="1"/>
  <c r="F1546" i="6"/>
  <c r="H1546" i="6" s="1"/>
  <c r="F1547" i="6"/>
  <c r="H1547" i="6" s="1"/>
  <c r="F1548" i="6"/>
  <c r="H1548" i="6" s="1"/>
  <c r="F1549" i="6"/>
  <c r="H1549" i="6" s="1"/>
  <c r="F1550" i="6"/>
  <c r="H1550" i="6" s="1"/>
  <c r="F1551" i="6"/>
  <c r="H1551" i="6" s="1"/>
  <c r="F1552" i="6"/>
  <c r="H1552" i="6" s="1"/>
  <c r="F1553" i="6"/>
  <c r="H1553" i="6" s="1"/>
  <c r="F1554" i="6"/>
  <c r="H1554" i="6" s="1"/>
  <c r="F1555" i="6"/>
  <c r="H1555" i="6" s="1"/>
  <c r="F1556" i="6"/>
  <c r="H1556" i="6" s="1"/>
  <c r="F1557" i="6"/>
  <c r="H1557" i="6" s="1"/>
  <c r="F1558" i="6"/>
  <c r="H1558" i="6" s="1"/>
  <c r="F1559" i="6"/>
  <c r="H1559" i="6" s="1"/>
  <c r="F1560" i="6"/>
  <c r="H1560" i="6" s="1"/>
  <c r="F1561" i="6"/>
  <c r="H1561" i="6" s="1"/>
  <c r="F1562" i="6"/>
  <c r="H1562" i="6" s="1"/>
  <c r="F1563" i="6"/>
  <c r="H1563" i="6" s="1"/>
  <c r="F1564" i="6"/>
  <c r="H1564" i="6" s="1"/>
  <c r="F1565" i="6"/>
  <c r="H1565" i="6" s="1"/>
  <c r="F1566" i="6"/>
  <c r="H1566" i="6" s="1"/>
  <c r="F1567" i="6"/>
  <c r="H1567" i="6" s="1"/>
  <c r="F1568" i="6"/>
  <c r="H1568" i="6" s="1"/>
  <c r="F1569" i="6"/>
  <c r="H1569" i="6" s="1"/>
  <c r="F1570" i="6"/>
  <c r="H1570" i="6" s="1"/>
  <c r="F1571" i="6"/>
  <c r="H1571" i="6" s="1"/>
  <c r="F1572" i="6"/>
  <c r="H1572" i="6" s="1"/>
  <c r="F1573" i="6"/>
  <c r="H1573" i="6" s="1"/>
  <c r="F1574" i="6"/>
  <c r="H1574" i="6" s="1"/>
  <c r="F1575" i="6"/>
  <c r="H1575" i="6" s="1"/>
  <c r="F1576" i="6"/>
  <c r="H1576" i="6" s="1"/>
  <c r="F1577" i="6"/>
  <c r="H1577" i="6" s="1"/>
  <c r="F1578" i="6"/>
  <c r="H1578" i="6" s="1"/>
  <c r="F1579" i="6"/>
  <c r="H1579" i="6" s="1"/>
  <c r="F1580" i="6"/>
  <c r="H1580" i="6" s="1"/>
  <c r="F1581" i="6"/>
  <c r="H1581" i="6" s="1"/>
  <c r="F1582" i="6"/>
  <c r="H1582" i="6" s="1"/>
  <c r="F1583" i="6"/>
  <c r="H1583" i="6" s="1"/>
  <c r="F1584" i="6"/>
  <c r="H1584" i="6" s="1"/>
  <c r="F1585" i="6"/>
  <c r="H1585" i="6" s="1"/>
  <c r="F1586" i="6"/>
  <c r="H1586" i="6" s="1"/>
  <c r="F1587" i="6"/>
  <c r="H1587" i="6" s="1"/>
  <c r="F1588" i="6"/>
  <c r="H1588" i="6" s="1"/>
  <c r="F1589" i="6"/>
  <c r="H1589" i="6" s="1"/>
  <c r="F1590" i="6"/>
  <c r="H1590" i="6" s="1"/>
  <c r="F1591" i="6"/>
  <c r="H1591" i="6" s="1"/>
  <c r="F1592" i="6"/>
  <c r="H1592" i="6" s="1"/>
  <c r="F1593" i="6"/>
  <c r="H1593" i="6" s="1"/>
  <c r="F1594" i="6"/>
  <c r="H1594" i="6" s="1"/>
  <c r="F1595" i="6"/>
  <c r="H1595" i="6" s="1"/>
  <c r="F1596" i="6"/>
  <c r="H1596" i="6" s="1"/>
  <c r="F1597" i="6"/>
  <c r="H1597" i="6" s="1"/>
  <c r="F1598" i="6"/>
  <c r="H1598" i="6" s="1"/>
  <c r="F1599" i="6"/>
  <c r="H1599" i="6" s="1"/>
  <c r="F1600" i="6"/>
  <c r="H1600" i="6" s="1"/>
  <c r="F1601" i="6"/>
  <c r="H1601" i="6" s="1"/>
  <c r="F1602" i="6"/>
  <c r="H1602" i="6" s="1"/>
  <c r="F1603" i="6"/>
  <c r="H1603" i="6" s="1"/>
  <c r="F1604" i="6"/>
  <c r="H1604" i="6" s="1"/>
  <c r="F1605" i="6"/>
  <c r="H1605" i="6" s="1"/>
  <c r="F1606" i="6"/>
  <c r="H1606" i="6" s="1"/>
  <c r="F1607" i="6"/>
  <c r="H1607" i="6" s="1"/>
  <c r="F1608" i="6"/>
  <c r="H1608" i="6" s="1"/>
  <c r="F1609" i="6"/>
  <c r="H1609" i="6" s="1"/>
  <c r="F1610" i="6"/>
  <c r="H1610" i="6" s="1"/>
  <c r="F1611" i="6"/>
  <c r="H1611" i="6" s="1"/>
  <c r="F1612" i="6"/>
  <c r="H1612" i="6" s="1"/>
  <c r="F1613" i="6"/>
  <c r="H1613" i="6" s="1"/>
  <c r="F1614" i="6"/>
  <c r="H1614" i="6" s="1"/>
  <c r="F1615" i="6"/>
  <c r="H1615" i="6" s="1"/>
  <c r="F1616" i="6"/>
  <c r="H1616" i="6" s="1"/>
  <c r="F1617" i="6"/>
  <c r="H1617" i="6" s="1"/>
  <c r="F1618" i="6"/>
  <c r="H1618" i="6" s="1"/>
  <c r="F1619" i="6"/>
  <c r="H1619" i="6" s="1"/>
  <c r="F1620" i="6"/>
  <c r="H1620" i="6" s="1"/>
  <c r="F1621" i="6"/>
  <c r="H1621" i="6" s="1"/>
  <c r="F1622" i="6"/>
  <c r="H1622" i="6" s="1"/>
  <c r="F1623" i="6"/>
  <c r="H1623" i="6" s="1"/>
  <c r="F1624" i="6"/>
  <c r="H1624" i="6" s="1"/>
  <c r="F1625" i="6"/>
  <c r="H1625" i="6" s="1"/>
  <c r="F1626" i="6"/>
  <c r="H1626" i="6" s="1"/>
  <c r="F1627" i="6"/>
  <c r="H1627" i="6" s="1"/>
  <c r="F1628" i="6"/>
  <c r="H1628" i="6" s="1"/>
  <c r="F1629" i="6"/>
  <c r="H1629" i="6" s="1"/>
  <c r="F1630" i="6"/>
  <c r="H1630" i="6" s="1"/>
  <c r="F1631" i="6"/>
  <c r="H1631" i="6" s="1"/>
  <c r="F1632" i="6"/>
  <c r="H1632" i="6" s="1"/>
  <c r="F1633" i="6"/>
  <c r="H1633" i="6" s="1"/>
  <c r="F1634" i="6"/>
  <c r="H1634" i="6" s="1"/>
  <c r="F1635" i="6"/>
  <c r="H1635" i="6" s="1"/>
  <c r="F1636" i="6"/>
  <c r="H1636" i="6" s="1"/>
  <c r="F1637" i="6"/>
  <c r="H1637" i="6" s="1"/>
  <c r="F1638" i="6"/>
  <c r="H1638" i="6" s="1"/>
  <c r="F1639" i="6"/>
  <c r="H1639" i="6" s="1"/>
  <c r="F1640" i="6"/>
  <c r="H1640" i="6" s="1"/>
  <c r="F1641" i="6"/>
  <c r="H1641" i="6" s="1"/>
  <c r="F1642" i="6"/>
  <c r="H1642" i="6" s="1"/>
  <c r="F1643" i="6"/>
  <c r="H1643" i="6" s="1"/>
  <c r="F1644" i="6"/>
  <c r="H1644" i="6" s="1"/>
  <c r="F1645" i="6"/>
  <c r="H1645" i="6" s="1"/>
  <c r="F1646" i="6"/>
  <c r="H1646" i="6" s="1"/>
  <c r="F1647" i="6"/>
  <c r="H1647" i="6" s="1"/>
  <c r="F1648" i="6"/>
  <c r="H1648" i="6" s="1"/>
  <c r="F1649" i="6"/>
  <c r="H1649" i="6" s="1"/>
  <c r="F1650" i="6"/>
  <c r="H1650" i="6" s="1"/>
  <c r="F1651" i="6"/>
  <c r="H1651" i="6" s="1"/>
  <c r="F1652" i="6"/>
  <c r="H1652" i="6" s="1"/>
  <c r="F1653" i="6"/>
  <c r="H1653" i="6" s="1"/>
  <c r="F1654" i="6"/>
  <c r="H1654" i="6" s="1"/>
  <c r="F1655" i="6"/>
  <c r="H1655" i="6" s="1"/>
  <c r="F1656" i="6"/>
  <c r="H1656" i="6" s="1"/>
  <c r="F1657" i="6"/>
  <c r="H1657" i="6" s="1"/>
  <c r="F1658" i="6"/>
  <c r="H1658" i="6" s="1"/>
  <c r="F1659" i="6"/>
  <c r="H1659" i="6" s="1"/>
  <c r="F1660" i="6"/>
  <c r="H1660" i="6" s="1"/>
  <c r="F1661" i="6"/>
  <c r="H1661" i="6" s="1"/>
  <c r="F1662" i="6"/>
  <c r="H1662" i="6" s="1"/>
  <c r="F1663" i="6"/>
  <c r="H1663" i="6" s="1"/>
  <c r="F1664" i="6"/>
  <c r="H1664" i="6" s="1"/>
  <c r="F1665" i="6"/>
  <c r="H1665" i="6" s="1"/>
  <c r="F1666" i="6"/>
  <c r="H1666" i="6" s="1"/>
  <c r="F1667" i="6"/>
  <c r="H1667" i="6" s="1"/>
  <c r="F1668" i="6"/>
  <c r="H1668" i="6" s="1"/>
  <c r="F1669" i="6"/>
  <c r="H1669" i="6" s="1"/>
  <c r="F1670" i="6"/>
  <c r="H1670" i="6" s="1"/>
  <c r="F1671" i="6"/>
  <c r="H1671" i="6" s="1"/>
  <c r="F1672" i="6"/>
  <c r="H1672" i="6" s="1"/>
  <c r="F1673" i="6"/>
  <c r="H1673" i="6" s="1"/>
  <c r="F1674" i="6"/>
  <c r="H1674" i="6" s="1"/>
  <c r="F1675" i="6"/>
  <c r="H1675" i="6" s="1"/>
  <c r="F1676" i="6"/>
  <c r="H1676" i="6" s="1"/>
  <c r="F1677" i="6"/>
  <c r="H1677" i="6" s="1"/>
  <c r="F1678" i="6"/>
  <c r="H1678" i="6" s="1"/>
  <c r="F1679" i="6"/>
  <c r="H1679" i="6" s="1"/>
  <c r="F1680" i="6"/>
  <c r="H1680" i="6" s="1"/>
  <c r="F1681" i="6"/>
  <c r="H1681" i="6" s="1"/>
  <c r="F1682" i="6"/>
  <c r="H1682" i="6" s="1"/>
  <c r="F1683" i="6"/>
  <c r="H1683" i="6" s="1"/>
  <c r="F1684" i="6"/>
  <c r="H1684" i="6" s="1"/>
  <c r="F1685" i="6"/>
  <c r="H1685" i="6" s="1"/>
  <c r="F1686" i="6"/>
  <c r="H1686" i="6" s="1"/>
  <c r="F1687" i="6"/>
  <c r="H1687" i="6" s="1"/>
  <c r="F1688" i="6"/>
  <c r="H1688" i="6" s="1"/>
  <c r="F1689" i="6"/>
  <c r="H1689" i="6" s="1"/>
  <c r="F1690" i="6"/>
  <c r="H1690" i="6" s="1"/>
  <c r="F1691" i="6"/>
  <c r="H1691" i="6" s="1"/>
  <c r="F1692" i="6"/>
  <c r="H1692" i="6" s="1"/>
  <c r="F1693" i="6"/>
  <c r="H1693" i="6" s="1"/>
  <c r="F1694" i="6"/>
  <c r="H1694" i="6" s="1"/>
  <c r="F1695" i="6"/>
  <c r="H1695" i="6" s="1"/>
  <c r="F1696" i="6"/>
  <c r="H1696" i="6" s="1"/>
  <c r="F1697" i="6"/>
  <c r="H1697" i="6" s="1"/>
  <c r="F1698" i="6"/>
  <c r="H1698" i="6" s="1"/>
  <c r="F1699" i="6"/>
  <c r="H1699" i="6" s="1"/>
  <c r="F1700" i="6"/>
  <c r="H1700" i="6" s="1"/>
  <c r="F1701" i="6"/>
  <c r="H1701" i="6" s="1"/>
  <c r="F1702" i="6"/>
  <c r="H1702" i="6" s="1"/>
  <c r="F1703" i="6"/>
  <c r="H1703" i="6" s="1"/>
  <c r="F1704" i="6"/>
  <c r="H1704" i="6" s="1"/>
  <c r="F1705" i="6"/>
  <c r="H1705" i="6" s="1"/>
  <c r="F1706" i="6"/>
  <c r="H1706" i="6" s="1"/>
  <c r="F1707" i="6"/>
  <c r="H1707" i="6" s="1"/>
  <c r="F1708" i="6"/>
  <c r="H1708" i="6" s="1"/>
  <c r="F1709" i="6"/>
  <c r="H1709" i="6" s="1"/>
  <c r="F1710" i="6"/>
  <c r="H1710" i="6" s="1"/>
  <c r="F1711" i="6"/>
  <c r="H1711" i="6" s="1"/>
  <c r="F1712" i="6"/>
  <c r="H1712" i="6" s="1"/>
  <c r="F1713" i="6"/>
  <c r="H1713" i="6" s="1"/>
  <c r="F1714" i="6"/>
  <c r="H1714" i="6" s="1"/>
  <c r="F1715" i="6"/>
  <c r="H1715" i="6" s="1"/>
  <c r="F1716" i="6"/>
  <c r="H1716" i="6" s="1"/>
  <c r="F1717" i="6"/>
  <c r="H1717" i="6" s="1"/>
  <c r="F1718" i="6"/>
  <c r="H1718" i="6" s="1"/>
  <c r="F1719" i="6"/>
  <c r="H1719" i="6" s="1"/>
  <c r="F1720" i="6"/>
  <c r="H1720" i="6" s="1"/>
  <c r="F1721" i="6"/>
  <c r="H1721" i="6" s="1"/>
  <c r="F1722" i="6"/>
  <c r="H1722" i="6" s="1"/>
  <c r="F1723" i="6"/>
  <c r="H1723" i="6" s="1"/>
  <c r="F1724" i="6"/>
  <c r="H1724" i="6" s="1"/>
  <c r="F1725" i="6"/>
  <c r="H1725" i="6" s="1"/>
  <c r="F1726" i="6"/>
  <c r="H1726" i="6" s="1"/>
  <c r="F1727" i="6"/>
  <c r="H1727" i="6" s="1"/>
  <c r="F1728" i="6"/>
  <c r="H1728" i="6" s="1"/>
  <c r="F1729" i="6"/>
  <c r="H1729" i="6" s="1"/>
  <c r="F1730" i="6"/>
  <c r="H1730" i="6" s="1"/>
  <c r="F1731" i="6"/>
  <c r="H1731" i="6" s="1"/>
  <c r="F1732" i="6"/>
  <c r="H1732" i="6" s="1"/>
  <c r="F1733" i="6"/>
  <c r="H1733" i="6" s="1"/>
  <c r="F1734" i="6"/>
  <c r="H1734" i="6" s="1"/>
  <c r="F1735" i="6"/>
  <c r="H1735" i="6" s="1"/>
  <c r="F1736" i="6"/>
  <c r="H1736" i="6" s="1"/>
  <c r="F1737" i="6"/>
  <c r="H1737" i="6" s="1"/>
  <c r="F1738" i="6"/>
  <c r="H1738" i="6" s="1"/>
  <c r="F1739" i="6"/>
  <c r="H1739" i="6" s="1"/>
  <c r="F1740" i="6"/>
  <c r="H1740" i="6" s="1"/>
  <c r="F1741" i="6"/>
  <c r="H1741" i="6" s="1"/>
  <c r="F1742" i="6"/>
  <c r="H1742" i="6" s="1"/>
  <c r="F1743" i="6"/>
  <c r="H1743" i="6" s="1"/>
  <c r="F1744" i="6"/>
  <c r="H1744" i="6" s="1"/>
  <c r="F1745" i="6"/>
  <c r="H1745" i="6" s="1"/>
  <c r="F1746" i="6"/>
  <c r="H1746" i="6" s="1"/>
  <c r="F1747" i="6"/>
  <c r="H1747" i="6" s="1"/>
  <c r="F1748" i="6"/>
  <c r="H1748" i="6" s="1"/>
  <c r="F1749" i="6"/>
  <c r="H1749" i="6" s="1"/>
  <c r="F1750" i="6"/>
  <c r="H1750" i="6" s="1"/>
  <c r="F1751" i="6"/>
  <c r="H1751" i="6" s="1"/>
  <c r="F1752" i="6"/>
  <c r="H1752" i="6" s="1"/>
  <c r="F1753" i="6"/>
  <c r="H1753" i="6" s="1"/>
  <c r="F1754" i="6"/>
  <c r="H1754" i="6" s="1"/>
  <c r="F1755" i="6"/>
  <c r="H1755" i="6" s="1"/>
  <c r="F1756" i="6"/>
  <c r="H1756" i="6" s="1"/>
  <c r="F1757" i="6"/>
  <c r="H1757" i="6" s="1"/>
  <c r="F1758" i="6"/>
  <c r="H1758" i="6" s="1"/>
  <c r="F1759" i="6"/>
  <c r="H1759" i="6" s="1"/>
  <c r="F1760" i="6"/>
  <c r="H1760" i="6" s="1"/>
  <c r="F1761" i="6"/>
  <c r="H1761" i="6" s="1"/>
  <c r="F1762" i="6"/>
  <c r="H1762" i="6" s="1"/>
  <c r="F1763" i="6"/>
  <c r="H1763" i="6" s="1"/>
  <c r="F1764" i="6"/>
  <c r="H1764" i="6" s="1"/>
  <c r="F1765" i="6"/>
  <c r="H1765" i="6" s="1"/>
  <c r="F1766" i="6"/>
  <c r="H1766" i="6" s="1"/>
  <c r="F1767" i="6"/>
  <c r="H1767" i="6" s="1"/>
  <c r="F1768" i="6"/>
  <c r="H1768" i="6" s="1"/>
  <c r="F1769" i="6"/>
  <c r="H1769" i="6" s="1"/>
  <c r="F1770" i="6"/>
  <c r="H1770" i="6" s="1"/>
  <c r="F1771" i="6"/>
  <c r="H1771" i="6" s="1"/>
  <c r="F1772" i="6"/>
  <c r="H1772" i="6" s="1"/>
  <c r="F1773" i="6"/>
  <c r="H1773" i="6" s="1"/>
  <c r="F1774" i="6"/>
  <c r="H1774" i="6" s="1"/>
  <c r="F1775" i="6"/>
  <c r="H1775" i="6" s="1"/>
  <c r="F1776" i="6"/>
  <c r="H1776" i="6" s="1"/>
  <c r="F1777" i="6"/>
  <c r="H1777" i="6" s="1"/>
  <c r="F1778" i="6"/>
  <c r="H1778" i="6" s="1"/>
  <c r="F1779" i="6"/>
  <c r="H1779" i="6" s="1"/>
  <c r="F1780" i="6"/>
  <c r="H1780" i="6" s="1"/>
  <c r="F1781" i="6"/>
  <c r="H1781" i="6" s="1"/>
  <c r="F1782" i="6"/>
  <c r="H1782" i="6" s="1"/>
  <c r="F1783" i="6"/>
  <c r="H1783" i="6" s="1"/>
  <c r="F1784" i="6"/>
  <c r="H1784" i="6" s="1"/>
  <c r="F1785" i="6"/>
  <c r="H1785" i="6" s="1"/>
  <c r="F1786" i="6"/>
  <c r="H1786" i="6" s="1"/>
  <c r="F1787" i="6"/>
  <c r="H1787" i="6" s="1"/>
  <c r="F1788" i="6"/>
  <c r="H1788" i="6" s="1"/>
  <c r="F1789" i="6"/>
  <c r="H1789" i="6" s="1"/>
  <c r="F1790" i="6"/>
  <c r="H1790" i="6" s="1"/>
  <c r="F1791" i="6"/>
  <c r="H1791" i="6" s="1"/>
  <c r="F1792" i="6"/>
  <c r="H1792" i="6" s="1"/>
  <c r="F1793" i="6"/>
  <c r="H1793" i="6" s="1"/>
  <c r="F1794" i="6"/>
  <c r="H1794" i="6" s="1"/>
  <c r="F1795" i="6"/>
  <c r="H1795" i="6" s="1"/>
  <c r="F1796" i="6"/>
  <c r="H1796" i="6" s="1"/>
  <c r="F1797" i="6"/>
  <c r="H1797" i="6" s="1"/>
  <c r="F1798" i="6"/>
  <c r="H1798" i="6" s="1"/>
  <c r="F1799" i="6"/>
  <c r="H1799" i="6" s="1"/>
  <c r="F1800" i="6"/>
  <c r="H1800" i="6" s="1"/>
  <c r="F1801" i="6"/>
  <c r="H1801" i="6" s="1"/>
  <c r="F1802" i="6"/>
  <c r="H1802" i="6" s="1"/>
  <c r="F1803" i="6"/>
  <c r="H1803" i="6" s="1"/>
  <c r="F1804" i="6"/>
  <c r="H1804" i="6" s="1"/>
  <c r="F1805" i="6"/>
  <c r="H1805" i="6" s="1"/>
  <c r="F1806" i="6"/>
  <c r="H1806" i="6" s="1"/>
  <c r="F1807" i="6"/>
  <c r="H1807" i="6" s="1"/>
  <c r="F1808" i="6"/>
  <c r="H1808" i="6" s="1"/>
  <c r="F1809" i="6"/>
  <c r="H1809" i="6" s="1"/>
  <c r="F1810" i="6"/>
  <c r="H1810" i="6" s="1"/>
  <c r="F1811" i="6"/>
  <c r="H1811" i="6" s="1"/>
  <c r="F1812" i="6"/>
  <c r="H1812" i="6" s="1"/>
  <c r="F1813" i="6"/>
  <c r="H1813" i="6" s="1"/>
  <c r="F1814" i="6"/>
  <c r="H1814" i="6" s="1"/>
  <c r="F1815" i="6"/>
  <c r="H1815" i="6" s="1"/>
  <c r="F1816" i="6"/>
  <c r="H1816" i="6" s="1"/>
  <c r="F1817" i="6"/>
  <c r="H1817" i="6" s="1"/>
  <c r="F1818" i="6"/>
  <c r="H1818" i="6" s="1"/>
  <c r="F1819" i="6"/>
  <c r="H1819" i="6" s="1"/>
  <c r="F1820" i="6"/>
  <c r="H1820" i="6" s="1"/>
  <c r="F1821" i="6"/>
  <c r="H1821" i="6" s="1"/>
  <c r="F1822" i="6"/>
  <c r="H1822" i="6" s="1"/>
  <c r="F1823" i="6"/>
  <c r="H1823" i="6" s="1"/>
  <c r="F1824" i="6"/>
  <c r="H1824" i="6" s="1"/>
  <c r="F1825" i="6"/>
  <c r="H1825" i="6" s="1"/>
  <c r="F1826" i="6"/>
  <c r="H1826" i="6" s="1"/>
  <c r="F1827" i="6"/>
  <c r="H1827" i="6" s="1"/>
  <c r="F1828" i="6"/>
  <c r="H1828" i="6" s="1"/>
  <c r="F1829" i="6"/>
  <c r="H1829" i="6" s="1"/>
  <c r="F1830" i="6"/>
  <c r="H1830" i="6" s="1"/>
  <c r="F1831" i="6"/>
  <c r="H1831" i="6" s="1"/>
  <c r="F1832" i="6"/>
  <c r="H1832" i="6" s="1"/>
  <c r="F1833" i="6"/>
  <c r="H1833" i="6" s="1"/>
  <c r="F1834" i="6"/>
  <c r="H1834" i="6" s="1"/>
  <c r="F1835" i="6"/>
  <c r="H1835" i="6" s="1"/>
  <c r="F1836" i="6"/>
  <c r="H1836" i="6" s="1"/>
  <c r="F1837" i="6"/>
  <c r="H1837" i="6" s="1"/>
  <c r="F1838" i="6"/>
  <c r="H1838" i="6" s="1"/>
  <c r="F1839" i="6"/>
  <c r="H1839" i="6" s="1"/>
  <c r="F1840" i="6"/>
  <c r="H1840" i="6" s="1"/>
  <c r="F1841" i="6"/>
  <c r="H1841" i="6" s="1"/>
  <c r="F1842" i="6"/>
  <c r="H1842" i="6" s="1"/>
  <c r="F1843" i="6"/>
  <c r="H1843" i="6" s="1"/>
  <c r="F1844" i="6"/>
  <c r="H1844" i="6" s="1"/>
  <c r="F1845" i="6"/>
  <c r="H1845" i="6" s="1"/>
  <c r="F1846" i="6"/>
  <c r="H1846" i="6" s="1"/>
  <c r="F1847" i="6"/>
  <c r="H1847" i="6" s="1"/>
  <c r="F1848" i="6"/>
  <c r="H1848" i="6" s="1"/>
  <c r="F1849" i="6"/>
  <c r="H1849" i="6" s="1"/>
  <c r="F1850" i="6"/>
  <c r="H1850" i="6" s="1"/>
  <c r="F1851" i="6"/>
  <c r="H1851" i="6" s="1"/>
  <c r="F1852" i="6"/>
  <c r="H1852" i="6" s="1"/>
  <c r="F1853" i="6"/>
  <c r="H1853" i="6" s="1"/>
  <c r="F1854" i="6"/>
  <c r="H1854" i="6" s="1"/>
  <c r="F1855" i="6"/>
  <c r="H1855" i="6" s="1"/>
  <c r="F1856" i="6"/>
  <c r="H1856" i="6" s="1"/>
  <c r="F1857" i="6"/>
  <c r="H1857" i="6" s="1"/>
  <c r="F1858" i="6"/>
  <c r="H1858" i="6" s="1"/>
  <c r="F1859" i="6"/>
  <c r="H1859" i="6" s="1"/>
  <c r="F1860" i="6"/>
  <c r="H1860" i="6" s="1"/>
  <c r="F1861" i="6"/>
  <c r="H1861" i="6" s="1"/>
  <c r="F1862" i="6"/>
  <c r="H1862" i="6" s="1"/>
  <c r="F1863" i="6"/>
  <c r="H1863" i="6" s="1"/>
  <c r="F1864" i="6"/>
  <c r="H1864" i="6" s="1"/>
  <c r="F1865" i="6"/>
  <c r="H1865" i="6" s="1"/>
  <c r="F1866" i="6"/>
  <c r="H1866" i="6" s="1"/>
  <c r="F1867" i="6"/>
  <c r="H1867" i="6" s="1"/>
  <c r="F1868" i="6"/>
  <c r="H1868" i="6" s="1"/>
  <c r="F1869" i="6"/>
  <c r="H1869" i="6" s="1"/>
  <c r="F1870" i="6"/>
  <c r="H1870" i="6" s="1"/>
  <c r="F1871" i="6"/>
  <c r="H1871" i="6" s="1"/>
  <c r="F1872" i="6"/>
  <c r="H1872" i="6" s="1"/>
  <c r="F1873" i="6"/>
  <c r="H1873" i="6" s="1"/>
  <c r="F1874" i="6"/>
  <c r="H1874" i="6" s="1"/>
  <c r="F1875" i="6"/>
  <c r="H1875" i="6" s="1"/>
  <c r="F1876" i="6"/>
  <c r="H1876" i="6" s="1"/>
  <c r="F1877" i="6"/>
  <c r="H1877" i="6" s="1"/>
  <c r="F1878" i="6"/>
  <c r="H1878" i="6" s="1"/>
  <c r="F1879" i="6"/>
  <c r="H1879" i="6" s="1"/>
  <c r="F1880" i="6"/>
  <c r="H1880" i="6" s="1"/>
  <c r="F1881" i="6"/>
  <c r="H1881" i="6" s="1"/>
  <c r="F1882" i="6"/>
  <c r="H1882" i="6" s="1"/>
  <c r="F1883" i="6"/>
  <c r="H1883" i="6" s="1"/>
  <c r="F1884" i="6"/>
  <c r="H1884" i="6" s="1"/>
  <c r="F1885" i="6"/>
  <c r="H1885" i="6" s="1"/>
  <c r="F1886" i="6"/>
  <c r="H1886" i="6" s="1"/>
  <c r="F1887" i="6"/>
  <c r="H1887" i="6" s="1"/>
  <c r="F1888" i="6"/>
  <c r="H1888" i="6" s="1"/>
  <c r="F1889" i="6"/>
  <c r="H1889" i="6" s="1"/>
  <c r="F1890" i="6"/>
  <c r="H1890" i="6" s="1"/>
  <c r="F1891" i="6"/>
  <c r="H1891" i="6" s="1"/>
  <c r="F1892" i="6"/>
  <c r="H1892" i="6" s="1"/>
  <c r="F1893" i="6"/>
  <c r="H1893" i="6" s="1"/>
  <c r="F1894" i="6"/>
  <c r="H1894" i="6" s="1"/>
  <c r="F1895" i="6"/>
  <c r="H1895" i="6" s="1"/>
  <c r="F1896" i="6"/>
  <c r="H1896" i="6" s="1"/>
  <c r="F1897" i="6"/>
  <c r="H1897" i="6" s="1"/>
  <c r="F1898" i="6"/>
  <c r="H1898" i="6" s="1"/>
  <c r="F1899" i="6"/>
  <c r="H1899" i="6" s="1"/>
  <c r="F1900" i="6"/>
  <c r="H1900" i="6" s="1"/>
  <c r="F1901" i="6"/>
  <c r="H1901" i="6" s="1"/>
  <c r="F1902" i="6"/>
  <c r="H1902" i="6" s="1"/>
  <c r="F1903" i="6"/>
  <c r="H1903" i="6" s="1"/>
  <c r="F1904" i="6"/>
  <c r="H1904" i="6" s="1"/>
  <c r="F1905" i="6"/>
  <c r="H1905" i="6" s="1"/>
  <c r="F1906" i="6"/>
  <c r="H1906" i="6" s="1"/>
  <c r="F1907" i="6"/>
  <c r="H1907" i="6" s="1"/>
  <c r="F1908" i="6"/>
  <c r="H1908" i="6" s="1"/>
  <c r="F1909" i="6"/>
  <c r="H1909" i="6" s="1"/>
  <c r="F1910" i="6"/>
  <c r="H1910" i="6" s="1"/>
  <c r="F1911" i="6"/>
  <c r="H1911" i="6" s="1"/>
  <c r="F1912" i="6"/>
  <c r="H1912" i="6" s="1"/>
  <c r="F1913" i="6"/>
  <c r="H1913" i="6" s="1"/>
  <c r="F1914" i="6"/>
  <c r="H1914" i="6" s="1"/>
  <c r="F1915" i="6"/>
  <c r="H1915" i="6" s="1"/>
  <c r="F1916" i="6"/>
  <c r="H1916" i="6" s="1"/>
  <c r="F1917" i="6"/>
  <c r="H1917" i="6" s="1"/>
  <c r="F1918" i="6"/>
  <c r="H1918" i="6" s="1"/>
  <c r="F1919" i="6"/>
  <c r="H1919" i="6" s="1"/>
  <c r="F1920" i="6"/>
  <c r="H1920" i="6" s="1"/>
  <c r="F1921" i="6"/>
  <c r="H1921" i="6" s="1"/>
  <c r="F1922" i="6"/>
  <c r="H1922" i="6" s="1"/>
  <c r="F1923" i="6"/>
  <c r="H1923" i="6" s="1"/>
  <c r="F1924" i="6"/>
  <c r="H1924" i="6" s="1"/>
  <c r="F1925" i="6"/>
  <c r="H1925" i="6" s="1"/>
  <c r="F1926" i="6"/>
  <c r="H1926" i="6" s="1"/>
  <c r="F1927" i="6"/>
  <c r="H1927" i="6" s="1"/>
  <c r="F1928" i="6"/>
  <c r="H1928" i="6" s="1"/>
  <c r="F1929" i="6"/>
  <c r="H1929" i="6" s="1"/>
  <c r="F1930" i="6"/>
  <c r="H1930" i="6" s="1"/>
  <c r="F1931" i="6"/>
  <c r="H1931" i="6" s="1"/>
  <c r="F1932" i="6"/>
  <c r="H1932" i="6" s="1"/>
  <c r="F1933" i="6"/>
  <c r="H1933" i="6" s="1"/>
  <c r="F1934" i="6"/>
  <c r="H1934" i="6" s="1"/>
  <c r="F1935" i="6"/>
  <c r="H1935" i="6" s="1"/>
  <c r="F1936" i="6"/>
  <c r="H1936" i="6" s="1"/>
  <c r="F1937" i="6"/>
  <c r="H1937" i="6" s="1"/>
  <c r="F1938" i="6"/>
  <c r="H1938" i="6" s="1"/>
  <c r="F1939" i="6"/>
  <c r="H1939" i="6" s="1"/>
  <c r="F1940" i="6"/>
  <c r="H1940" i="6" s="1"/>
  <c r="F1941" i="6"/>
  <c r="H1941" i="6" s="1"/>
  <c r="F1942" i="6"/>
  <c r="H1942" i="6" s="1"/>
  <c r="F1943" i="6"/>
  <c r="H1943" i="6" s="1"/>
  <c r="F1944" i="6"/>
  <c r="H1944" i="6" s="1"/>
  <c r="F1945" i="6"/>
  <c r="H1945" i="6" s="1"/>
  <c r="F1946" i="6"/>
  <c r="H1946" i="6" s="1"/>
  <c r="F1947" i="6"/>
  <c r="H1947" i="6" s="1"/>
  <c r="F1948" i="6"/>
  <c r="H1948" i="6" s="1"/>
  <c r="F1949" i="6"/>
  <c r="H1949" i="6" s="1"/>
  <c r="F1950" i="6"/>
  <c r="H1950" i="6" s="1"/>
  <c r="F1951" i="6"/>
  <c r="H1951" i="6" s="1"/>
  <c r="F1952" i="6"/>
  <c r="H1952" i="6" s="1"/>
  <c r="F1953" i="6"/>
  <c r="H1953" i="6" s="1"/>
  <c r="F1954" i="6"/>
  <c r="H1954" i="6" s="1"/>
  <c r="F1955" i="6"/>
  <c r="H1955" i="6" s="1"/>
  <c r="F1956" i="6"/>
  <c r="H1956" i="6" s="1"/>
  <c r="F1957" i="6"/>
  <c r="H1957" i="6" s="1"/>
  <c r="F1958" i="6"/>
  <c r="H1958" i="6" s="1"/>
  <c r="F1959" i="6"/>
  <c r="H1959" i="6" s="1"/>
  <c r="F1960" i="6"/>
  <c r="H1960" i="6" s="1"/>
  <c r="F1961" i="6"/>
  <c r="H1961" i="6" s="1"/>
  <c r="F1962" i="6"/>
  <c r="H1962" i="6" s="1"/>
  <c r="F1963" i="6"/>
  <c r="H1963" i="6" s="1"/>
  <c r="F1964" i="6"/>
  <c r="H1964" i="6" s="1"/>
  <c r="F1965" i="6"/>
  <c r="H1965" i="6" s="1"/>
  <c r="F1966" i="6"/>
  <c r="H1966" i="6" s="1"/>
  <c r="F1967" i="6"/>
  <c r="H1967" i="6" s="1"/>
  <c r="F1968" i="6"/>
  <c r="H1968" i="6" s="1"/>
  <c r="F1969" i="6"/>
  <c r="H1969" i="6" s="1"/>
  <c r="F1970" i="6"/>
  <c r="H1970" i="6" s="1"/>
  <c r="F1971" i="6"/>
  <c r="H1971" i="6" s="1"/>
  <c r="F1972" i="6"/>
  <c r="H1972" i="6" s="1"/>
  <c r="F1973" i="6"/>
  <c r="H1973" i="6" s="1"/>
  <c r="F1974" i="6"/>
  <c r="H1974" i="6" s="1"/>
  <c r="F1975" i="6"/>
  <c r="H1975" i="6" s="1"/>
  <c r="F1976" i="6"/>
  <c r="H1976" i="6" s="1"/>
  <c r="F1977" i="6"/>
  <c r="H1977" i="6" s="1"/>
  <c r="F1978" i="6"/>
  <c r="H1978" i="6" s="1"/>
  <c r="F1979" i="6"/>
  <c r="H1979" i="6" s="1"/>
  <c r="F1980" i="6"/>
  <c r="H1980" i="6" s="1"/>
  <c r="F1981" i="6"/>
  <c r="H1981" i="6" s="1"/>
  <c r="F1982" i="6"/>
  <c r="H1982" i="6" s="1"/>
  <c r="F1983" i="6"/>
  <c r="H1983" i="6" s="1"/>
  <c r="F1984" i="6"/>
  <c r="H1984" i="6" s="1"/>
  <c r="F1985" i="6"/>
  <c r="H1985" i="6" s="1"/>
  <c r="F1986" i="6"/>
  <c r="H1986" i="6" s="1"/>
  <c r="F1987" i="6"/>
  <c r="H1987" i="6" s="1"/>
  <c r="F1988" i="6"/>
  <c r="H1988" i="6" s="1"/>
  <c r="F1989" i="6"/>
  <c r="H1989" i="6" s="1"/>
  <c r="F1990" i="6"/>
  <c r="H1990" i="6" s="1"/>
  <c r="F1991" i="6"/>
  <c r="H1991" i="6" s="1"/>
  <c r="F1992" i="6"/>
  <c r="H1992" i="6" s="1"/>
  <c r="F1993" i="6"/>
  <c r="H1993" i="6" s="1"/>
  <c r="F1994" i="6"/>
  <c r="H1994" i="6" s="1"/>
  <c r="F1995" i="6"/>
  <c r="H1995" i="6" s="1"/>
  <c r="F1996" i="6"/>
  <c r="H1996" i="6" s="1"/>
  <c r="F1997" i="6"/>
  <c r="H1997" i="6" s="1"/>
  <c r="F1998" i="6"/>
  <c r="H1998" i="6" s="1"/>
  <c r="F1999" i="6"/>
  <c r="H1999" i="6" s="1"/>
  <c r="F2000" i="6"/>
  <c r="H2000" i="6" s="1"/>
  <c r="F2001" i="6"/>
  <c r="H2001" i="6" s="1"/>
  <c r="F2002" i="6"/>
  <c r="H2002" i="6" s="1"/>
  <c r="F2003" i="6"/>
  <c r="H2003" i="6" s="1"/>
  <c r="F2004" i="6"/>
  <c r="H2004" i="6" s="1"/>
  <c r="F2005" i="6"/>
  <c r="H2005" i="6" s="1"/>
  <c r="F2006" i="6"/>
  <c r="H2006" i="6" s="1"/>
  <c r="F2007" i="6"/>
  <c r="H2007" i="6" s="1"/>
  <c r="F2008" i="6"/>
  <c r="H2008" i="6" s="1"/>
  <c r="F2009" i="6"/>
  <c r="H2009" i="6" s="1"/>
  <c r="F2010" i="6"/>
  <c r="H2010" i="6" s="1"/>
  <c r="F2011" i="6"/>
  <c r="H2011" i="6" s="1"/>
  <c r="F2012" i="6"/>
  <c r="H2012" i="6" s="1"/>
  <c r="F2013" i="6"/>
  <c r="H2013" i="6" s="1"/>
  <c r="F2014" i="6"/>
  <c r="H2014" i="6" s="1"/>
  <c r="F2015" i="6"/>
  <c r="H2015" i="6" s="1"/>
  <c r="F2016" i="6"/>
  <c r="H2016" i="6" s="1"/>
  <c r="F2017" i="6"/>
  <c r="H2017" i="6" s="1"/>
  <c r="F2018" i="6"/>
  <c r="H2018" i="6" s="1"/>
  <c r="F2019" i="6"/>
  <c r="H2019" i="6" s="1"/>
  <c r="F2020" i="6"/>
  <c r="H2020" i="6" s="1"/>
  <c r="F2021" i="6"/>
  <c r="H2021" i="6" s="1"/>
  <c r="F2022" i="6"/>
  <c r="H2022" i="6" s="1"/>
  <c r="F2023" i="6"/>
  <c r="H2023" i="6" s="1"/>
  <c r="F2024" i="6"/>
  <c r="H2024" i="6" s="1"/>
  <c r="F2025" i="6"/>
  <c r="H2025" i="6" s="1"/>
  <c r="F2026" i="6"/>
  <c r="H2026" i="6" s="1"/>
  <c r="F2027" i="6"/>
  <c r="H2027" i="6" s="1"/>
  <c r="F2028" i="6"/>
  <c r="H2028" i="6" s="1"/>
  <c r="F2029" i="6"/>
  <c r="H2029" i="6" s="1"/>
  <c r="F2030" i="6"/>
  <c r="H2030" i="6" s="1"/>
  <c r="F2031" i="6"/>
  <c r="H2031" i="6" s="1"/>
  <c r="F2032" i="6"/>
  <c r="H2032" i="6" s="1"/>
  <c r="F2033" i="6"/>
  <c r="H2033" i="6" s="1"/>
  <c r="F2034" i="6"/>
  <c r="H2034" i="6" s="1"/>
  <c r="F2035" i="6"/>
  <c r="H2035" i="6" s="1"/>
  <c r="F2036" i="6"/>
  <c r="H2036" i="6" s="1"/>
  <c r="F2037" i="6"/>
  <c r="H2037" i="6" s="1"/>
  <c r="F2038" i="6"/>
  <c r="H2038" i="6" s="1"/>
  <c r="F2039" i="6"/>
  <c r="H2039" i="6" s="1"/>
  <c r="F2040" i="6"/>
  <c r="H2040" i="6" s="1"/>
  <c r="F2041" i="6"/>
  <c r="H2041" i="6" s="1"/>
  <c r="F2042" i="6"/>
  <c r="H2042" i="6" s="1"/>
  <c r="F2043" i="6"/>
  <c r="H2043" i="6" s="1"/>
  <c r="F2044" i="6"/>
  <c r="H2044" i="6" s="1"/>
  <c r="F2045" i="6"/>
  <c r="H2045" i="6" s="1"/>
  <c r="F2046" i="6"/>
  <c r="H2046" i="6" s="1"/>
  <c r="F2047" i="6"/>
  <c r="H2047" i="6" s="1"/>
  <c r="F2048" i="6"/>
  <c r="H2048" i="6" s="1"/>
  <c r="F2049" i="6"/>
  <c r="H2049" i="6" s="1"/>
  <c r="F2050" i="6"/>
  <c r="H2050" i="6" s="1"/>
  <c r="F2051" i="6"/>
  <c r="H2051" i="6" s="1"/>
  <c r="F2052" i="6"/>
  <c r="H2052" i="6" s="1"/>
  <c r="F2053" i="6"/>
  <c r="H2053" i="6" s="1"/>
  <c r="F2054" i="6"/>
  <c r="H2054" i="6" s="1"/>
  <c r="F2055" i="6"/>
  <c r="H2055" i="6" s="1"/>
  <c r="F2056" i="6"/>
  <c r="H2056" i="6" s="1"/>
  <c r="F2057" i="6"/>
  <c r="H2057" i="6" s="1"/>
  <c r="F2058" i="6"/>
  <c r="H2058" i="6" s="1"/>
  <c r="F2059" i="6"/>
  <c r="H2059" i="6" s="1"/>
  <c r="F2060" i="6"/>
  <c r="H2060" i="6" s="1"/>
  <c r="F2061" i="6"/>
  <c r="H2061" i="6" s="1"/>
  <c r="F2062" i="6"/>
  <c r="H2062" i="6" s="1"/>
  <c r="F2063" i="6"/>
  <c r="H2063" i="6" s="1"/>
  <c r="F2064" i="6"/>
  <c r="H2064" i="6" s="1"/>
  <c r="F2065" i="6"/>
  <c r="H2065" i="6" s="1"/>
  <c r="F2066" i="6"/>
  <c r="H2066" i="6" s="1"/>
  <c r="F2067" i="6"/>
  <c r="H2067" i="6" s="1"/>
  <c r="F2068" i="6"/>
  <c r="H2068" i="6" s="1"/>
  <c r="F2069" i="6"/>
  <c r="H2069" i="6" s="1"/>
  <c r="F2070" i="6"/>
  <c r="H2070" i="6" s="1"/>
  <c r="F2072" i="6"/>
  <c r="H2072" i="6"/>
  <c r="F2073" i="6"/>
  <c r="H2073" i="6" s="1"/>
  <c r="F2074" i="6"/>
  <c r="H2074" i="6" s="1"/>
  <c r="F2075" i="6"/>
  <c r="H2075" i="6" s="1"/>
  <c r="F2076" i="6"/>
  <c r="H2076" i="6" s="1"/>
  <c r="F2077" i="6"/>
  <c r="H2077" i="6" s="1"/>
  <c r="F2078" i="6"/>
  <c r="H2078" i="6" s="1"/>
  <c r="F2079" i="6"/>
  <c r="H2079" i="6" s="1"/>
  <c r="F2080" i="6"/>
  <c r="H2080" i="6" s="1"/>
  <c r="F2081" i="6"/>
  <c r="H2081" i="6" s="1"/>
  <c r="F2082" i="6"/>
  <c r="H2082" i="6" s="1"/>
  <c r="F2083" i="6"/>
  <c r="H2083" i="6" s="1"/>
  <c r="F2084" i="6"/>
  <c r="H2084" i="6" s="1"/>
  <c r="F2085" i="6"/>
  <c r="H2085" i="6" s="1"/>
  <c r="F2086" i="6"/>
  <c r="H2086" i="6" s="1"/>
  <c r="F2087" i="6"/>
  <c r="H2087" i="6" s="1"/>
  <c r="F2088" i="6"/>
  <c r="H2088" i="6" s="1"/>
  <c r="F2089" i="6"/>
  <c r="H2089" i="6" s="1"/>
  <c r="F2090" i="6"/>
  <c r="H2090" i="6" s="1"/>
  <c r="F2091" i="6"/>
  <c r="H2091" i="6" s="1"/>
  <c r="F2092" i="6"/>
  <c r="H2092" i="6" s="1"/>
  <c r="F2093" i="6"/>
  <c r="H2093" i="6" s="1"/>
  <c r="F2094" i="6"/>
  <c r="H2094" i="6" s="1"/>
  <c r="F2095" i="6"/>
  <c r="H2095" i="6" s="1"/>
  <c r="F2096" i="6"/>
  <c r="H2096" i="6" s="1"/>
  <c r="F2097" i="6"/>
  <c r="H2097" i="6" s="1"/>
  <c r="F2098" i="6"/>
  <c r="H2098" i="6" s="1"/>
  <c r="F2099" i="6"/>
  <c r="H2099" i="6" s="1"/>
  <c r="F2100" i="6"/>
  <c r="H2100" i="6" s="1"/>
  <c r="F2101" i="6"/>
  <c r="H2101" i="6" s="1"/>
  <c r="F2102" i="6"/>
  <c r="H2102" i="6" s="1"/>
  <c r="F2103" i="6"/>
  <c r="H2103" i="6" s="1"/>
  <c r="F2104" i="6"/>
  <c r="H2104" i="6" s="1"/>
  <c r="F2105" i="6"/>
  <c r="H2105" i="6" s="1"/>
  <c r="F2106" i="6"/>
  <c r="H2106" i="6" s="1"/>
  <c r="F2107" i="6"/>
  <c r="H2107" i="6" s="1"/>
  <c r="F2108" i="6"/>
  <c r="H2108" i="6" s="1"/>
  <c r="F2109" i="6"/>
  <c r="H2109" i="6" s="1"/>
  <c r="F2110" i="6"/>
  <c r="H2110" i="6" s="1"/>
  <c r="F2111" i="6"/>
  <c r="H2111" i="6" s="1"/>
  <c r="F2112" i="6"/>
  <c r="H2112" i="6" s="1"/>
  <c r="F2113" i="6"/>
  <c r="H2113" i="6" s="1"/>
  <c r="F2114" i="6"/>
  <c r="H2114" i="6" s="1"/>
  <c r="F2115" i="6"/>
  <c r="H2115" i="6" s="1"/>
  <c r="F2116" i="6"/>
  <c r="H2116" i="6" s="1"/>
  <c r="F2117" i="6"/>
  <c r="H2117" i="6" s="1"/>
  <c r="F2118" i="6"/>
  <c r="H2118" i="6" s="1"/>
  <c r="F2119" i="6"/>
  <c r="H2119" i="6" s="1"/>
  <c r="F2120" i="6"/>
  <c r="H2120" i="6" s="1"/>
  <c r="F2121" i="6"/>
  <c r="H2121" i="6" s="1"/>
  <c r="F2122" i="6"/>
  <c r="H2122" i="6" s="1"/>
  <c r="F2123" i="6"/>
  <c r="H2123" i="6" s="1"/>
  <c r="F2124" i="6"/>
  <c r="H2124" i="6" s="1"/>
  <c r="F2125" i="6"/>
  <c r="H2125" i="6" s="1"/>
  <c r="F2126" i="6"/>
  <c r="H2126" i="6" s="1"/>
  <c r="F2127" i="6"/>
  <c r="H2127" i="6" s="1"/>
  <c r="F2128" i="6"/>
  <c r="H2128" i="6" s="1"/>
  <c r="F2129" i="6"/>
  <c r="H2129" i="6" s="1"/>
  <c r="F2130" i="6"/>
  <c r="H2130" i="6" s="1"/>
  <c r="F2131" i="6"/>
  <c r="H2131" i="6" s="1"/>
  <c r="F2132" i="6"/>
  <c r="H2132" i="6" s="1"/>
  <c r="F2133" i="6"/>
  <c r="H2133" i="6" s="1"/>
  <c r="F2134" i="6"/>
  <c r="H2134" i="6" s="1"/>
  <c r="F2135" i="6"/>
  <c r="H2135" i="6" s="1"/>
  <c r="F2136" i="6"/>
  <c r="H2136" i="6" s="1"/>
  <c r="F2137" i="6"/>
  <c r="H2137" i="6" s="1"/>
  <c r="F2138" i="6"/>
  <c r="H2138" i="6" s="1"/>
  <c r="F2139" i="6"/>
  <c r="H2139" i="6" s="1"/>
  <c r="F2140" i="6"/>
  <c r="H2140" i="6" s="1"/>
  <c r="F2141" i="6"/>
  <c r="H2141" i="6" s="1"/>
  <c r="F2142" i="6"/>
  <c r="H2142" i="6" s="1"/>
  <c r="F2143" i="6"/>
  <c r="H2143" i="6" s="1"/>
  <c r="F2144" i="6"/>
  <c r="H2144" i="6" s="1"/>
  <c r="F2145" i="6"/>
  <c r="H2145" i="6" s="1"/>
  <c r="F2146" i="6"/>
  <c r="H2146" i="6" s="1"/>
  <c r="F2147" i="6"/>
  <c r="H2147" i="6" s="1"/>
  <c r="F2148" i="6"/>
  <c r="H2148" i="6" s="1"/>
  <c r="F2149" i="6"/>
  <c r="H2149" i="6" s="1"/>
  <c r="F2150" i="6"/>
  <c r="H2150" i="6" s="1"/>
  <c r="F2151" i="6"/>
  <c r="H2151" i="6" s="1"/>
  <c r="F2152" i="6"/>
  <c r="H2152" i="6" s="1"/>
  <c r="F2153" i="6"/>
  <c r="H2153" i="6" s="1"/>
  <c r="F2154" i="6"/>
  <c r="H2154" i="6" s="1"/>
  <c r="F2155" i="6"/>
  <c r="H2155" i="6" s="1"/>
  <c r="F2156" i="6"/>
  <c r="H2156" i="6" s="1"/>
  <c r="F2157" i="6"/>
  <c r="H2157" i="6" s="1"/>
  <c r="F2158" i="6"/>
  <c r="H2158" i="6" s="1"/>
  <c r="F2159" i="6"/>
  <c r="H2159" i="6" s="1"/>
  <c r="F2160" i="6"/>
  <c r="H2160" i="6" s="1"/>
  <c r="F2161" i="6"/>
  <c r="H2161" i="6" s="1"/>
  <c r="F2162" i="6"/>
  <c r="H2162" i="6" s="1"/>
  <c r="F2163" i="6"/>
  <c r="H2163" i="6" s="1"/>
  <c r="F2164" i="6"/>
  <c r="H2164" i="6" s="1"/>
  <c r="F2165" i="6"/>
  <c r="H2165" i="6" s="1"/>
  <c r="F2166" i="6"/>
  <c r="H2166" i="6" s="1"/>
  <c r="F2167" i="6"/>
  <c r="H2167" i="6" s="1"/>
  <c r="F2168" i="6"/>
  <c r="H2168" i="6" s="1"/>
  <c r="F2169" i="6"/>
  <c r="H2169" i="6" s="1"/>
  <c r="F2170" i="6"/>
  <c r="H2170" i="6" s="1"/>
  <c r="F2171" i="6"/>
  <c r="H2171" i="6" s="1"/>
  <c r="F2172" i="6"/>
  <c r="H2172" i="6" s="1"/>
  <c r="F2173" i="6"/>
  <c r="H2173" i="6" s="1"/>
  <c r="F2174" i="6"/>
  <c r="H2174" i="6" s="1"/>
  <c r="F2175" i="6"/>
  <c r="H2175" i="6" s="1"/>
  <c r="F2176" i="6"/>
  <c r="H2176" i="6" s="1"/>
  <c r="F2177" i="6"/>
  <c r="H2177" i="6" s="1"/>
  <c r="F2178" i="6"/>
  <c r="H2178" i="6" s="1"/>
  <c r="F2179" i="6"/>
  <c r="H2179" i="6" s="1"/>
  <c r="F2180" i="6"/>
  <c r="H2180" i="6" s="1"/>
  <c r="F2181" i="6"/>
  <c r="H2181" i="6" s="1"/>
  <c r="F2182" i="6"/>
  <c r="H2182" i="6" s="1"/>
  <c r="F2183" i="6"/>
  <c r="H2183" i="6" s="1"/>
  <c r="F2184" i="6"/>
  <c r="H2184" i="6" s="1"/>
  <c r="F2185" i="6"/>
  <c r="H2185" i="6" s="1"/>
  <c r="F2186" i="6"/>
  <c r="H2186" i="6" s="1"/>
  <c r="F2187" i="6"/>
  <c r="H2187" i="6" s="1"/>
  <c r="F2188" i="6"/>
  <c r="H2188" i="6" s="1"/>
  <c r="F2189" i="6"/>
  <c r="H2189" i="6" s="1"/>
  <c r="F2190" i="6"/>
  <c r="H2190" i="6" s="1"/>
  <c r="F2191" i="6"/>
  <c r="H2191" i="6" s="1"/>
  <c r="F2192" i="6"/>
  <c r="H2192" i="6" s="1"/>
  <c r="F2193" i="6"/>
  <c r="H2193" i="6" s="1"/>
  <c r="F2194" i="6"/>
  <c r="H2194" i="6" s="1"/>
  <c r="F2195" i="6"/>
  <c r="H2195" i="6" s="1"/>
  <c r="F2196" i="6"/>
  <c r="H2196" i="6" s="1"/>
  <c r="F2197" i="6"/>
  <c r="H2197" i="6" s="1"/>
  <c r="F2198" i="6"/>
  <c r="H2198" i="6" s="1"/>
  <c r="F2199" i="6"/>
  <c r="H2199" i="6" s="1"/>
  <c r="F2200" i="6"/>
  <c r="H2200" i="6" s="1"/>
  <c r="F2201" i="6"/>
  <c r="H2201" i="6" s="1"/>
  <c r="F2202" i="6"/>
  <c r="H2202" i="6" s="1"/>
  <c r="F2203" i="6"/>
  <c r="H2203" i="6" s="1"/>
  <c r="F2204" i="6"/>
  <c r="H2204" i="6" s="1"/>
  <c r="F2205" i="6"/>
  <c r="H2205" i="6" s="1"/>
  <c r="F2206" i="6"/>
  <c r="H2206" i="6" s="1"/>
  <c r="F2207" i="6"/>
  <c r="H2207" i="6" s="1"/>
  <c r="F2208" i="6"/>
  <c r="H2208" i="6" s="1"/>
  <c r="F2209" i="6"/>
  <c r="H2209" i="6" s="1"/>
  <c r="F2210" i="6"/>
  <c r="H2210" i="6" s="1"/>
  <c r="F2211" i="6"/>
  <c r="H2211" i="6" s="1"/>
  <c r="F2212" i="6"/>
  <c r="H2212" i="6" s="1"/>
  <c r="F2213" i="6"/>
  <c r="H2213" i="6" s="1"/>
  <c r="F2214" i="6"/>
  <c r="H2214" i="6" s="1"/>
  <c r="F2215" i="6"/>
  <c r="H2215" i="6" s="1"/>
  <c r="F2216" i="6"/>
  <c r="H2216" i="6" s="1"/>
  <c r="F2217" i="6"/>
  <c r="H2217" i="6" s="1"/>
  <c r="F2218" i="6"/>
  <c r="H2218" i="6" s="1"/>
  <c r="F2219" i="6"/>
  <c r="H2219" i="6" s="1"/>
  <c r="F2220" i="6"/>
  <c r="H2220" i="6" s="1"/>
  <c r="F2221" i="6"/>
  <c r="H2221" i="6" s="1"/>
  <c r="F2222" i="6"/>
  <c r="H2222" i="6" s="1"/>
  <c r="F2223" i="6"/>
  <c r="H2223" i="6" s="1"/>
  <c r="F2224" i="6"/>
  <c r="H2224" i="6" s="1"/>
  <c r="F2225" i="6"/>
  <c r="H2225" i="6" s="1"/>
  <c r="F2226" i="6"/>
  <c r="H2226" i="6" s="1"/>
  <c r="F2227" i="6"/>
  <c r="H2227" i="6" s="1"/>
  <c r="F2228" i="6"/>
  <c r="H2228" i="6" s="1"/>
  <c r="F2229" i="6"/>
  <c r="H2229" i="6" s="1"/>
  <c r="F2230" i="6"/>
  <c r="H2230" i="6" s="1"/>
  <c r="F2231" i="6"/>
  <c r="H2231" i="6" s="1"/>
  <c r="F2232" i="6"/>
  <c r="H2232" i="6" s="1"/>
  <c r="F2233" i="6"/>
  <c r="H2233" i="6" s="1"/>
  <c r="F2234" i="6"/>
  <c r="H2234" i="6" s="1"/>
  <c r="F2235" i="6"/>
  <c r="H2235" i="6" s="1"/>
  <c r="F2236" i="6"/>
  <c r="H2236" i="6" s="1"/>
  <c r="F2237" i="6"/>
  <c r="H2237" i="6" s="1"/>
  <c r="F2238" i="6"/>
  <c r="H2238" i="6" s="1"/>
  <c r="F2239" i="6"/>
  <c r="H2239" i="6" s="1"/>
  <c r="F2240" i="6"/>
  <c r="H2240" i="6" s="1"/>
  <c r="F2241" i="6"/>
  <c r="H2241" i="6" s="1"/>
  <c r="F2242" i="6"/>
  <c r="H2242" i="6" s="1"/>
  <c r="F2243" i="6"/>
  <c r="H2243" i="6" s="1"/>
  <c r="F2244" i="6"/>
  <c r="H2244" i="6" s="1"/>
  <c r="F2245" i="6"/>
  <c r="H2245" i="6" s="1"/>
  <c r="F2246" i="6"/>
  <c r="H2246" i="6" s="1"/>
  <c r="F2247" i="6"/>
  <c r="H2247" i="6" s="1"/>
  <c r="F2248" i="6"/>
  <c r="H2248" i="6" s="1"/>
  <c r="F2249" i="6"/>
  <c r="H2249" i="6" s="1"/>
  <c r="F2250" i="6"/>
  <c r="H2250" i="6" s="1"/>
  <c r="F2251" i="6"/>
  <c r="H2251" i="6" s="1"/>
  <c r="F2252" i="6"/>
  <c r="H2252" i="6" s="1"/>
  <c r="F2253" i="6"/>
  <c r="H2253" i="6" s="1"/>
  <c r="F2254" i="6"/>
  <c r="H2254" i="6" s="1"/>
  <c r="F2255" i="6"/>
  <c r="H2255" i="6" s="1"/>
  <c r="F2256" i="6"/>
  <c r="H2256" i="6" s="1"/>
  <c r="F2257" i="6"/>
  <c r="H2257" i="6" s="1"/>
  <c r="F2258" i="6"/>
  <c r="H2258" i="6" s="1"/>
  <c r="F2259" i="6"/>
  <c r="H2259" i="6" s="1"/>
  <c r="F2260" i="6"/>
  <c r="H2260" i="6" s="1"/>
  <c r="F2261" i="6"/>
  <c r="H2261" i="6" s="1"/>
  <c r="F2262" i="6"/>
  <c r="H2262" i="6" s="1"/>
  <c r="F2263" i="6"/>
  <c r="H2263" i="6" s="1"/>
  <c r="F2264" i="6"/>
  <c r="H2264" i="6" s="1"/>
  <c r="F2265" i="6"/>
  <c r="H2265" i="6" s="1"/>
  <c r="F2266" i="6"/>
  <c r="H2266" i="6" s="1"/>
  <c r="F2267" i="6"/>
  <c r="H2267" i="6" s="1"/>
  <c r="F2268" i="6"/>
  <c r="H2268" i="6" s="1"/>
  <c r="F2269" i="6"/>
  <c r="H2269" i="6" s="1"/>
  <c r="F2270" i="6"/>
  <c r="H2270" i="6" s="1"/>
  <c r="F2271" i="6"/>
  <c r="H2271" i="6" s="1"/>
  <c r="F2272" i="6"/>
  <c r="H2272" i="6" s="1"/>
  <c r="F2273" i="6"/>
  <c r="H2273" i="6" s="1"/>
  <c r="F2274" i="6"/>
  <c r="H2274" i="6" s="1"/>
  <c r="F2275" i="6"/>
  <c r="H2275" i="6" s="1"/>
  <c r="F2276" i="6"/>
  <c r="H2276" i="6" s="1"/>
  <c r="F2277" i="6"/>
  <c r="H2277" i="6" s="1"/>
  <c r="F2278" i="6"/>
  <c r="H2278" i="6" s="1"/>
  <c r="F2279" i="6"/>
  <c r="H2279" i="6" s="1"/>
  <c r="F2280" i="6"/>
  <c r="H2280" i="6" s="1"/>
  <c r="F2281" i="6"/>
  <c r="H2281" i="6" s="1"/>
  <c r="F2282" i="6"/>
  <c r="H2282" i="6" s="1"/>
  <c r="F2283" i="6"/>
  <c r="H2283" i="6" s="1"/>
  <c r="F2284" i="6"/>
  <c r="H2284" i="6" s="1"/>
  <c r="F2285" i="6"/>
  <c r="H2285" i="6" s="1"/>
  <c r="F2286" i="6"/>
  <c r="H2286" i="6" s="1"/>
  <c r="F2287" i="6"/>
  <c r="H2287" i="6" s="1"/>
  <c r="F2288" i="6"/>
  <c r="H2288" i="6" s="1"/>
  <c r="F2289" i="6"/>
  <c r="H2289" i="6" s="1"/>
  <c r="F2290" i="6"/>
  <c r="H2290" i="6" s="1"/>
  <c r="F2291" i="6"/>
  <c r="H2291" i="6" s="1"/>
  <c r="F2292" i="6"/>
  <c r="H2292" i="6" s="1"/>
  <c r="F2293" i="6"/>
  <c r="H2293" i="6" s="1"/>
  <c r="F2294" i="6"/>
  <c r="H2294" i="6" s="1"/>
  <c r="F2295" i="6"/>
  <c r="H2295" i="6" s="1"/>
  <c r="F2296" i="6"/>
  <c r="H2296" i="6" s="1"/>
  <c r="F2297" i="6"/>
  <c r="H2297" i="6" s="1"/>
  <c r="F2298" i="6"/>
  <c r="H2298" i="6" s="1"/>
  <c r="F2299" i="6"/>
  <c r="H2299" i="6" s="1"/>
  <c r="F2300" i="6"/>
  <c r="H2300" i="6" s="1"/>
  <c r="F2301" i="6"/>
  <c r="H2301" i="6" s="1"/>
  <c r="F2302" i="6"/>
  <c r="H2302" i="6" s="1"/>
  <c r="F2303" i="6"/>
  <c r="H2303" i="6" s="1"/>
  <c r="F2304" i="6"/>
  <c r="H2304" i="6" s="1"/>
  <c r="F2305" i="6"/>
  <c r="H2305" i="6" s="1"/>
  <c r="F2306" i="6"/>
  <c r="H2306" i="6" s="1"/>
  <c r="F2307" i="6"/>
  <c r="H2307" i="6" s="1"/>
  <c r="F2308" i="6"/>
  <c r="H2308" i="6" s="1"/>
  <c r="F2309" i="6"/>
  <c r="H2309" i="6" s="1"/>
  <c r="F2310" i="6"/>
  <c r="H2310" i="6" s="1"/>
  <c r="F2311" i="6"/>
  <c r="H2311" i="6" s="1"/>
  <c r="F2312" i="6"/>
  <c r="H2312" i="6" s="1"/>
  <c r="F2313" i="6"/>
  <c r="H2313" i="6" s="1"/>
  <c r="F2314" i="6"/>
  <c r="H2314" i="6" s="1"/>
  <c r="F2315" i="6"/>
  <c r="H2315" i="6" s="1"/>
  <c r="F2316" i="6"/>
  <c r="H2316" i="6" s="1"/>
  <c r="F2317" i="6"/>
  <c r="H2317" i="6" s="1"/>
  <c r="F2318" i="6"/>
  <c r="H2318" i="6" s="1"/>
  <c r="F2319" i="6"/>
  <c r="H2319" i="6" s="1"/>
  <c r="F2320" i="6"/>
  <c r="H2320" i="6" s="1"/>
  <c r="F2321" i="6"/>
  <c r="H2321" i="6" s="1"/>
  <c r="F2322" i="6"/>
  <c r="H2322" i="6" s="1"/>
  <c r="F2323" i="6"/>
  <c r="H2323" i="6" s="1"/>
  <c r="F2324" i="6"/>
  <c r="H2324" i="6" s="1"/>
  <c r="F2325" i="6"/>
  <c r="H2325" i="6" s="1"/>
  <c r="F2326" i="6"/>
  <c r="H2326" i="6" s="1"/>
  <c r="F2327" i="6"/>
  <c r="H2327" i="6" s="1"/>
  <c r="F2328" i="6"/>
  <c r="H2328" i="6" s="1"/>
  <c r="F2329" i="6"/>
  <c r="H2329" i="6" s="1"/>
  <c r="F2330" i="6"/>
  <c r="H2330" i="6" s="1"/>
  <c r="F2331" i="6"/>
  <c r="H2331" i="6" s="1"/>
  <c r="F2332" i="6"/>
  <c r="H2332" i="6" s="1"/>
  <c r="F2333" i="6"/>
  <c r="H2333" i="6" s="1"/>
  <c r="F2334" i="6"/>
  <c r="H2334" i="6" s="1"/>
  <c r="F2335" i="6"/>
  <c r="H2335" i="6" s="1"/>
  <c r="F2336" i="6"/>
  <c r="H2336" i="6" s="1"/>
  <c r="F2337" i="6"/>
  <c r="H2337" i="6" s="1"/>
  <c r="F2338" i="6"/>
  <c r="H2338" i="6" s="1"/>
  <c r="F2339" i="6"/>
  <c r="H2339" i="6" s="1"/>
  <c r="F2340" i="6"/>
  <c r="H2340" i="6" s="1"/>
  <c r="F2341" i="6"/>
  <c r="H2341" i="6" s="1"/>
  <c r="F2342" i="6"/>
  <c r="H2342" i="6" s="1"/>
  <c r="F2343" i="6"/>
  <c r="H2343" i="6" s="1"/>
  <c r="F2344" i="6"/>
  <c r="H2344" i="6" s="1"/>
  <c r="F2345" i="6"/>
  <c r="H2345" i="6" s="1"/>
  <c r="F2346" i="6"/>
  <c r="H2346" i="6" s="1"/>
  <c r="F2347" i="6"/>
  <c r="H2347" i="6" s="1"/>
  <c r="F2348" i="6"/>
  <c r="H2348" i="6" s="1"/>
  <c r="F2349" i="6"/>
  <c r="H2349" i="6" s="1"/>
  <c r="F2350" i="6"/>
  <c r="H2350" i="6" s="1"/>
  <c r="F2351" i="6"/>
  <c r="H2351" i="6" s="1"/>
  <c r="F2352" i="6"/>
  <c r="H2352" i="6" s="1"/>
  <c r="F2353" i="6"/>
  <c r="H2353" i="6" s="1"/>
  <c r="F2354" i="6"/>
  <c r="H2354" i="6" s="1"/>
  <c r="F2355" i="6"/>
  <c r="H2355" i="6" s="1"/>
  <c r="F2356" i="6"/>
  <c r="H2356" i="6" s="1"/>
  <c r="F2357" i="6"/>
  <c r="H2357" i="6" s="1"/>
  <c r="F2358" i="6"/>
  <c r="H2358" i="6" s="1"/>
  <c r="F2359" i="6"/>
  <c r="H2359" i="6" s="1"/>
  <c r="F2360" i="6"/>
  <c r="H2360" i="6" s="1"/>
  <c r="F2361" i="6"/>
  <c r="H2361" i="6" s="1"/>
  <c r="F2362" i="6"/>
  <c r="H2362" i="6" s="1"/>
  <c r="F2363" i="6"/>
  <c r="H2363" i="6" s="1"/>
  <c r="F2364" i="6"/>
  <c r="H2364" i="6" s="1"/>
  <c r="F2365" i="6"/>
  <c r="H2365" i="6" s="1"/>
  <c r="F2366" i="6"/>
  <c r="H2366" i="6" s="1"/>
  <c r="F2367" i="6"/>
  <c r="H2367" i="6" s="1"/>
  <c r="F2368" i="6"/>
  <c r="H2368" i="6" s="1"/>
  <c r="F2369" i="6"/>
  <c r="H2369" i="6" s="1"/>
  <c r="F2370" i="6"/>
  <c r="H2370" i="6" s="1"/>
  <c r="F2371" i="6"/>
  <c r="H2371" i="6" s="1"/>
  <c r="F2372" i="6"/>
  <c r="H2372" i="6" s="1"/>
  <c r="F2373" i="6"/>
  <c r="H2373" i="6" s="1"/>
  <c r="F2374" i="6"/>
  <c r="H2374" i="6" s="1"/>
  <c r="F2375" i="6"/>
  <c r="H2375" i="6" s="1"/>
  <c r="F2376" i="6"/>
  <c r="H2376" i="6" s="1"/>
  <c r="F2377" i="6"/>
  <c r="H2377" i="6" s="1"/>
  <c r="F2378" i="6"/>
  <c r="H2378" i="6" s="1"/>
  <c r="F2379" i="6"/>
  <c r="H2379" i="6" s="1"/>
  <c r="F2380" i="6"/>
  <c r="H2380" i="6" s="1"/>
  <c r="F2381" i="6"/>
  <c r="H2381" i="6" s="1"/>
  <c r="F2382" i="6"/>
  <c r="H2382" i="6" s="1"/>
  <c r="F2383" i="6"/>
  <c r="H2383" i="6" s="1"/>
  <c r="F2384" i="6"/>
  <c r="H2384" i="6" s="1"/>
  <c r="F2385" i="6"/>
  <c r="H2385" i="6" s="1"/>
  <c r="F2386" i="6"/>
  <c r="H2386" i="6" s="1"/>
  <c r="F2387" i="6"/>
  <c r="H2387" i="6" s="1"/>
  <c r="F2388" i="6"/>
  <c r="H2388" i="6" s="1"/>
  <c r="F2389" i="6"/>
  <c r="H2389" i="6" s="1"/>
  <c r="F2390" i="6"/>
  <c r="H2390" i="6" s="1"/>
  <c r="F2391" i="6"/>
  <c r="H2391" i="6" s="1"/>
  <c r="F2392" i="6"/>
  <c r="H2392" i="6" s="1"/>
  <c r="F2393" i="6"/>
  <c r="H2393" i="6" s="1"/>
  <c r="F2394" i="6"/>
  <c r="H2394" i="6" s="1"/>
  <c r="F2395" i="6"/>
  <c r="H2395" i="6" s="1"/>
  <c r="F2396" i="6"/>
  <c r="H2396" i="6" s="1"/>
  <c r="F2397" i="6"/>
  <c r="H2397" i="6" s="1"/>
  <c r="F2398" i="6"/>
  <c r="H2398" i="6" s="1"/>
  <c r="F2399" i="6"/>
  <c r="H2399" i="6" s="1"/>
  <c r="F2400" i="6"/>
  <c r="H2400" i="6" s="1"/>
  <c r="F2401" i="6"/>
  <c r="H2401" i="6" s="1"/>
  <c r="F2402" i="6"/>
  <c r="H2402" i="6" s="1"/>
  <c r="F2403" i="6"/>
  <c r="H2403" i="6" s="1"/>
  <c r="F2404" i="6"/>
  <c r="H2404" i="6" s="1"/>
  <c r="F2405" i="6"/>
  <c r="H2405" i="6" s="1"/>
  <c r="F2406" i="6"/>
  <c r="H2406" i="6" s="1"/>
  <c r="F2407" i="6"/>
  <c r="H2407" i="6" s="1"/>
  <c r="F2408" i="6"/>
  <c r="H2408" i="6" s="1"/>
  <c r="F2409" i="6"/>
  <c r="H2409" i="6" s="1"/>
  <c r="F2410" i="6"/>
  <c r="H2410" i="6" s="1"/>
  <c r="F2411" i="6"/>
  <c r="H2411" i="6" s="1"/>
  <c r="F2412" i="6"/>
  <c r="H2412" i="6" s="1"/>
  <c r="F2413" i="6"/>
  <c r="H2413" i="6" s="1"/>
  <c r="F2414" i="6"/>
  <c r="H2414" i="6" s="1"/>
  <c r="F2415" i="6"/>
  <c r="H2415" i="6" s="1"/>
  <c r="F2416" i="6"/>
  <c r="H2416" i="6" s="1"/>
  <c r="F2417" i="6"/>
  <c r="H2417" i="6" s="1"/>
  <c r="F2418" i="6"/>
  <c r="H2418" i="6" s="1"/>
  <c r="F2419" i="6"/>
  <c r="H2419" i="6" s="1"/>
  <c r="F2420" i="6"/>
  <c r="H2420" i="6" s="1"/>
  <c r="F2421" i="6"/>
  <c r="H2421" i="6" s="1"/>
  <c r="F2422" i="6"/>
  <c r="H2422" i="6" s="1"/>
  <c r="F2423" i="6"/>
  <c r="H2423" i="6" s="1"/>
  <c r="F2424" i="6"/>
  <c r="H2424" i="6" s="1"/>
  <c r="F2425" i="6"/>
  <c r="H2425" i="6" s="1"/>
  <c r="F2426" i="6"/>
  <c r="H2426" i="6" s="1"/>
  <c r="F2427" i="6"/>
  <c r="H2427" i="6" s="1"/>
  <c r="F2428" i="6"/>
  <c r="H2428" i="6" s="1"/>
  <c r="F2429" i="6"/>
  <c r="H2429" i="6" s="1"/>
  <c r="F2430" i="6"/>
  <c r="H2430" i="6" s="1"/>
  <c r="F2431" i="6"/>
  <c r="H2431" i="6" s="1"/>
  <c r="F2432" i="6"/>
  <c r="H2432" i="6" s="1"/>
  <c r="F2433" i="6"/>
  <c r="H2433" i="6" s="1"/>
  <c r="F2434" i="6"/>
  <c r="H2434" i="6" s="1"/>
  <c r="F2435" i="6"/>
  <c r="H2435" i="6" s="1"/>
  <c r="F2436" i="6"/>
  <c r="H2436" i="6" s="1"/>
  <c r="F2437" i="6"/>
  <c r="H2437" i="6" s="1"/>
  <c r="F2438" i="6"/>
  <c r="H2438" i="6" s="1"/>
  <c r="F2439" i="6"/>
  <c r="H2439" i="6" s="1"/>
  <c r="F2440" i="6"/>
  <c r="H2440" i="6" s="1"/>
  <c r="F2441" i="6"/>
  <c r="H2441" i="6" s="1"/>
  <c r="F2442" i="6"/>
  <c r="H2442" i="6" s="1"/>
  <c r="F2443" i="6"/>
  <c r="H2443" i="6" s="1"/>
  <c r="F2444" i="6"/>
  <c r="H2444" i="6" s="1"/>
  <c r="F2445" i="6"/>
  <c r="H2445" i="6" s="1"/>
  <c r="F2446" i="6"/>
  <c r="H2446" i="6" s="1"/>
  <c r="F2447" i="6"/>
  <c r="H2447" i="6" s="1"/>
  <c r="F2448" i="6"/>
  <c r="H2448" i="6" s="1"/>
  <c r="F2449" i="6"/>
  <c r="H2449" i="6" s="1"/>
  <c r="F2450" i="6"/>
  <c r="H2450" i="6" s="1"/>
  <c r="F2451" i="6"/>
  <c r="H2451" i="6" s="1"/>
  <c r="F2452" i="6"/>
  <c r="H2452" i="6" s="1"/>
  <c r="F2453" i="6"/>
  <c r="H2453" i="6" s="1"/>
  <c r="F2454" i="6"/>
  <c r="H2454" i="6" s="1"/>
  <c r="F2455" i="6"/>
  <c r="H2455" i="6" s="1"/>
  <c r="F2456" i="6"/>
  <c r="H2456" i="6" s="1"/>
  <c r="F2457" i="6"/>
  <c r="H2457" i="6" s="1"/>
  <c r="F2458" i="6"/>
  <c r="H2458" i="6" s="1"/>
  <c r="F2459" i="6"/>
  <c r="H2459" i="6" s="1"/>
  <c r="F2460" i="6"/>
  <c r="H2460" i="6" s="1"/>
  <c r="F2461" i="6"/>
  <c r="H2461" i="6" s="1"/>
  <c r="F2462" i="6"/>
  <c r="H2462" i="6" s="1"/>
  <c r="F2463" i="6"/>
  <c r="H2463" i="6" s="1"/>
  <c r="F2464" i="6"/>
  <c r="H2464" i="6" s="1"/>
  <c r="F2465" i="6"/>
  <c r="H2465" i="6" s="1"/>
  <c r="F2466" i="6"/>
  <c r="H2466" i="6" s="1"/>
  <c r="F2467" i="6"/>
  <c r="H2467" i="6" s="1"/>
  <c r="F2468" i="6"/>
  <c r="H2468" i="6" s="1"/>
  <c r="F2469" i="6"/>
  <c r="H2469" i="6" s="1"/>
  <c r="F2470" i="6"/>
  <c r="H2470" i="6" s="1"/>
  <c r="F2471" i="6"/>
  <c r="H2471" i="6" s="1"/>
  <c r="F2472" i="6"/>
  <c r="H2472" i="6" s="1"/>
  <c r="F2473" i="6"/>
  <c r="H2473" i="6" s="1"/>
  <c r="F2474" i="6"/>
  <c r="H2474" i="6" s="1"/>
  <c r="F2475" i="6"/>
  <c r="H2475" i="6" s="1"/>
  <c r="F2476" i="6"/>
  <c r="H2476" i="6" s="1"/>
  <c r="F2477" i="6"/>
  <c r="H2477" i="6" s="1"/>
  <c r="F2478" i="6"/>
  <c r="H2478" i="6" s="1"/>
  <c r="F2479" i="6"/>
  <c r="H2479" i="6" s="1"/>
  <c r="F2480" i="6"/>
  <c r="H2480" i="6" s="1"/>
  <c r="F2481" i="6"/>
  <c r="H2481" i="6" s="1"/>
  <c r="F2482" i="6"/>
  <c r="H2482" i="6" s="1"/>
  <c r="F2483" i="6"/>
  <c r="H2483" i="6" s="1"/>
  <c r="F2484" i="6"/>
  <c r="H2484" i="6" s="1"/>
  <c r="F2485" i="6"/>
  <c r="H2485" i="6" s="1"/>
  <c r="F2486" i="6"/>
  <c r="H2486" i="6" s="1"/>
  <c r="F2487" i="6"/>
  <c r="H2487" i="6" s="1"/>
  <c r="F2488" i="6"/>
  <c r="H2488" i="6" s="1"/>
  <c r="F2489" i="6"/>
  <c r="H2489" i="6" s="1"/>
  <c r="F2490" i="6"/>
  <c r="H2490" i="6" s="1"/>
  <c r="F2491" i="6"/>
  <c r="H2491" i="6" s="1"/>
  <c r="F2492" i="6"/>
  <c r="H2492" i="6" s="1"/>
  <c r="F2493" i="6"/>
  <c r="H2493" i="6" s="1"/>
  <c r="F2494" i="6"/>
  <c r="H2494" i="6" s="1"/>
  <c r="F2495" i="6"/>
  <c r="H2495" i="6" s="1"/>
  <c r="F2496" i="6"/>
  <c r="H2496" i="6" s="1"/>
  <c r="F2497" i="6"/>
  <c r="H2497" i="6" s="1"/>
  <c r="F2498" i="6"/>
  <c r="H2498" i="6" s="1"/>
  <c r="F2499" i="6"/>
  <c r="H2499" i="6" s="1"/>
  <c r="F2500" i="6"/>
  <c r="H2500" i="6" s="1"/>
  <c r="F2501" i="6"/>
  <c r="H2501" i="6" s="1"/>
  <c r="F2502" i="6"/>
  <c r="H2502" i="6" s="1"/>
  <c r="F2503" i="6"/>
  <c r="H2503" i="6" s="1"/>
  <c r="F2504" i="6"/>
  <c r="H2504" i="6" s="1"/>
  <c r="F2505" i="6"/>
  <c r="H2505" i="6" s="1"/>
  <c r="F2506" i="6"/>
  <c r="H2506" i="6" s="1"/>
  <c r="F2507" i="6"/>
  <c r="H2507" i="6" s="1"/>
  <c r="F2508" i="6"/>
  <c r="H2508" i="6" s="1"/>
  <c r="F2509" i="6"/>
  <c r="H2509" i="6" s="1"/>
  <c r="F2510" i="6"/>
  <c r="H2510" i="6" s="1"/>
  <c r="F2511" i="6"/>
  <c r="H2511" i="6" s="1"/>
  <c r="F2512" i="6"/>
  <c r="H2512" i="6" s="1"/>
  <c r="F2513" i="6"/>
  <c r="H2513" i="6" s="1"/>
  <c r="F2514" i="6"/>
  <c r="H2514" i="6" s="1"/>
  <c r="F2515" i="6"/>
  <c r="H2515" i="6" s="1"/>
  <c r="F2516" i="6"/>
  <c r="H2516" i="6" s="1"/>
  <c r="F2517" i="6"/>
  <c r="H2517" i="6" s="1"/>
  <c r="F2518" i="6"/>
  <c r="H2518" i="6" s="1"/>
  <c r="F2519" i="6"/>
  <c r="H2519" i="6" s="1"/>
  <c r="F2520" i="6"/>
  <c r="H2520" i="6" s="1"/>
  <c r="F2521" i="6"/>
  <c r="H2521" i="6" s="1"/>
  <c r="F2522" i="6"/>
  <c r="H2522" i="6" s="1"/>
  <c r="F2523" i="6"/>
  <c r="H2523" i="6" s="1"/>
  <c r="F2524" i="6"/>
  <c r="H2524" i="6" s="1"/>
  <c r="F2525" i="6"/>
  <c r="H2525" i="6" s="1"/>
  <c r="F2526" i="6"/>
  <c r="H2526" i="6" s="1"/>
  <c r="F2527" i="6"/>
  <c r="H2527" i="6" s="1"/>
  <c r="F2528" i="6"/>
  <c r="H2528" i="6" s="1"/>
  <c r="F2529" i="6"/>
  <c r="H2529" i="6" s="1"/>
  <c r="F2530" i="6"/>
  <c r="H2530" i="6" s="1"/>
  <c r="F2531" i="6"/>
  <c r="H2531" i="6" s="1"/>
  <c r="F2532" i="6"/>
  <c r="H2532" i="6" s="1"/>
  <c r="F2533" i="6"/>
  <c r="H2533" i="6" s="1"/>
  <c r="F2534" i="6"/>
  <c r="H2534" i="6" s="1"/>
  <c r="F2535" i="6"/>
  <c r="H2535" i="6" s="1"/>
  <c r="F2536" i="6"/>
  <c r="H2536" i="6" s="1"/>
  <c r="F2537" i="6"/>
  <c r="H2537" i="6" s="1"/>
  <c r="F2538" i="6"/>
  <c r="H2538" i="6" s="1"/>
  <c r="F2539" i="6"/>
  <c r="H2539" i="6" s="1"/>
  <c r="F2540" i="6"/>
  <c r="H2540" i="6" s="1"/>
  <c r="F2541" i="6"/>
  <c r="H2541" i="6" s="1"/>
  <c r="F2542" i="6"/>
  <c r="H2542" i="6" s="1"/>
  <c r="F2543" i="6"/>
  <c r="H2543" i="6" s="1"/>
  <c r="F2544" i="6"/>
  <c r="H2544" i="6" s="1"/>
  <c r="F2545" i="6"/>
  <c r="H2545" i="6" s="1"/>
  <c r="F2546" i="6"/>
  <c r="H2546" i="6" s="1"/>
  <c r="F2547" i="6"/>
  <c r="H2547" i="6" s="1"/>
  <c r="F2548" i="6"/>
  <c r="H2548" i="6" s="1"/>
  <c r="F2549" i="6"/>
  <c r="H2549" i="6" s="1"/>
  <c r="F2550" i="6"/>
  <c r="H2550" i="6" s="1"/>
  <c r="F2551" i="6"/>
  <c r="H2551" i="6" s="1"/>
  <c r="F2552" i="6"/>
  <c r="H2552" i="6" s="1"/>
  <c r="F2553" i="6"/>
  <c r="H2553" i="6" s="1"/>
  <c r="F2554" i="6"/>
  <c r="H2554" i="6" s="1"/>
  <c r="F2555" i="6"/>
  <c r="H2555" i="6" s="1"/>
  <c r="F2556" i="6"/>
  <c r="H2556" i="6" s="1"/>
  <c r="F2557" i="6"/>
  <c r="H2557" i="6" s="1"/>
  <c r="F2558" i="6"/>
  <c r="H2558" i="6" s="1"/>
  <c r="F2559" i="6"/>
  <c r="H2559" i="6" s="1"/>
  <c r="F2560" i="6"/>
  <c r="H2560" i="6" s="1"/>
  <c r="F2561" i="6"/>
  <c r="H2561" i="6" s="1"/>
  <c r="F2562" i="6"/>
  <c r="H2562" i="6" s="1"/>
  <c r="F2563" i="6"/>
  <c r="H2563" i="6" s="1"/>
  <c r="F2564" i="6"/>
  <c r="H2564" i="6" s="1"/>
  <c r="F2565" i="6"/>
  <c r="H2565" i="6" s="1"/>
  <c r="F2566" i="6"/>
  <c r="H2566" i="6" s="1"/>
  <c r="F2567" i="6"/>
  <c r="H2567" i="6" s="1"/>
  <c r="F2568" i="6"/>
  <c r="H2568" i="6" s="1"/>
  <c r="F2569" i="6"/>
  <c r="H2569" i="6" s="1"/>
  <c r="F2570" i="6"/>
  <c r="H2570" i="6" s="1"/>
  <c r="F2571" i="6"/>
  <c r="H2571" i="6" s="1"/>
  <c r="F2572" i="6"/>
  <c r="H2572" i="6" s="1"/>
  <c r="F2573" i="6"/>
  <c r="H2573" i="6" s="1"/>
  <c r="F2574" i="6"/>
  <c r="H2574" i="6" s="1"/>
  <c r="F2575" i="6"/>
  <c r="H2575" i="6" s="1"/>
  <c r="F2576" i="6"/>
  <c r="H2576" i="6" s="1"/>
  <c r="F2577" i="6"/>
  <c r="H2577" i="6" s="1"/>
  <c r="F2578" i="6"/>
  <c r="H2578" i="6" s="1"/>
  <c r="F2579" i="6"/>
  <c r="H2579" i="6" s="1"/>
  <c r="F2580" i="6"/>
  <c r="H2580" i="6" s="1"/>
  <c r="F2581" i="6"/>
  <c r="H2581" i="6" s="1"/>
  <c r="F2582" i="6"/>
  <c r="H2582" i="6" s="1"/>
  <c r="F2583" i="6"/>
  <c r="H2583" i="6" s="1"/>
  <c r="F2584" i="6"/>
  <c r="H2584" i="6" s="1"/>
  <c r="F2585" i="6"/>
  <c r="H2585" i="6" s="1"/>
  <c r="F2586" i="6"/>
  <c r="H2586" i="6" s="1"/>
  <c r="F2587" i="6"/>
  <c r="H2587" i="6" s="1"/>
  <c r="F2588" i="6"/>
  <c r="H2588" i="6" s="1"/>
  <c r="F2589" i="6"/>
  <c r="H2589" i="6" s="1"/>
  <c r="F2590" i="6"/>
  <c r="H2590" i="6" s="1"/>
  <c r="F2591" i="6"/>
  <c r="H2591" i="6" s="1"/>
  <c r="F2592" i="6"/>
  <c r="H2592" i="6" s="1"/>
  <c r="F2593" i="6"/>
  <c r="H2593" i="6" s="1"/>
  <c r="F2594" i="6"/>
  <c r="H2594" i="6" s="1"/>
  <c r="F2595" i="6"/>
  <c r="H2595" i="6" s="1"/>
  <c r="F2596" i="6"/>
  <c r="H2596" i="6" s="1"/>
  <c r="F2597" i="6"/>
  <c r="H2597" i="6" s="1"/>
  <c r="F2598" i="6"/>
  <c r="H2598" i="6" s="1"/>
  <c r="F2599" i="6"/>
  <c r="H2599" i="6" s="1"/>
  <c r="F2600" i="6"/>
  <c r="H2600" i="6" s="1"/>
  <c r="F2601" i="6"/>
  <c r="H2601" i="6" s="1"/>
  <c r="F2602" i="6"/>
  <c r="H2602" i="6" s="1"/>
  <c r="F2603" i="6"/>
  <c r="H2603" i="6" s="1"/>
  <c r="F2604" i="6"/>
  <c r="H2604" i="6" s="1"/>
  <c r="F2605" i="6"/>
  <c r="H2605" i="6" s="1"/>
  <c r="F2606" i="6"/>
  <c r="H2606" i="6" s="1"/>
  <c r="F2607" i="6"/>
  <c r="H2607" i="6" s="1"/>
  <c r="F2608" i="6"/>
  <c r="H2608" i="6" s="1"/>
  <c r="F2609" i="6"/>
  <c r="H2609" i="6" s="1"/>
  <c r="F2610" i="6"/>
  <c r="H2610" i="6" s="1"/>
  <c r="F2611" i="6"/>
  <c r="H2611" i="6" s="1"/>
  <c r="F2612" i="6"/>
  <c r="H2612" i="6" s="1"/>
  <c r="F2613" i="6"/>
  <c r="H2613" i="6" s="1"/>
  <c r="F2614" i="6"/>
  <c r="H2614" i="6" s="1"/>
  <c r="F2615" i="6"/>
  <c r="H2615" i="6" s="1"/>
  <c r="F2616" i="6"/>
  <c r="H2616" i="6" s="1"/>
  <c r="F2617" i="6"/>
  <c r="H2617" i="6" s="1"/>
  <c r="F2618" i="6"/>
  <c r="H2618" i="6" s="1"/>
  <c r="F2619" i="6"/>
  <c r="H2619" i="6" s="1"/>
  <c r="F2620" i="6"/>
  <c r="H2620" i="6" s="1"/>
  <c r="F2621" i="6"/>
  <c r="H2621" i="6" s="1"/>
  <c r="F2622" i="6"/>
  <c r="H2622" i="6" s="1"/>
  <c r="F2623" i="6"/>
  <c r="H2623" i="6" s="1"/>
  <c r="F2624" i="6"/>
  <c r="H2624" i="6" s="1"/>
  <c r="F2625" i="6"/>
  <c r="H2625" i="6" s="1"/>
  <c r="F2626" i="6"/>
  <c r="H2626" i="6" s="1"/>
  <c r="F2627" i="6"/>
  <c r="H2627" i="6" s="1"/>
  <c r="F2628" i="6"/>
  <c r="H2628" i="6" s="1"/>
  <c r="F2629" i="6"/>
  <c r="H2629" i="6" s="1"/>
  <c r="F2630" i="6"/>
  <c r="H2630" i="6" s="1"/>
  <c r="F2631" i="6"/>
  <c r="H2631" i="6" s="1"/>
  <c r="F2632" i="6"/>
  <c r="H2632" i="6" s="1"/>
  <c r="F2633" i="6"/>
  <c r="H2633" i="6" s="1"/>
  <c r="F2634" i="6"/>
  <c r="H2634" i="6" s="1"/>
  <c r="F2635" i="6"/>
  <c r="H2635" i="6" s="1"/>
  <c r="F2636" i="6"/>
  <c r="H2636" i="6" s="1"/>
  <c r="F2637" i="6"/>
  <c r="H2637" i="6" s="1"/>
  <c r="F2638" i="6"/>
  <c r="H2638" i="6" s="1"/>
  <c r="F2639" i="6"/>
  <c r="H2639" i="6" s="1"/>
  <c r="F2640" i="6"/>
  <c r="H2640" i="6" s="1"/>
  <c r="F2641" i="6"/>
  <c r="H2641" i="6" s="1"/>
  <c r="F2642" i="6"/>
  <c r="H2642" i="6" s="1"/>
  <c r="F2643" i="6"/>
  <c r="H2643" i="6" s="1"/>
  <c r="F2644" i="6"/>
  <c r="H2644" i="6" s="1"/>
  <c r="F2645" i="6"/>
  <c r="H2645" i="6" s="1"/>
  <c r="F2646" i="6"/>
  <c r="H2646" i="6" s="1"/>
  <c r="F2647" i="6"/>
  <c r="H2647" i="6" s="1"/>
  <c r="F2648" i="6"/>
  <c r="H2648" i="6" s="1"/>
  <c r="F2649" i="6"/>
  <c r="H2649" i="6" s="1"/>
  <c r="F2650" i="6"/>
  <c r="H2650" i="6" s="1"/>
  <c r="F2651" i="6"/>
  <c r="H2651" i="6" s="1"/>
  <c r="F2652" i="6"/>
  <c r="H2652" i="6" s="1"/>
  <c r="F2653" i="6"/>
  <c r="H2653" i="6" s="1"/>
  <c r="F2654" i="6"/>
  <c r="H2654" i="6" s="1"/>
  <c r="F2655" i="6"/>
  <c r="H2655" i="6" s="1"/>
  <c r="F2656" i="6"/>
  <c r="H2656" i="6" s="1"/>
  <c r="F2657" i="6"/>
  <c r="H2657" i="6" s="1"/>
  <c r="F2658" i="6"/>
  <c r="H2658" i="6" s="1"/>
  <c r="F2659" i="6"/>
  <c r="H2659" i="6" s="1"/>
  <c r="F2660" i="6"/>
  <c r="H2660" i="6" s="1"/>
  <c r="F2661" i="6"/>
  <c r="H2661" i="6" s="1"/>
  <c r="F2662" i="6"/>
  <c r="H2662" i="6" s="1"/>
  <c r="F2663" i="6"/>
  <c r="H2663" i="6" s="1"/>
  <c r="F2664" i="6"/>
  <c r="H2664" i="6" s="1"/>
  <c r="F2665" i="6"/>
  <c r="H2665" i="6" s="1"/>
  <c r="F2666" i="6"/>
  <c r="H2666" i="6" s="1"/>
  <c r="F2667" i="6"/>
  <c r="H2667" i="6" s="1"/>
  <c r="F2668" i="6"/>
  <c r="H2668" i="6" s="1"/>
  <c r="F2669" i="6"/>
  <c r="H2669" i="6" s="1"/>
  <c r="F2670" i="6"/>
  <c r="H2670" i="6" s="1"/>
  <c r="F2671" i="6"/>
  <c r="H2671" i="6" s="1"/>
  <c r="F2672" i="6"/>
  <c r="H2672" i="6" s="1"/>
  <c r="F2673" i="6"/>
  <c r="H2673" i="6" s="1"/>
  <c r="F2674" i="6"/>
  <c r="H2674" i="6" s="1"/>
  <c r="F2675" i="6"/>
  <c r="H2675" i="6" s="1"/>
  <c r="F2676" i="6"/>
  <c r="H2676" i="6" s="1"/>
  <c r="F2677" i="6"/>
  <c r="H2677" i="6" s="1"/>
  <c r="F2678" i="6"/>
  <c r="H2678" i="6" s="1"/>
  <c r="F2679" i="6"/>
  <c r="H2679" i="6" s="1"/>
  <c r="F2680" i="6"/>
  <c r="H2680" i="6" s="1"/>
  <c r="F2681" i="6"/>
  <c r="H2681" i="6" s="1"/>
  <c r="F2682" i="6"/>
  <c r="H2682" i="6" s="1"/>
  <c r="F2683" i="6"/>
  <c r="H2683" i="6" s="1"/>
  <c r="F2684" i="6"/>
  <c r="H2684" i="6" s="1"/>
  <c r="F2685" i="6"/>
  <c r="H2685" i="6" s="1"/>
  <c r="F2686" i="6"/>
  <c r="H2686" i="6" s="1"/>
  <c r="F2687" i="6"/>
  <c r="H2687" i="6" s="1"/>
  <c r="F2688" i="6"/>
  <c r="H2688" i="6" s="1"/>
  <c r="F2689" i="6"/>
  <c r="H2689" i="6" s="1"/>
  <c r="F2690" i="6"/>
  <c r="H2690" i="6" s="1"/>
  <c r="F2691" i="6"/>
  <c r="H2691" i="6" s="1"/>
  <c r="F2692" i="6"/>
  <c r="H2692" i="6" s="1"/>
  <c r="F2693" i="6"/>
  <c r="H2693" i="6" s="1"/>
  <c r="F2694" i="6"/>
  <c r="H2694" i="6" s="1"/>
  <c r="F2695" i="6"/>
  <c r="H2695" i="6" s="1"/>
  <c r="F2696" i="6"/>
  <c r="H2696" i="6" s="1"/>
  <c r="F2697" i="6"/>
  <c r="H2697" i="6" s="1"/>
  <c r="F2698" i="6"/>
  <c r="H2698" i="6" s="1"/>
  <c r="F2699" i="6"/>
  <c r="H2699" i="6" s="1"/>
  <c r="F2700" i="6"/>
  <c r="H2700" i="6" s="1"/>
  <c r="F2701" i="6"/>
  <c r="H2701" i="6" s="1"/>
  <c r="F2702" i="6"/>
  <c r="H2702" i="6" s="1"/>
  <c r="F2703" i="6"/>
  <c r="H2703" i="6" s="1"/>
  <c r="F2704" i="6"/>
  <c r="H2704" i="6" s="1"/>
  <c r="F2705" i="6"/>
  <c r="H2705" i="6" s="1"/>
  <c r="F2706" i="6"/>
  <c r="H2706" i="6" s="1"/>
  <c r="F2707" i="6"/>
  <c r="H2707" i="6" s="1"/>
  <c r="F2708" i="6"/>
  <c r="H2708" i="6" s="1"/>
  <c r="F2709" i="6"/>
  <c r="H2709" i="6" s="1"/>
  <c r="F2710" i="6"/>
  <c r="H2710" i="6" s="1"/>
  <c r="F2711" i="6"/>
  <c r="H2711" i="6" s="1"/>
  <c r="F2712" i="6"/>
  <c r="H2712" i="6" s="1"/>
  <c r="F2713" i="6"/>
  <c r="H2713" i="6" s="1"/>
  <c r="F2714" i="6"/>
  <c r="H2714" i="6" s="1"/>
  <c r="F2715" i="6"/>
  <c r="H2715" i="6" s="1"/>
  <c r="F2716" i="6"/>
  <c r="H2716" i="6" s="1"/>
  <c r="F2717" i="6"/>
  <c r="H2717" i="6" s="1"/>
  <c r="F2718" i="6"/>
  <c r="H2718" i="6" s="1"/>
  <c r="F2719" i="6"/>
  <c r="H2719" i="6" s="1"/>
  <c r="F2720" i="6"/>
  <c r="H2720" i="6" s="1"/>
  <c r="F2721" i="6"/>
  <c r="H2721" i="6" s="1"/>
  <c r="F2722" i="6"/>
  <c r="H2722" i="6" s="1"/>
  <c r="F2723" i="6"/>
  <c r="H2723" i="6" s="1"/>
  <c r="F2724" i="6"/>
  <c r="H2724" i="6" s="1"/>
  <c r="F2725" i="6"/>
  <c r="H2725" i="6" s="1"/>
  <c r="F2726" i="6"/>
  <c r="H2726" i="6" s="1"/>
  <c r="F2727" i="6"/>
  <c r="H2727" i="6" s="1"/>
  <c r="F2728" i="6"/>
  <c r="H2728" i="6" s="1"/>
  <c r="F2729" i="6"/>
  <c r="H2729" i="6" s="1"/>
  <c r="F2730" i="6"/>
  <c r="H2730" i="6" s="1"/>
  <c r="F2731" i="6"/>
  <c r="H2731" i="6" s="1"/>
  <c r="F2732" i="6"/>
  <c r="H2732" i="6" s="1"/>
  <c r="F2733" i="6"/>
  <c r="H2733" i="6" s="1"/>
  <c r="F2734" i="6"/>
  <c r="H2734" i="6" s="1"/>
  <c r="F2735" i="6"/>
  <c r="H2735" i="6" s="1"/>
  <c r="F2736" i="6"/>
  <c r="H2736" i="6" s="1"/>
  <c r="F2737" i="6"/>
  <c r="H2737" i="6" s="1"/>
  <c r="F2738" i="6"/>
  <c r="H2738" i="6" s="1"/>
  <c r="F2739" i="6"/>
  <c r="H2739" i="6" s="1"/>
  <c r="F2740" i="6"/>
  <c r="H2740" i="6" s="1"/>
  <c r="F2741" i="6"/>
  <c r="H2741" i="6" s="1"/>
  <c r="F2742" i="6"/>
  <c r="H2742" i="6" s="1"/>
  <c r="F2743" i="6"/>
  <c r="H2743" i="6" s="1"/>
  <c r="F2744" i="6"/>
  <c r="H2744" i="6" s="1"/>
  <c r="F2745" i="6"/>
  <c r="H2745" i="6" s="1"/>
  <c r="F2746" i="6"/>
  <c r="H2746" i="6" s="1"/>
  <c r="F2747" i="6"/>
  <c r="H2747" i="6" s="1"/>
  <c r="F2748" i="6"/>
  <c r="H2748" i="6" s="1"/>
  <c r="F2749" i="6"/>
  <c r="H2749" i="6" s="1"/>
  <c r="F2750" i="6"/>
  <c r="H2750" i="6" s="1"/>
  <c r="F2751" i="6"/>
  <c r="H2751" i="6" s="1"/>
  <c r="F2752" i="6"/>
  <c r="H2752" i="6" s="1"/>
  <c r="F2753" i="6"/>
  <c r="H2753" i="6" s="1"/>
  <c r="F2754" i="6"/>
  <c r="H2754" i="6" s="1"/>
  <c r="F2755" i="6"/>
  <c r="H2755" i="6" s="1"/>
  <c r="F2756" i="6"/>
  <c r="H2756" i="6" s="1"/>
  <c r="F2757" i="6"/>
  <c r="H2757" i="6" s="1"/>
  <c r="F2758" i="6"/>
  <c r="H2758" i="6" s="1"/>
  <c r="F2759" i="6"/>
  <c r="H2759" i="6" s="1"/>
  <c r="F2760" i="6"/>
  <c r="H2760" i="6" s="1"/>
  <c r="F2761" i="6"/>
  <c r="H2761" i="6" s="1"/>
  <c r="F2762" i="6"/>
  <c r="H2762" i="6" s="1"/>
  <c r="F2763" i="6"/>
  <c r="H2763" i="6" s="1"/>
  <c r="F2764" i="6"/>
  <c r="H2764" i="6" s="1"/>
  <c r="F2765" i="6"/>
  <c r="H2765" i="6" s="1"/>
  <c r="F2766" i="6"/>
  <c r="H2766" i="6" s="1"/>
  <c r="F2767" i="6"/>
  <c r="H2767" i="6" s="1"/>
  <c r="F2768" i="6"/>
  <c r="H2768" i="6" s="1"/>
  <c r="F2769" i="6"/>
  <c r="H2769" i="6" s="1"/>
  <c r="F2770" i="6"/>
  <c r="H2770" i="6" s="1"/>
  <c r="F2771" i="6"/>
  <c r="H2771" i="6" s="1"/>
  <c r="F2772" i="6"/>
  <c r="H2772" i="6" s="1"/>
  <c r="F2773" i="6"/>
  <c r="H2773" i="6" s="1"/>
  <c r="F2774" i="6"/>
  <c r="H2774" i="6" s="1"/>
  <c r="F2775" i="6"/>
  <c r="H2775" i="6" s="1"/>
  <c r="F2776" i="6"/>
  <c r="H2776" i="6" s="1"/>
  <c r="F2777" i="6"/>
  <c r="H2777" i="6" s="1"/>
  <c r="F2778" i="6"/>
  <c r="H2778" i="6" s="1"/>
  <c r="F2779" i="6"/>
  <c r="H2779" i="6" s="1"/>
  <c r="F2780" i="6"/>
  <c r="H2780" i="6" s="1"/>
  <c r="F2781" i="6"/>
  <c r="H2781" i="6" s="1"/>
  <c r="F2782" i="6"/>
  <c r="H2782" i="6" s="1"/>
  <c r="F2783" i="6"/>
  <c r="H2783" i="6" s="1"/>
  <c r="F2784" i="6"/>
  <c r="H2784" i="6" s="1"/>
  <c r="F2785" i="6"/>
  <c r="H2785" i="6" s="1"/>
  <c r="F2786" i="6"/>
  <c r="H2786" i="6" s="1"/>
  <c r="F2787" i="6"/>
  <c r="H2787" i="6" s="1"/>
  <c r="F2788" i="6"/>
  <c r="H2788" i="6" s="1"/>
  <c r="F2789" i="6"/>
  <c r="H2789" i="6" s="1"/>
  <c r="F2790" i="6"/>
  <c r="H2790" i="6" s="1"/>
  <c r="F2791" i="6"/>
  <c r="H2791" i="6" s="1"/>
  <c r="F2792" i="6"/>
  <c r="H2792" i="6" s="1"/>
  <c r="F2793" i="6"/>
  <c r="H2793" i="6" s="1"/>
  <c r="F2794" i="6"/>
  <c r="H2794" i="6" s="1"/>
  <c r="F2795" i="6"/>
  <c r="H2795" i="6" s="1"/>
  <c r="F2796" i="6"/>
  <c r="H2796" i="6" s="1"/>
  <c r="F2797" i="6"/>
  <c r="H2797" i="6" s="1"/>
  <c r="F2798" i="6"/>
  <c r="H2798" i="6" s="1"/>
  <c r="F2799" i="6"/>
  <c r="H2799" i="6" s="1"/>
  <c r="F2800" i="6"/>
  <c r="H2800" i="6" s="1"/>
  <c r="F2801" i="6"/>
  <c r="H2801" i="6" s="1"/>
  <c r="F2802" i="6"/>
  <c r="H2802" i="6" s="1"/>
  <c r="F2803" i="6"/>
  <c r="H2803" i="6" s="1"/>
  <c r="F2804" i="6"/>
  <c r="H2804" i="6" s="1"/>
  <c r="F2805" i="6"/>
  <c r="H2805" i="6" s="1"/>
  <c r="F2806" i="6"/>
  <c r="H2806" i="6" s="1"/>
  <c r="F2807" i="6"/>
  <c r="H2807" i="6" s="1"/>
  <c r="F2808" i="6"/>
  <c r="H2808" i="6" s="1"/>
  <c r="F2809" i="6"/>
  <c r="H2809" i="6" s="1"/>
  <c r="F2810" i="6"/>
  <c r="H2810" i="6" s="1"/>
  <c r="F2811" i="6"/>
  <c r="H2811" i="6" s="1"/>
  <c r="F2812" i="6"/>
  <c r="H2812" i="6" s="1"/>
  <c r="F2813" i="6"/>
  <c r="H2813" i="6" s="1"/>
  <c r="F2814" i="6"/>
  <c r="H2814" i="6" s="1"/>
  <c r="F2815" i="6"/>
  <c r="H2815" i="6" s="1"/>
  <c r="F2816" i="6"/>
  <c r="H2816" i="6" s="1"/>
  <c r="F2817" i="6"/>
  <c r="H2817" i="6" s="1"/>
  <c r="F2818" i="6"/>
  <c r="H2818" i="6" s="1"/>
  <c r="F2819" i="6"/>
  <c r="H2819" i="6" s="1"/>
  <c r="F2820" i="6"/>
  <c r="H2820" i="6" s="1"/>
  <c r="F2821" i="6"/>
  <c r="H2821" i="6" s="1"/>
  <c r="F2822" i="6"/>
  <c r="H2822" i="6" s="1"/>
  <c r="F2823" i="6"/>
  <c r="H2823" i="6" s="1"/>
  <c r="F2824" i="6"/>
  <c r="H2824" i="6" s="1"/>
  <c r="F2825" i="6"/>
  <c r="H2825" i="6" s="1"/>
  <c r="F2826" i="6"/>
  <c r="H2826" i="6" s="1"/>
  <c r="F2827" i="6"/>
  <c r="H2827" i="6" s="1"/>
  <c r="F2828" i="6"/>
  <c r="H2828" i="6" s="1"/>
  <c r="F2829" i="6"/>
  <c r="H2829" i="6" s="1"/>
  <c r="F2830" i="6"/>
  <c r="H2830" i="6" s="1"/>
  <c r="F2831" i="6"/>
  <c r="H2831" i="6" s="1"/>
  <c r="F2832" i="6"/>
  <c r="H2832" i="6" s="1"/>
  <c r="F2833" i="6"/>
  <c r="H2833" i="6" s="1"/>
  <c r="F2834" i="6"/>
  <c r="H2834" i="6" s="1"/>
  <c r="F2835" i="6"/>
  <c r="H2835" i="6" s="1"/>
  <c r="F2836" i="6"/>
  <c r="H2836" i="6" s="1"/>
  <c r="F2837" i="6"/>
  <c r="H2837" i="6" s="1"/>
  <c r="F2838" i="6"/>
  <c r="H2838" i="6" s="1"/>
  <c r="F2839" i="6"/>
  <c r="H2839" i="6" s="1"/>
  <c r="F2840" i="6"/>
  <c r="H2840" i="6" s="1"/>
  <c r="F2841" i="6"/>
  <c r="H2841" i="6" s="1"/>
  <c r="F2842" i="6"/>
  <c r="H2842" i="6" s="1"/>
  <c r="F2843" i="6"/>
  <c r="H2843" i="6" s="1"/>
  <c r="F2844" i="6"/>
  <c r="H2844" i="6" s="1"/>
  <c r="F2845" i="6"/>
  <c r="H2845" i="6" s="1"/>
  <c r="F2846" i="6"/>
  <c r="H2846" i="6" s="1"/>
  <c r="F2847" i="6"/>
  <c r="H2847" i="6" s="1"/>
  <c r="F2848" i="6"/>
  <c r="H2848" i="6" s="1"/>
  <c r="F2849" i="6"/>
  <c r="H2849" i="6" s="1"/>
  <c r="F2850" i="6"/>
  <c r="H2850" i="6" s="1"/>
  <c r="F2851" i="6"/>
  <c r="H2851" i="6" s="1"/>
  <c r="F2852" i="6"/>
  <c r="H2852" i="6" s="1"/>
  <c r="F2853" i="6"/>
  <c r="H2853" i="6" s="1"/>
  <c r="F2854" i="6"/>
  <c r="H2854" i="6" s="1"/>
  <c r="F2855" i="6"/>
  <c r="H2855" i="6" s="1"/>
  <c r="F2856" i="6"/>
  <c r="H2856" i="6" s="1"/>
  <c r="F2857" i="6"/>
  <c r="H2857" i="6" s="1"/>
  <c r="F2858" i="6"/>
  <c r="H2858" i="6" s="1"/>
  <c r="F2859" i="6"/>
  <c r="H2859" i="6" s="1"/>
  <c r="F2860" i="6"/>
  <c r="H2860" i="6" s="1"/>
  <c r="F2861" i="6"/>
  <c r="H2861" i="6" s="1"/>
  <c r="F2862" i="6"/>
  <c r="H2862" i="6" s="1"/>
  <c r="F2863" i="6"/>
  <c r="H2863" i="6" s="1"/>
  <c r="F2864" i="6"/>
  <c r="H2864" i="6" s="1"/>
  <c r="F2865" i="6"/>
  <c r="H2865" i="6" s="1"/>
  <c r="F2866" i="6"/>
  <c r="H2866" i="6" s="1"/>
  <c r="F2867" i="6"/>
  <c r="H2867" i="6" s="1"/>
  <c r="F2868" i="6"/>
  <c r="H2868" i="6" s="1"/>
  <c r="F2869" i="6"/>
  <c r="H2869" i="6" s="1"/>
  <c r="F2870" i="6"/>
  <c r="H2870" i="6" s="1"/>
  <c r="F2871" i="6"/>
  <c r="H2871" i="6" s="1"/>
  <c r="F2872" i="6"/>
  <c r="H2872" i="6" s="1"/>
  <c r="F2873" i="6"/>
  <c r="H2873" i="6" s="1"/>
  <c r="F2874" i="6"/>
  <c r="H2874" i="6" s="1"/>
  <c r="F2875" i="6"/>
  <c r="H2875" i="6" s="1"/>
  <c r="F2876" i="6"/>
  <c r="H2876" i="6" s="1"/>
  <c r="F2877" i="6"/>
  <c r="H2877" i="6" s="1"/>
  <c r="F2878" i="6"/>
  <c r="H2878" i="6" s="1"/>
  <c r="F2879" i="6"/>
  <c r="H2879" i="6" s="1"/>
  <c r="F2880" i="6"/>
  <c r="H2880" i="6" s="1"/>
  <c r="F2881" i="6"/>
  <c r="H2881" i="6" s="1"/>
  <c r="F2882" i="6"/>
  <c r="H2882" i="6" s="1"/>
  <c r="F2883" i="6"/>
  <c r="H2883" i="6" s="1"/>
  <c r="F2884" i="6"/>
  <c r="H2884" i="6" s="1"/>
  <c r="F2885" i="6"/>
  <c r="H2885" i="6" s="1"/>
  <c r="F2886" i="6"/>
  <c r="H2886" i="6" s="1"/>
  <c r="F2887" i="6"/>
  <c r="H2887" i="6" s="1"/>
  <c r="F2888" i="6"/>
  <c r="H2888" i="6" s="1"/>
  <c r="F2889" i="6"/>
  <c r="H2889" i="6" s="1"/>
  <c r="F2890" i="6"/>
  <c r="H2890" i="6" s="1"/>
  <c r="F2891" i="6"/>
  <c r="H2891" i="6" s="1"/>
  <c r="F2892" i="6"/>
  <c r="H2892" i="6" s="1"/>
  <c r="F2893" i="6"/>
  <c r="H2893" i="6" s="1"/>
  <c r="F2894" i="6"/>
  <c r="H2894" i="6" s="1"/>
  <c r="F2895" i="6"/>
  <c r="H2895" i="6" s="1"/>
  <c r="F2896" i="6"/>
  <c r="H2896" i="6" s="1"/>
  <c r="F2897" i="6"/>
  <c r="H2897" i="6" s="1"/>
  <c r="F2898" i="6"/>
  <c r="H2898" i="6" s="1"/>
  <c r="F2899" i="6"/>
  <c r="H2899" i="6" s="1"/>
  <c r="F2900" i="6"/>
  <c r="H2900" i="6" s="1"/>
  <c r="F2901" i="6"/>
  <c r="H2901" i="6" s="1"/>
  <c r="F2902" i="6"/>
  <c r="H2902" i="6" s="1"/>
  <c r="F2903" i="6"/>
  <c r="H2903" i="6" s="1"/>
  <c r="F2904" i="6"/>
  <c r="H2904" i="6" s="1"/>
  <c r="F2905" i="6"/>
  <c r="H2905" i="6" s="1"/>
  <c r="F2906" i="6"/>
  <c r="H2906" i="6" s="1"/>
  <c r="F2907" i="6"/>
  <c r="H2907" i="6" s="1"/>
  <c r="F2908" i="6"/>
  <c r="H2908" i="6" s="1"/>
  <c r="F2909" i="6"/>
  <c r="H2909" i="6" s="1"/>
  <c r="F2910" i="6"/>
  <c r="H2910" i="6" s="1"/>
  <c r="F2911" i="6"/>
  <c r="H2911" i="6" s="1"/>
  <c r="F2912" i="6"/>
  <c r="H2912" i="6" s="1"/>
  <c r="F2913" i="6"/>
  <c r="H2913" i="6" s="1"/>
  <c r="F2914" i="6"/>
  <c r="H2914" i="6" s="1"/>
  <c r="F2915" i="6"/>
  <c r="H2915" i="6" s="1"/>
  <c r="F2916" i="6"/>
  <c r="H2916" i="6" s="1"/>
  <c r="F2917" i="6"/>
  <c r="H2917" i="6" s="1"/>
  <c r="F2918" i="6"/>
  <c r="H2918" i="6" s="1"/>
  <c r="F2919" i="6"/>
  <c r="H2919" i="6" s="1"/>
  <c r="F2920" i="6"/>
  <c r="H2920" i="6" s="1"/>
  <c r="F2921" i="6"/>
  <c r="H2921" i="6" s="1"/>
  <c r="F2922" i="6"/>
  <c r="H2922" i="6" s="1"/>
  <c r="F2923" i="6"/>
  <c r="H2923" i="6" s="1"/>
  <c r="F2924" i="6"/>
  <c r="H2924" i="6" s="1"/>
  <c r="F2925" i="6"/>
  <c r="H2925" i="6" s="1"/>
  <c r="F2926" i="6"/>
  <c r="H2926" i="6" s="1"/>
  <c r="F2927" i="6"/>
  <c r="H2927" i="6" s="1"/>
  <c r="F2928" i="6"/>
  <c r="H2928" i="6" s="1"/>
  <c r="F2929" i="6"/>
  <c r="H2929" i="6" s="1"/>
  <c r="F2930" i="6"/>
  <c r="H2930" i="6" s="1"/>
  <c r="F2931" i="6"/>
  <c r="H2931" i="6" s="1"/>
  <c r="F2932" i="6"/>
  <c r="H2932" i="6" s="1"/>
  <c r="F2933" i="6"/>
  <c r="H2933" i="6" s="1"/>
  <c r="F2934" i="6"/>
  <c r="H2934" i="6" s="1"/>
  <c r="F2935" i="6"/>
  <c r="H2935" i="6" s="1"/>
  <c r="F2936" i="6"/>
  <c r="H2936" i="6" s="1"/>
  <c r="F2937" i="6"/>
  <c r="H2937" i="6" s="1"/>
  <c r="F2938" i="6"/>
  <c r="H2938" i="6" s="1"/>
  <c r="F2939" i="6"/>
  <c r="H2939" i="6" s="1"/>
  <c r="F2940" i="6"/>
  <c r="H2940" i="6" s="1"/>
  <c r="F2941" i="6"/>
  <c r="H2941" i="6" s="1"/>
  <c r="F2942" i="6"/>
  <c r="H2942" i="6" s="1"/>
  <c r="F2943" i="6"/>
  <c r="H2943" i="6" s="1"/>
  <c r="F2944" i="6"/>
  <c r="H2944" i="6" s="1"/>
  <c r="F2945" i="6"/>
  <c r="H2945" i="6" s="1"/>
  <c r="F2946" i="6"/>
  <c r="H2946" i="6" s="1"/>
  <c r="F2947" i="6"/>
  <c r="H2947" i="6" s="1"/>
  <c r="F2948" i="6"/>
  <c r="H2948" i="6" s="1"/>
  <c r="F2949" i="6"/>
  <c r="H2949" i="6" s="1"/>
  <c r="F2950" i="6"/>
  <c r="H2950" i="6" s="1"/>
  <c r="F2951" i="6"/>
  <c r="H2951" i="6" s="1"/>
  <c r="F2952" i="6"/>
  <c r="H2952" i="6" s="1"/>
  <c r="F2953" i="6"/>
  <c r="H2953" i="6" s="1"/>
  <c r="F2954" i="6"/>
  <c r="H2954" i="6" s="1"/>
  <c r="F2955" i="6"/>
  <c r="H2955" i="6" s="1"/>
  <c r="F2956" i="6"/>
  <c r="H2956" i="6" s="1"/>
  <c r="F2957" i="6"/>
  <c r="H2957" i="6" s="1"/>
  <c r="F2958" i="6"/>
  <c r="H2958" i="6" s="1"/>
  <c r="F2959" i="6"/>
  <c r="H2959" i="6" s="1"/>
  <c r="F2960" i="6"/>
  <c r="H2960" i="6" s="1"/>
  <c r="F2961" i="6"/>
  <c r="H2961" i="6" s="1"/>
  <c r="F2962" i="6"/>
  <c r="H2962" i="6" s="1"/>
  <c r="F2963" i="6"/>
  <c r="H2963" i="6" s="1"/>
  <c r="F2964" i="6"/>
  <c r="H2964" i="6" s="1"/>
  <c r="F2965" i="6"/>
  <c r="H2965" i="6" s="1"/>
  <c r="F2966" i="6"/>
  <c r="H2966" i="6" s="1"/>
  <c r="F2967" i="6"/>
  <c r="H2967" i="6" s="1"/>
  <c r="F2968" i="6"/>
  <c r="H2968" i="6" s="1"/>
  <c r="F2969" i="6"/>
  <c r="H2969" i="6" s="1"/>
  <c r="F2970" i="6"/>
  <c r="H2970" i="6" s="1"/>
  <c r="F2971" i="6"/>
  <c r="H2971" i="6" s="1"/>
  <c r="F2972" i="6"/>
  <c r="H2972" i="6" s="1"/>
  <c r="F2973" i="6"/>
  <c r="H2973" i="6" s="1"/>
  <c r="F2974" i="6"/>
  <c r="H2974" i="6" s="1"/>
  <c r="F2975" i="6"/>
  <c r="H2975" i="6" s="1"/>
  <c r="F2976" i="6"/>
  <c r="H2976" i="6" s="1"/>
  <c r="F2977" i="6"/>
  <c r="H2977" i="6" s="1"/>
  <c r="F2978" i="6"/>
  <c r="H2978" i="6" s="1"/>
  <c r="F2979" i="6"/>
  <c r="H2979" i="6" s="1"/>
  <c r="F2980" i="6"/>
  <c r="H2980" i="6" s="1"/>
  <c r="F2981" i="6"/>
  <c r="H2981" i="6" s="1"/>
  <c r="F2982" i="6"/>
  <c r="H2982" i="6" s="1"/>
  <c r="F2983" i="6"/>
  <c r="H2983" i="6" s="1"/>
  <c r="F2984" i="6"/>
  <c r="H2984" i="6" s="1"/>
  <c r="F2985" i="6"/>
  <c r="H2985" i="6" s="1"/>
  <c r="F2986" i="6"/>
  <c r="H2986" i="6" s="1"/>
  <c r="F2987" i="6"/>
  <c r="H2987" i="6" s="1"/>
  <c r="F2988" i="6"/>
  <c r="H2988" i="6" s="1"/>
  <c r="F2989" i="6"/>
  <c r="H2989" i="6" s="1"/>
  <c r="F2990" i="6"/>
  <c r="H2990" i="6" s="1"/>
  <c r="F2991" i="6"/>
  <c r="H2991" i="6" s="1"/>
  <c r="F2992" i="6"/>
  <c r="H2992" i="6" s="1"/>
  <c r="F2993" i="6"/>
  <c r="H2993" i="6" s="1"/>
  <c r="F2994" i="6"/>
  <c r="H2994" i="6" s="1"/>
  <c r="F2995" i="6"/>
  <c r="H2995" i="6" s="1"/>
  <c r="F2996" i="6"/>
  <c r="H2996" i="6" s="1"/>
  <c r="F2997" i="6"/>
  <c r="H2997" i="6" s="1"/>
  <c r="F2998" i="6"/>
  <c r="H2998" i="6" s="1"/>
  <c r="F2999" i="6"/>
  <c r="H2999" i="6" s="1"/>
  <c r="F3000" i="6"/>
  <c r="H3000" i="6" s="1"/>
  <c r="F3001" i="6"/>
  <c r="H3001" i="6" s="1"/>
  <c r="F3002" i="6"/>
  <c r="H3002" i="6" s="1"/>
  <c r="F3003" i="6"/>
  <c r="H3003" i="6" s="1"/>
  <c r="F3004" i="6"/>
  <c r="H3004" i="6" s="1"/>
  <c r="F3005" i="6"/>
  <c r="H3005" i="6" s="1"/>
  <c r="F3006" i="6"/>
  <c r="H3006" i="6" s="1"/>
  <c r="F3007" i="6"/>
  <c r="H3007" i="6" s="1"/>
  <c r="F3008" i="6"/>
  <c r="H3008" i="6" s="1"/>
  <c r="F3009" i="6"/>
  <c r="H3009" i="6" s="1"/>
  <c r="F3010" i="6"/>
  <c r="H3010" i="6" s="1"/>
  <c r="F3011" i="6"/>
  <c r="H3011" i="6" s="1"/>
  <c r="F3012" i="6"/>
  <c r="H3012" i="6" s="1"/>
  <c r="F3013" i="6"/>
  <c r="H3013" i="6" s="1"/>
  <c r="F3014" i="6"/>
  <c r="H3014" i="6" s="1"/>
  <c r="F3015" i="6"/>
  <c r="H3015" i="6" s="1"/>
  <c r="F3016" i="6"/>
  <c r="H3016" i="6" s="1"/>
  <c r="F3017" i="6"/>
  <c r="H3017" i="6" s="1"/>
  <c r="F3018" i="6"/>
  <c r="H3018" i="6" s="1"/>
  <c r="F3019" i="6"/>
  <c r="H3019" i="6" s="1"/>
  <c r="F3020" i="6"/>
  <c r="H3020" i="6" s="1"/>
  <c r="F3021" i="6"/>
  <c r="H3021" i="6" s="1"/>
  <c r="F3022" i="6"/>
  <c r="H3022" i="6" s="1"/>
  <c r="F3023" i="6"/>
  <c r="H3023" i="6" s="1"/>
  <c r="F3024" i="6"/>
  <c r="H3024" i="6" s="1"/>
  <c r="F3025" i="6"/>
  <c r="H3025" i="6" s="1"/>
  <c r="F3026" i="6"/>
  <c r="H3026" i="6" s="1"/>
  <c r="F3027" i="6"/>
  <c r="H3027" i="6" s="1"/>
  <c r="F3028" i="6"/>
  <c r="H3028" i="6" s="1"/>
  <c r="F3029" i="6"/>
  <c r="H3029" i="6" s="1"/>
  <c r="F3030" i="6"/>
  <c r="H3030" i="6" s="1"/>
  <c r="F3031" i="6"/>
  <c r="H3031" i="6" s="1"/>
  <c r="F3032" i="6"/>
  <c r="H3032" i="6" s="1"/>
  <c r="F3033" i="6"/>
  <c r="H3033" i="6" s="1"/>
  <c r="F3034" i="6"/>
  <c r="H3034" i="6" s="1"/>
  <c r="F3035" i="6"/>
  <c r="H3035" i="6" s="1"/>
  <c r="F3036" i="6"/>
  <c r="H3036" i="6" s="1"/>
  <c r="F3037" i="6"/>
  <c r="H3037" i="6" s="1"/>
  <c r="F3038" i="6"/>
  <c r="H3038" i="6" s="1"/>
  <c r="F3039" i="6"/>
  <c r="H3039" i="6" s="1"/>
  <c r="F3040" i="6"/>
  <c r="H3040" i="6" s="1"/>
  <c r="F3041" i="6"/>
  <c r="H3041" i="6" s="1"/>
  <c r="F3042" i="6"/>
  <c r="H3042" i="6" s="1"/>
  <c r="F3043" i="6"/>
  <c r="H3043" i="6" s="1"/>
  <c r="F3044" i="6"/>
  <c r="H3044" i="6" s="1"/>
  <c r="F3045" i="6"/>
  <c r="H3045" i="6" s="1"/>
  <c r="F3046" i="6"/>
  <c r="H3046" i="6" s="1"/>
  <c r="F3047" i="6"/>
  <c r="H3047" i="6" s="1"/>
  <c r="F3048" i="6"/>
  <c r="H3048" i="6" s="1"/>
  <c r="F3049" i="6"/>
  <c r="H3049" i="6" s="1"/>
  <c r="F3050" i="6"/>
  <c r="H3050" i="6" s="1"/>
  <c r="F3051" i="6"/>
  <c r="H3051" i="6" s="1"/>
  <c r="F3052" i="6"/>
  <c r="H3052" i="6" s="1"/>
  <c r="F3053" i="6"/>
  <c r="H3053" i="6" s="1"/>
  <c r="F3054" i="6"/>
  <c r="H3054" i="6" s="1"/>
  <c r="F3055" i="6"/>
  <c r="H3055" i="6" s="1"/>
  <c r="F3056" i="6"/>
  <c r="H3056" i="6" s="1"/>
  <c r="F3057" i="6"/>
  <c r="H3057" i="6" s="1"/>
  <c r="F3058" i="6"/>
  <c r="H3058" i="6" s="1"/>
  <c r="F3059" i="6"/>
  <c r="H3059" i="6" s="1"/>
  <c r="F3060" i="6"/>
  <c r="H3060" i="6" s="1"/>
  <c r="F3061" i="6"/>
  <c r="H3061" i="6" s="1"/>
  <c r="F3062" i="6"/>
  <c r="H3062" i="6" s="1"/>
  <c r="F3063" i="6"/>
  <c r="H3063" i="6" s="1"/>
  <c r="F3064" i="6"/>
  <c r="H3064" i="6" s="1"/>
  <c r="F3065" i="6"/>
  <c r="H3065" i="6" s="1"/>
  <c r="F3066" i="6"/>
  <c r="H3066" i="6" s="1"/>
  <c r="F3067" i="6"/>
  <c r="H3067" i="6" s="1"/>
  <c r="F3068" i="6"/>
  <c r="H3068" i="6" s="1"/>
  <c r="F3069" i="6"/>
  <c r="H3069" i="6" s="1"/>
  <c r="F3070" i="6"/>
  <c r="H3070" i="6" s="1"/>
  <c r="F3071" i="6"/>
  <c r="H3071" i="6" s="1"/>
  <c r="F3072" i="6"/>
  <c r="H3072" i="6" s="1"/>
  <c r="F3073" i="6"/>
  <c r="H3073" i="6" s="1"/>
  <c r="F3074" i="6"/>
  <c r="H3074" i="6" s="1"/>
  <c r="F3075" i="6"/>
  <c r="H3075" i="6" s="1"/>
  <c r="F3076" i="6"/>
  <c r="H3076" i="6" s="1"/>
  <c r="F3077" i="6"/>
  <c r="H3077" i="6" s="1"/>
  <c r="F3078" i="6"/>
  <c r="H3078" i="6" s="1"/>
  <c r="F3079" i="6"/>
  <c r="H3079" i="6" s="1"/>
  <c r="F3080" i="6"/>
  <c r="H3080" i="6" s="1"/>
  <c r="F3081" i="6"/>
  <c r="H3081" i="6" s="1"/>
  <c r="F3082" i="6"/>
  <c r="H3082" i="6" s="1"/>
  <c r="F3083" i="6"/>
  <c r="H3083" i="6" s="1"/>
  <c r="F3084" i="6"/>
  <c r="H3084" i="6" s="1"/>
  <c r="F3085" i="6"/>
  <c r="H3085" i="6" s="1"/>
  <c r="F3086" i="6"/>
  <c r="H3086" i="6" s="1"/>
  <c r="F3087" i="6"/>
  <c r="H3087" i="6" s="1"/>
  <c r="F3088" i="6"/>
  <c r="H3088" i="6" s="1"/>
  <c r="F3089" i="6"/>
  <c r="H3089" i="6" s="1"/>
  <c r="F3090" i="6"/>
  <c r="H3090" i="6" s="1"/>
  <c r="F3091" i="6"/>
  <c r="H3091" i="6" s="1"/>
  <c r="F3092" i="6"/>
  <c r="H3092" i="6" s="1"/>
  <c r="F3093" i="6"/>
  <c r="H3093" i="6" s="1"/>
  <c r="F3094" i="6"/>
  <c r="H3094" i="6" s="1"/>
  <c r="F3095" i="6"/>
  <c r="H3095" i="6" s="1"/>
  <c r="F3096" i="6"/>
  <c r="H3096" i="6" s="1"/>
  <c r="F3097" i="6"/>
  <c r="H3097" i="6" s="1"/>
  <c r="F3098" i="6"/>
  <c r="H3098" i="6" s="1"/>
  <c r="F3099" i="6"/>
  <c r="H3099" i="6" s="1"/>
  <c r="F3100" i="6"/>
  <c r="H3100" i="6" s="1"/>
  <c r="F3101" i="6"/>
  <c r="H3101" i="6" s="1"/>
  <c r="F3102" i="6"/>
  <c r="H3102" i="6" s="1"/>
  <c r="F3103" i="6"/>
  <c r="H3103" i="6" s="1"/>
  <c r="F3104" i="6"/>
  <c r="H3104" i="6" s="1"/>
  <c r="F3105" i="6"/>
  <c r="H3105" i="6" s="1"/>
  <c r="F3106" i="6"/>
  <c r="H3106" i="6" s="1"/>
  <c r="F3107" i="6"/>
  <c r="H3107" i="6" s="1"/>
  <c r="F3108" i="6"/>
  <c r="H3108" i="6" s="1"/>
  <c r="F3109" i="6"/>
  <c r="H3109" i="6" s="1"/>
  <c r="F3110" i="6"/>
  <c r="H3110" i="6" s="1"/>
  <c r="F3111" i="6"/>
  <c r="H3111" i="6" s="1"/>
  <c r="F3112" i="6"/>
  <c r="H3112" i="6" s="1"/>
  <c r="F3113" i="6"/>
  <c r="H3113" i="6" s="1"/>
  <c r="F3114" i="6"/>
  <c r="H3114" i="6" s="1"/>
  <c r="F3115" i="6"/>
  <c r="H3115" i="6" s="1"/>
  <c r="F3116" i="6"/>
  <c r="H3116" i="6" s="1"/>
  <c r="F3117" i="6"/>
  <c r="H3117" i="6" s="1"/>
  <c r="F3118" i="6"/>
  <c r="H3118" i="6" s="1"/>
  <c r="F3119" i="6"/>
  <c r="H3119" i="6" s="1"/>
  <c r="F3120" i="6"/>
  <c r="H3120" i="6" s="1"/>
  <c r="F3121" i="6"/>
  <c r="H3121" i="6" s="1"/>
  <c r="F3122" i="6"/>
  <c r="H3122" i="6" s="1"/>
  <c r="F3123" i="6"/>
  <c r="H3123" i="6" s="1"/>
  <c r="F3124" i="6"/>
  <c r="H3124" i="6" s="1"/>
  <c r="F3125" i="6"/>
  <c r="H3125" i="6" s="1"/>
  <c r="F3126" i="6"/>
  <c r="H3126" i="6" s="1"/>
  <c r="F3127" i="6"/>
  <c r="H3127" i="6" s="1"/>
  <c r="F3128" i="6"/>
  <c r="H3128" i="6" s="1"/>
  <c r="F3129" i="6"/>
  <c r="H3129" i="6" s="1"/>
  <c r="F3130" i="6"/>
  <c r="H3130" i="6" s="1"/>
  <c r="F3131" i="6"/>
  <c r="H3131" i="6" s="1"/>
  <c r="F3132" i="6"/>
  <c r="H3132" i="6" s="1"/>
  <c r="F3133" i="6"/>
  <c r="H3133" i="6" s="1"/>
  <c r="F3134" i="6"/>
  <c r="H3134" i="6" s="1"/>
  <c r="F3135" i="6"/>
  <c r="H3135" i="6" s="1"/>
  <c r="F3136" i="6"/>
  <c r="H3136" i="6" s="1"/>
  <c r="F3137" i="6"/>
  <c r="H3137" i="6" s="1"/>
  <c r="F3138" i="6"/>
  <c r="H3138" i="6" s="1"/>
  <c r="F3139" i="6"/>
  <c r="H3139" i="6" s="1"/>
  <c r="F3140" i="6"/>
  <c r="H3140" i="6" s="1"/>
  <c r="F3141" i="6"/>
  <c r="H3141" i="6" s="1"/>
  <c r="F3142" i="6"/>
  <c r="H3142" i="6" s="1"/>
  <c r="F3143" i="6"/>
  <c r="H3143" i="6" s="1"/>
  <c r="F3144" i="6"/>
  <c r="H3144" i="6" s="1"/>
  <c r="F3145" i="6"/>
  <c r="H3145" i="6" s="1"/>
  <c r="F3146" i="6"/>
  <c r="H3146" i="6" s="1"/>
  <c r="F3147" i="6"/>
  <c r="H3147" i="6" s="1"/>
  <c r="F3148" i="6"/>
  <c r="H3148" i="6" s="1"/>
  <c r="F3149" i="6"/>
  <c r="H3149" i="6" s="1"/>
  <c r="F3150" i="6"/>
  <c r="H3150" i="6" s="1"/>
  <c r="F3151" i="6"/>
  <c r="H3151" i="6" s="1"/>
  <c r="F3152" i="6"/>
  <c r="H3152" i="6" s="1"/>
  <c r="F3153" i="6"/>
  <c r="H3153" i="6" s="1"/>
  <c r="F3154" i="6"/>
  <c r="H3154" i="6" s="1"/>
  <c r="F3155" i="6"/>
  <c r="H3155" i="6" s="1"/>
  <c r="F3156" i="6"/>
  <c r="H3156" i="6" s="1"/>
  <c r="F3157" i="6"/>
  <c r="H3157" i="6" s="1"/>
  <c r="F3158" i="6"/>
  <c r="H3158" i="6" s="1"/>
  <c r="F3159" i="6"/>
  <c r="H3159" i="6" s="1"/>
  <c r="F3160" i="6"/>
  <c r="H3160" i="6" s="1"/>
  <c r="F3161" i="6"/>
  <c r="H3161" i="6" s="1"/>
  <c r="F3162" i="6"/>
  <c r="H3162" i="6" s="1"/>
  <c r="F3163" i="6"/>
  <c r="H3163" i="6" s="1"/>
  <c r="F3164" i="6"/>
  <c r="H3164" i="6" s="1"/>
  <c r="F3165" i="6"/>
  <c r="H3165" i="6" s="1"/>
  <c r="F3166" i="6"/>
  <c r="H3166" i="6" s="1"/>
  <c r="F3167" i="6"/>
  <c r="H3167" i="6" s="1"/>
  <c r="F3168" i="6"/>
  <c r="H3168" i="6" s="1"/>
  <c r="F3169" i="6"/>
  <c r="H3169" i="6" s="1"/>
  <c r="F3170" i="6"/>
  <c r="H3170" i="6" s="1"/>
  <c r="F3171" i="6"/>
  <c r="H3171" i="6" s="1"/>
  <c r="F3172" i="6"/>
  <c r="H3172" i="6" s="1"/>
  <c r="F3173" i="6"/>
  <c r="H3173" i="6" s="1"/>
  <c r="F3174" i="6"/>
  <c r="H3174" i="6" s="1"/>
  <c r="F3175" i="6"/>
  <c r="H3175" i="6" s="1"/>
  <c r="F3176" i="6"/>
  <c r="H3176" i="6" s="1"/>
  <c r="F3177" i="6"/>
  <c r="H3177" i="6" s="1"/>
  <c r="F3178" i="6"/>
  <c r="H3178" i="6" s="1"/>
  <c r="F3179" i="6"/>
  <c r="H3179" i="6" s="1"/>
  <c r="F3180" i="6"/>
  <c r="H3180" i="6" s="1"/>
  <c r="F3181" i="6"/>
  <c r="H3181" i="6" s="1"/>
  <c r="F3182" i="6"/>
  <c r="H3182" i="6" s="1"/>
  <c r="F3183" i="6"/>
  <c r="H3183" i="6" s="1"/>
  <c r="F3184" i="6"/>
  <c r="H3184" i="6" s="1"/>
  <c r="F3185" i="6"/>
  <c r="H3185" i="6" s="1"/>
  <c r="F3186" i="6"/>
  <c r="H3186" i="6" s="1"/>
  <c r="F3187" i="6"/>
  <c r="H3187" i="6" s="1"/>
  <c r="F3188" i="6"/>
  <c r="H3188" i="6" s="1"/>
  <c r="F3189" i="6"/>
  <c r="H3189" i="6" s="1"/>
  <c r="F3190" i="6"/>
  <c r="H3190" i="6" s="1"/>
  <c r="F3191" i="6"/>
  <c r="H3191" i="6" s="1"/>
  <c r="F3192" i="6"/>
  <c r="H3192" i="6" s="1"/>
  <c r="F3193" i="6"/>
  <c r="H3193" i="6" s="1"/>
  <c r="F3194" i="6"/>
  <c r="H3194" i="6" s="1"/>
  <c r="F3195" i="6"/>
  <c r="H3195" i="6" s="1"/>
  <c r="F3196" i="6"/>
  <c r="H3196" i="6" s="1"/>
  <c r="F3197" i="6"/>
  <c r="H3197" i="6" s="1"/>
  <c r="F3198" i="6"/>
  <c r="H3198" i="6" s="1"/>
  <c r="F3199" i="6"/>
  <c r="H3199" i="6" s="1"/>
  <c r="F3200" i="6"/>
  <c r="H3200" i="6" s="1"/>
  <c r="F3201" i="6"/>
  <c r="H3201" i="6" s="1"/>
  <c r="F3202" i="6"/>
  <c r="H3202" i="6" s="1"/>
  <c r="F3203" i="6"/>
  <c r="H3203" i="6" s="1"/>
  <c r="F3204" i="6"/>
  <c r="H3204" i="6" s="1"/>
  <c r="F3205" i="6"/>
  <c r="H3205" i="6" s="1"/>
  <c r="F3206" i="6"/>
  <c r="H3206" i="6" s="1"/>
  <c r="F3207" i="6"/>
  <c r="H3207" i="6" s="1"/>
  <c r="F3208" i="6"/>
  <c r="H3208" i="6" s="1"/>
  <c r="F3209" i="6"/>
  <c r="H3209" i="6" s="1"/>
  <c r="F3210" i="6"/>
  <c r="H3210" i="6" s="1"/>
  <c r="F3211" i="6"/>
  <c r="H3211" i="6" s="1"/>
  <c r="F3212" i="6"/>
  <c r="H3212" i="6" s="1"/>
  <c r="F3213" i="6"/>
  <c r="H3213" i="6" s="1"/>
  <c r="F3214" i="6"/>
  <c r="H3214" i="6" s="1"/>
  <c r="F3215" i="6"/>
  <c r="H3215" i="6" s="1"/>
  <c r="F3216" i="6"/>
  <c r="H3216" i="6" s="1"/>
  <c r="F3217" i="6"/>
  <c r="H3217" i="6" s="1"/>
  <c r="F3218" i="6"/>
  <c r="H3218" i="6" s="1"/>
  <c r="F3219" i="6"/>
  <c r="H3219" i="6" s="1"/>
  <c r="F3220" i="6"/>
  <c r="H3220" i="6" s="1"/>
  <c r="F3221" i="6"/>
  <c r="H3221" i="6" s="1"/>
  <c r="F3222" i="6"/>
  <c r="H3222" i="6" s="1"/>
  <c r="F3223" i="6"/>
  <c r="H3223" i="6" s="1"/>
  <c r="F3224" i="6"/>
  <c r="H3224" i="6" s="1"/>
  <c r="F3225" i="6"/>
  <c r="H3225" i="6" s="1"/>
  <c r="F3226" i="6"/>
  <c r="H3226" i="6" s="1"/>
  <c r="F3227" i="6"/>
  <c r="H3227" i="6" s="1"/>
  <c r="F3228" i="6"/>
  <c r="H3228" i="6" s="1"/>
  <c r="F3229" i="6"/>
  <c r="H3229" i="6" s="1"/>
  <c r="F3230" i="6"/>
  <c r="H3230" i="6" s="1"/>
  <c r="F3231" i="6"/>
  <c r="H3231" i="6" s="1"/>
  <c r="F3232" i="6"/>
  <c r="H3232" i="6" s="1"/>
  <c r="F3233" i="6"/>
  <c r="H3233" i="6" s="1"/>
  <c r="F3234" i="6"/>
  <c r="H3234" i="6" s="1"/>
  <c r="F3235" i="6"/>
  <c r="H3235" i="6" s="1"/>
  <c r="F3236" i="6"/>
  <c r="H3236" i="6" s="1"/>
  <c r="F3237" i="6"/>
  <c r="H3237" i="6" s="1"/>
  <c r="F3238" i="6"/>
  <c r="H3238" i="6" s="1"/>
  <c r="F3239" i="6"/>
  <c r="H3239" i="6" s="1"/>
  <c r="F3240" i="6"/>
  <c r="H3240" i="6" s="1"/>
  <c r="F3241" i="6"/>
  <c r="H3241" i="6" s="1"/>
  <c r="F3242" i="6"/>
  <c r="H3242" i="6" s="1"/>
  <c r="F3243" i="6"/>
  <c r="H3243" i="6" s="1"/>
  <c r="F3244" i="6"/>
  <c r="H3244" i="6" s="1"/>
  <c r="F3245" i="6"/>
  <c r="H3245" i="6" s="1"/>
  <c r="F3246" i="6"/>
  <c r="H3246" i="6" s="1"/>
  <c r="F3247" i="6"/>
  <c r="H3247" i="6" s="1"/>
  <c r="F3248" i="6"/>
  <c r="H3248" i="6" s="1"/>
  <c r="F3249" i="6"/>
  <c r="H3249" i="6" s="1"/>
  <c r="F3250" i="6"/>
  <c r="H3250" i="6" s="1"/>
  <c r="F3251" i="6"/>
  <c r="H3251" i="6" s="1"/>
  <c r="F3252" i="6"/>
  <c r="H3252" i="6" s="1"/>
  <c r="F3253" i="6"/>
  <c r="H3253" i="6" s="1"/>
  <c r="F3254" i="6"/>
  <c r="H3254" i="6" s="1"/>
  <c r="F3255" i="6"/>
  <c r="H3255" i="6" s="1"/>
  <c r="F3256" i="6"/>
  <c r="H3256" i="6" s="1"/>
  <c r="F3257" i="6"/>
  <c r="H3257" i="6" s="1"/>
  <c r="F3258" i="6"/>
  <c r="H3258" i="6" s="1"/>
  <c r="F3259" i="6"/>
  <c r="H3259" i="6" s="1"/>
  <c r="F3260" i="6"/>
  <c r="H3260" i="6" s="1"/>
  <c r="F3261" i="6"/>
  <c r="H3261" i="6" s="1"/>
  <c r="F3262" i="6"/>
  <c r="H3262" i="6" s="1"/>
  <c r="F3263" i="6"/>
  <c r="H3263" i="6" s="1"/>
  <c r="F3264" i="6"/>
  <c r="H3264" i="6" s="1"/>
  <c r="F3265" i="6"/>
  <c r="H3265" i="6" s="1"/>
  <c r="F3266" i="6"/>
  <c r="H3266" i="6" s="1"/>
  <c r="F3267" i="6"/>
  <c r="H3267" i="6" s="1"/>
  <c r="F3268" i="6"/>
  <c r="H3268" i="6" s="1"/>
  <c r="F3269" i="6"/>
  <c r="H3269" i="6" s="1"/>
  <c r="F3270" i="6"/>
  <c r="H3270" i="6" s="1"/>
  <c r="F3271" i="6"/>
  <c r="H3271" i="6" s="1"/>
  <c r="F3272" i="6"/>
  <c r="H3272" i="6" s="1"/>
  <c r="F3273" i="6"/>
  <c r="H3273" i="6" s="1"/>
  <c r="F3274" i="6"/>
  <c r="H3274" i="6" s="1"/>
  <c r="F3275" i="6"/>
  <c r="H3275" i="6" s="1"/>
  <c r="F3276" i="6"/>
  <c r="H3276" i="6" s="1"/>
  <c r="F3277" i="6"/>
  <c r="H3277" i="6" s="1"/>
  <c r="F3278" i="6"/>
  <c r="H3278" i="6" s="1"/>
  <c r="F3279" i="6"/>
  <c r="H3279" i="6" s="1"/>
  <c r="F3280" i="6"/>
  <c r="H3280" i="6" s="1"/>
  <c r="F3281" i="6"/>
  <c r="H3281" i="6" s="1"/>
  <c r="F3282" i="6"/>
  <c r="H3282" i="6" s="1"/>
  <c r="F3283" i="6"/>
  <c r="H3283" i="6" s="1"/>
  <c r="F3284" i="6"/>
  <c r="H3284" i="6" s="1"/>
  <c r="F3285" i="6"/>
  <c r="H3285" i="6" s="1"/>
  <c r="F3286" i="6"/>
  <c r="H3286" i="6" s="1"/>
  <c r="F3287" i="6"/>
  <c r="H3287" i="6" s="1"/>
  <c r="F3288" i="6"/>
  <c r="H3288" i="6" s="1"/>
  <c r="F3289" i="6"/>
  <c r="H3289" i="6" s="1"/>
  <c r="F3290" i="6"/>
  <c r="H3290" i="6" s="1"/>
  <c r="F3291" i="6"/>
  <c r="H3291" i="6" s="1"/>
  <c r="F3292" i="6"/>
  <c r="H3292" i="6" s="1"/>
  <c r="F3293" i="6"/>
  <c r="H3293" i="6" s="1"/>
  <c r="F3294" i="6"/>
  <c r="H3294" i="6" s="1"/>
  <c r="F3295" i="6"/>
  <c r="H3295" i="6" s="1"/>
  <c r="F3296" i="6"/>
  <c r="H3296" i="6" s="1"/>
  <c r="F3297" i="6"/>
  <c r="H3297" i="6" s="1"/>
  <c r="F3298" i="6"/>
  <c r="H3298" i="6" s="1"/>
  <c r="F3299" i="6"/>
  <c r="H3299" i="6" s="1"/>
  <c r="F3300" i="6"/>
  <c r="H3300" i="6" s="1"/>
  <c r="F3301" i="6"/>
  <c r="H3301" i="6" s="1"/>
  <c r="F3302" i="6"/>
  <c r="H3302" i="6" s="1"/>
  <c r="F3303" i="6"/>
  <c r="H3303" i="6" s="1"/>
  <c r="F3304" i="6"/>
  <c r="H3304" i="6" s="1"/>
  <c r="F3305" i="6"/>
  <c r="H3305" i="6" s="1"/>
  <c r="F3306" i="6"/>
  <c r="H3306" i="6" s="1"/>
  <c r="F3307" i="6"/>
  <c r="H3307" i="6" s="1"/>
  <c r="F3308" i="6"/>
  <c r="H3308" i="6" s="1"/>
  <c r="F3309" i="6"/>
  <c r="H3309" i="6" s="1"/>
  <c r="F3310" i="6"/>
  <c r="H3310" i="6" s="1"/>
  <c r="F3311" i="6"/>
  <c r="H3311" i="6" s="1"/>
  <c r="F3312" i="6"/>
  <c r="H3312" i="6" s="1"/>
  <c r="F3313" i="6"/>
  <c r="H3313" i="6" s="1"/>
  <c r="F3314" i="6"/>
  <c r="H3314" i="6" s="1"/>
  <c r="F3315" i="6"/>
  <c r="H3315" i="6" s="1"/>
  <c r="F3316" i="6"/>
  <c r="H3316" i="6" s="1"/>
  <c r="F3317" i="6"/>
  <c r="H3317" i="6" s="1"/>
  <c r="F3318" i="6"/>
  <c r="H3318" i="6" s="1"/>
  <c r="F3319" i="6"/>
  <c r="H3319" i="6" s="1"/>
  <c r="F3320" i="6"/>
  <c r="H3320" i="6" s="1"/>
  <c r="F3321" i="6"/>
  <c r="H3321" i="6" s="1"/>
  <c r="F3322" i="6"/>
  <c r="H3322" i="6" s="1"/>
  <c r="F3323" i="6"/>
  <c r="H3323" i="6" s="1"/>
  <c r="F3324" i="6"/>
  <c r="H3324" i="6" s="1"/>
  <c r="F3325" i="6"/>
  <c r="H3325" i="6" s="1"/>
  <c r="F3326" i="6"/>
  <c r="H3326" i="6" s="1"/>
  <c r="F3327" i="6"/>
  <c r="H3327" i="6" s="1"/>
  <c r="F3328" i="6"/>
  <c r="H3328" i="6" s="1"/>
  <c r="F3329" i="6"/>
  <c r="H3329" i="6" s="1"/>
  <c r="F3330" i="6"/>
  <c r="H3330" i="6" s="1"/>
  <c r="F3331" i="6"/>
  <c r="H3331" i="6" s="1"/>
  <c r="F3332" i="6"/>
  <c r="H3332" i="6" s="1"/>
  <c r="F3333" i="6"/>
  <c r="H3333" i="6" s="1"/>
  <c r="F3334" i="6"/>
  <c r="H3334" i="6" s="1"/>
  <c r="F3335" i="6"/>
  <c r="H3335" i="6" s="1"/>
  <c r="F3336" i="6"/>
  <c r="H3336" i="6" s="1"/>
  <c r="F3337" i="6"/>
  <c r="H3337" i="6" s="1"/>
  <c r="F3338" i="6"/>
  <c r="H3338" i="6" s="1"/>
  <c r="F3339" i="6"/>
  <c r="H3339" i="6" s="1"/>
  <c r="F3340" i="6"/>
  <c r="H3340" i="6" s="1"/>
  <c r="F3341" i="6"/>
  <c r="H3341" i="6" s="1"/>
  <c r="F3342" i="6"/>
  <c r="H3342" i="6" s="1"/>
  <c r="F3343" i="6"/>
  <c r="H3343" i="6" s="1"/>
  <c r="F3344" i="6"/>
  <c r="H3344" i="6" s="1"/>
  <c r="F3345" i="6"/>
  <c r="H3345" i="6" s="1"/>
  <c r="F3346" i="6"/>
  <c r="H3346" i="6" s="1"/>
  <c r="F3347" i="6"/>
  <c r="H3347" i="6" s="1"/>
  <c r="F3348" i="6"/>
  <c r="H3348" i="6" s="1"/>
  <c r="F3349" i="6"/>
  <c r="H3349" i="6" s="1"/>
  <c r="F3350" i="6"/>
  <c r="H3350" i="6" s="1"/>
  <c r="F3351" i="6"/>
  <c r="H3351" i="6" s="1"/>
  <c r="F3352" i="6"/>
  <c r="H3352" i="6" s="1"/>
  <c r="F3353" i="6"/>
  <c r="H3353" i="6" s="1"/>
  <c r="F3354" i="6"/>
  <c r="H3354" i="6" s="1"/>
  <c r="F3355" i="6"/>
  <c r="H3355" i="6" s="1"/>
  <c r="F3356" i="6"/>
  <c r="H3356" i="6" s="1"/>
  <c r="F3357" i="6"/>
  <c r="H3357" i="6" s="1"/>
  <c r="F3358" i="6"/>
  <c r="H3358" i="6" s="1"/>
  <c r="F3359" i="6"/>
  <c r="H3359" i="6" s="1"/>
  <c r="F3360" i="6"/>
  <c r="H3360" i="6" s="1"/>
  <c r="F3361" i="6"/>
  <c r="H3361" i="6" s="1"/>
  <c r="F3362" i="6"/>
  <c r="H3362" i="6" s="1"/>
  <c r="F3363" i="6"/>
  <c r="H3363" i="6" s="1"/>
  <c r="F3364" i="6"/>
  <c r="H3364" i="6" s="1"/>
  <c r="F3365" i="6"/>
  <c r="H3365" i="6" s="1"/>
  <c r="F3366" i="6"/>
  <c r="H3366" i="6" s="1"/>
  <c r="F3367" i="6"/>
  <c r="H3367" i="6" s="1"/>
  <c r="F3368" i="6"/>
  <c r="H3368" i="6" s="1"/>
  <c r="F3369" i="6"/>
  <c r="H3369" i="6" s="1"/>
  <c r="F3370" i="6"/>
  <c r="H3370" i="6" s="1"/>
  <c r="F3371" i="6"/>
  <c r="H3371" i="6" s="1"/>
  <c r="F3372" i="6"/>
  <c r="H3372" i="6" s="1"/>
  <c r="F3373" i="6"/>
  <c r="H3373" i="6" s="1"/>
  <c r="F3374" i="6"/>
  <c r="H3374" i="6" s="1"/>
  <c r="F3375" i="6"/>
  <c r="H3375" i="6" s="1"/>
  <c r="F3376" i="6"/>
  <c r="H3376" i="6" s="1"/>
  <c r="F3377" i="6"/>
  <c r="H3377" i="6" s="1"/>
  <c r="F3378" i="6"/>
  <c r="H3378" i="6" s="1"/>
  <c r="F3379" i="6"/>
  <c r="H3379" i="6" s="1"/>
  <c r="F3380" i="6"/>
  <c r="H3380" i="6" s="1"/>
  <c r="F3381" i="6"/>
  <c r="H3381" i="6" s="1"/>
  <c r="F3382" i="6"/>
  <c r="H3382" i="6" s="1"/>
  <c r="F3383" i="6"/>
  <c r="H3383" i="6" s="1"/>
  <c r="F3384" i="6"/>
  <c r="H3384" i="6" s="1"/>
  <c r="F3385" i="6"/>
  <c r="H3385" i="6" s="1"/>
  <c r="F3386" i="6"/>
  <c r="H3386" i="6" s="1"/>
  <c r="F3387" i="6"/>
  <c r="H3387" i="6" s="1"/>
  <c r="F3388" i="6"/>
  <c r="H3388" i="6" s="1"/>
  <c r="F3389" i="6"/>
  <c r="H3389" i="6" s="1"/>
  <c r="F3390" i="6"/>
  <c r="H3390" i="6" s="1"/>
  <c r="F3391" i="6"/>
  <c r="H3391" i="6" s="1"/>
  <c r="F3392" i="6"/>
  <c r="H3392" i="6" s="1"/>
  <c r="F3393" i="6"/>
  <c r="H3393" i="6" s="1"/>
  <c r="F3394" i="6"/>
  <c r="H3394" i="6" s="1"/>
  <c r="F3395" i="6"/>
  <c r="H3395" i="6" s="1"/>
  <c r="F3396" i="6"/>
  <c r="H3396" i="6" s="1"/>
  <c r="F3397" i="6"/>
  <c r="H3397" i="6" s="1"/>
  <c r="F3398" i="6"/>
  <c r="H3398" i="6" s="1"/>
  <c r="F3399" i="6"/>
  <c r="H3399" i="6" s="1"/>
  <c r="F3400" i="6"/>
  <c r="H3400" i="6" s="1"/>
  <c r="F3401" i="6"/>
  <c r="H3401" i="6" s="1"/>
  <c r="F3402" i="6"/>
  <c r="H3402" i="6" s="1"/>
  <c r="F3403" i="6"/>
  <c r="H3403" i="6" s="1"/>
  <c r="F3404" i="6"/>
  <c r="H3404" i="6" s="1"/>
  <c r="F3405" i="6"/>
  <c r="H3405" i="6" s="1"/>
  <c r="F3406" i="6"/>
  <c r="H3406" i="6" s="1"/>
  <c r="F3407" i="6"/>
  <c r="H3407" i="6" s="1"/>
  <c r="F3408" i="6"/>
  <c r="H3408" i="6" s="1"/>
  <c r="F3409" i="6"/>
  <c r="H3409" i="6" s="1"/>
  <c r="F3410" i="6"/>
  <c r="H3410" i="6" s="1"/>
  <c r="F3411" i="6"/>
  <c r="H3411" i="6" s="1"/>
  <c r="F3412" i="6"/>
  <c r="H3412" i="6" s="1"/>
  <c r="F3413" i="6"/>
  <c r="H3413" i="6" s="1"/>
  <c r="F3414" i="6"/>
  <c r="H3414" i="6" s="1"/>
  <c r="F3415" i="6"/>
  <c r="H3415" i="6" s="1"/>
  <c r="F3416" i="6"/>
  <c r="H3416" i="6" s="1"/>
  <c r="F3417" i="6"/>
  <c r="H3417" i="6" s="1"/>
  <c r="F3418" i="6"/>
  <c r="H3418" i="6" s="1"/>
  <c r="F3419" i="6"/>
  <c r="H3419" i="6" s="1"/>
  <c r="F3420" i="6"/>
  <c r="H3420" i="6" s="1"/>
  <c r="F3421" i="6"/>
  <c r="H3421" i="6" s="1"/>
  <c r="F3422" i="6"/>
  <c r="H3422" i="6" s="1"/>
  <c r="F3423" i="6"/>
  <c r="H3423" i="6" s="1"/>
  <c r="F3424" i="6"/>
  <c r="H3424" i="6" s="1"/>
  <c r="F3425" i="6"/>
  <c r="H3425" i="6" s="1"/>
  <c r="F3426" i="6"/>
  <c r="H3426" i="6" s="1"/>
  <c r="F3427" i="6"/>
  <c r="H3427" i="6" s="1"/>
  <c r="F3428" i="6"/>
  <c r="H3428" i="6" s="1"/>
  <c r="F3429" i="6"/>
  <c r="H3429" i="6" s="1"/>
  <c r="F3430" i="6"/>
  <c r="H3430" i="6" s="1"/>
  <c r="F3431" i="6"/>
  <c r="H3431" i="6" s="1"/>
  <c r="F3432" i="6"/>
  <c r="H3432" i="6" s="1"/>
  <c r="F3433" i="6"/>
  <c r="H3433" i="6" s="1"/>
  <c r="F3434" i="6"/>
  <c r="H3434" i="6" s="1"/>
  <c r="F3435" i="6"/>
  <c r="H3435" i="6" s="1"/>
  <c r="F3436" i="6"/>
  <c r="H3436" i="6" s="1"/>
  <c r="F3437" i="6"/>
  <c r="H3437" i="6" s="1"/>
  <c r="F3438" i="6"/>
  <c r="H3438" i="6" s="1"/>
  <c r="F3439" i="6"/>
  <c r="H3439" i="6" s="1"/>
  <c r="F3440" i="6"/>
  <c r="H3440" i="6" s="1"/>
  <c r="F3441" i="6"/>
  <c r="H3441" i="6" s="1"/>
  <c r="F3442" i="6"/>
  <c r="H3442" i="6" s="1"/>
  <c r="F3443" i="6"/>
  <c r="H3443" i="6" s="1"/>
  <c r="F3444" i="6"/>
  <c r="H3444" i="6" s="1"/>
  <c r="F3445" i="6"/>
  <c r="H3445" i="6" s="1"/>
  <c r="F3446" i="6"/>
  <c r="H3446" i="6" s="1"/>
  <c r="F3447" i="6"/>
  <c r="H3447" i="6" s="1"/>
  <c r="F3448" i="6"/>
  <c r="H3448" i="6" s="1"/>
  <c r="F3449" i="6"/>
  <c r="H3449" i="6" s="1"/>
  <c r="F3450" i="6"/>
  <c r="H3450" i="6" s="1"/>
  <c r="F3451" i="6"/>
  <c r="H3451" i="6" s="1"/>
  <c r="F3452" i="6"/>
  <c r="H3452" i="6" s="1"/>
  <c r="F3453" i="6"/>
  <c r="H3453" i="6" s="1"/>
  <c r="F3454" i="6"/>
  <c r="H3454" i="6" s="1"/>
  <c r="F3455" i="6"/>
  <c r="H3455" i="6" s="1"/>
  <c r="F3456" i="6"/>
  <c r="H3456" i="6" s="1"/>
  <c r="F3457" i="6"/>
  <c r="H3457" i="6" s="1"/>
  <c r="F3458" i="6"/>
  <c r="H3458" i="6" s="1"/>
  <c r="F3459" i="6"/>
  <c r="H3459" i="6" s="1"/>
  <c r="F3460" i="6"/>
  <c r="H3460" i="6" s="1"/>
  <c r="F3461" i="6"/>
  <c r="H3461" i="6" s="1"/>
  <c r="F3462" i="6"/>
  <c r="H3462" i="6" s="1"/>
  <c r="F3463" i="6"/>
  <c r="H3463" i="6" s="1"/>
  <c r="F3464" i="6"/>
  <c r="H3464" i="6" s="1"/>
  <c r="F3465" i="6"/>
  <c r="H3465" i="6" s="1"/>
  <c r="F3466" i="6"/>
  <c r="H3466" i="6" s="1"/>
  <c r="F3467" i="6"/>
  <c r="H3467" i="6" s="1"/>
  <c r="F3468" i="6"/>
  <c r="H3468" i="6" s="1"/>
  <c r="F3469" i="6"/>
  <c r="H3469" i="6" s="1"/>
  <c r="F3470" i="6"/>
  <c r="H3470" i="6" s="1"/>
  <c r="F3471" i="6"/>
  <c r="H3471" i="6" s="1"/>
  <c r="F3472" i="6"/>
  <c r="H3472" i="6" s="1"/>
  <c r="F3473" i="6"/>
  <c r="H3473" i="6" s="1"/>
  <c r="F3474" i="6"/>
  <c r="H3474" i="6" s="1"/>
  <c r="F3475" i="6"/>
  <c r="H3475" i="6" s="1"/>
  <c r="F3476" i="6"/>
  <c r="H3476" i="6" s="1"/>
  <c r="F3477" i="6"/>
  <c r="H3477" i="6" s="1"/>
  <c r="F3478" i="6"/>
  <c r="H3478" i="6" s="1"/>
  <c r="F3479" i="6"/>
  <c r="H3479" i="6" s="1"/>
  <c r="F3480" i="6"/>
  <c r="H3480" i="6" s="1"/>
  <c r="F3481" i="6"/>
  <c r="H3481" i="6" s="1"/>
  <c r="F3482" i="6"/>
  <c r="H3482" i="6" s="1"/>
  <c r="F3483" i="6"/>
  <c r="H3483" i="6" s="1"/>
  <c r="F3484" i="6"/>
  <c r="H3484" i="6" s="1"/>
  <c r="F3485" i="6"/>
  <c r="H3485" i="6" s="1"/>
  <c r="F3486" i="6"/>
  <c r="H3486" i="6" s="1"/>
  <c r="F3487" i="6"/>
  <c r="H3487" i="6" s="1"/>
  <c r="F3488" i="6"/>
  <c r="H3488" i="6" s="1"/>
  <c r="F3489" i="6"/>
  <c r="H3489" i="6" s="1"/>
  <c r="F3490" i="6"/>
  <c r="H3490" i="6" s="1"/>
  <c r="F3491" i="6"/>
  <c r="H3491" i="6" s="1"/>
  <c r="F3492" i="6"/>
  <c r="H3492" i="6" s="1"/>
  <c r="F3493" i="6"/>
  <c r="H3493" i="6" s="1"/>
  <c r="F3494" i="6"/>
  <c r="H3494" i="6" s="1"/>
  <c r="F3495" i="6"/>
  <c r="H3495" i="6" s="1"/>
  <c r="F3496" i="6"/>
  <c r="H3496" i="6" s="1"/>
  <c r="F3497" i="6"/>
  <c r="H3497" i="6" s="1"/>
  <c r="F3498" i="6"/>
  <c r="H3498" i="6" s="1"/>
  <c r="F3499" i="6"/>
  <c r="H3499" i="6" s="1"/>
  <c r="F3500" i="6"/>
  <c r="H3500" i="6" s="1"/>
  <c r="F3501" i="6"/>
  <c r="H3501" i="6" s="1"/>
  <c r="F3502" i="6"/>
  <c r="H3502" i="6" s="1"/>
  <c r="F3503" i="6"/>
  <c r="H3503" i="6" s="1"/>
  <c r="F3504" i="6"/>
  <c r="H3504" i="6" s="1"/>
  <c r="F3505" i="6"/>
  <c r="H3505" i="6" s="1"/>
  <c r="F3506" i="6"/>
  <c r="H3506" i="6" s="1"/>
  <c r="F3507" i="6"/>
  <c r="H3507" i="6" s="1"/>
  <c r="F3508" i="6"/>
  <c r="H3508" i="6" s="1"/>
  <c r="F3509" i="6"/>
  <c r="H3509" i="6" s="1"/>
  <c r="F3510" i="6"/>
  <c r="H3510" i="6" s="1"/>
  <c r="F3511" i="6"/>
  <c r="H3511" i="6" s="1"/>
  <c r="F3512" i="6"/>
  <c r="H3512" i="6" s="1"/>
  <c r="F3513" i="6"/>
  <c r="H3513" i="6" s="1"/>
  <c r="F3514" i="6"/>
  <c r="H3514" i="6" s="1"/>
  <c r="F3515" i="6"/>
  <c r="H3515" i="6" s="1"/>
  <c r="F3516" i="6"/>
  <c r="H3516" i="6" s="1"/>
  <c r="F3517" i="6"/>
  <c r="H3517" i="6" s="1"/>
  <c r="F3518" i="6"/>
  <c r="H3518" i="6" s="1"/>
  <c r="F3519" i="6"/>
  <c r="H3519" i="6" s="1"/>
  <c r="F3520" i="6"/>
  <c r="H3520" i="6" s="1"/>
  <c r="F3521" i="6"/>
  <c r="H3521" i="6" s="1"/>
  <c r="F3522" i="6"/>
  <c r="H3522" i="6" s="1"/>
  <c r="F3523" i="6"/>
  <c r="H3523" i="6" s="1"/>
  <c r="F3524" i="6"/>
  <c r="H3524" i="6" s="1"/>
  <c r="F3525" i="6"/>
  <c r="H3525" i="6" s="1"/>
  <c r="F3526" i="6"/>
  <c r="H3526" i="6" s="1"/>
  <c r="F3527" i="6"/>
  <c r="H3527" i="6" s="1"/>
  <c r="F3528" i="6"/>
  <c r="H3528" i="6" s="1"/>
  <c r="F3529" i="6"/>
  <c r="H3529" i="6" s="1"/>
  <c r="F3530" i="6"/>
  <c r="H3530" i="6" s="1"/>
  <c r="F3531" i="6"/>
  <c r="H3531" i="6" s="1"/>
  <c r="F3532" i="6"/>
  <c r="H3532" i="6" s="1"/>
  <c r="F3533" i="6"/>
  <c r="H3533" i="6" s="1"/>
  <c r="F3534" i="6"/>
  <c r="H3534" i="6" s="1"/>
  <c r="F3535" i="6"/>
  <c r="H3535" i="6" s="1"/>
  <c r="F3536" i="6"/>
  <c r="H3536" i="6" s="1"/>
  <c r="F3537" i="6"/>
  <c r="H3537" i="6" s="1"/>
  <c r="F3538" i="6"/>
  <c r="H3538" i="6" s="1"/>
  <c r="F3539" i="6"/>
  <c r="H3539" i="6" s="1"/>
  <c r="F3540" i="6"/>
  <c r="H3540" i="6" s="1"/>
  <c r="F3541" i="6"/>
  <c r="H3541" i="6" s="1"/>
  <c r="F3542" i="6"/>
  <c r="H3542" i="6" s="1"/>
  <c r="F3543" i="6"/>
  <c r="H3543" i="6" s="1"/>
  <c r="F3544" i="6"/>
  <c r="H3544" i="6" s="1"/>
  <c r="F3545" i="6"/>
  <c r="H3545" i="6" s="1"/>
  <c r="F3546" i="6"/>
  <c r="H3546" i="6" s="1"/>
  <c r="F3547" i="6"/>
  <c r="H3547" i="6" s="1"/>
  <c r="F3548" i="6"/>
  <c r="H3548" i="6" s="1"/>
  <c r="F3549" i="6"/>
  <c r="H3549" i="6" s="1"/>
  <c r="F3550" i="6"/>
  <c r="H3550" i="6" s="1"/>
  <c r="F3551" i="6"/>
  <c r="H3551" i="6" s="1"/>
  <c r="F3552" i="6"/>
  <c r="H3552" i="6" s="1"/>
  <c r="F3553" i="6"/>
  <c r="H3553" i="6" s="1"/>
  <c r="F3554" i="6"/>
  <c r="H3554" i="6" s="1"/>
  <c r="F3555" i="6"/>
  <c r="H3555" i="6" s="1"/>
  <c r="F3556" i="6"/>
  <c r="H3556" i="6" s="1"/>
  <c r="F3557" i="6"/>
  <c r="H3557" i="6" s="1"/>
  <c r="F3558" i="6"/>
  <c r="H3558" i="6" s="1"/>
  <c r="F3559" i="6"/>
  <c r="H3559" i="6" s="1"/>
  <c r="F3560" i="6"/>
  <c r="H3560" i="6" s="1"/>
  <c r="F3561" i="6"/>
  <c r="H3561" i="6" s="1"/>
  <c r="F3562" i="6"/>
  <c r="H3562" i="6" s="1"/>
  <c r="F3563" i="6"/>
  <c r="H3563" i="6" s="1"/>
  <c r="F3564" i="6"/>
  <c r="H3564" i="6" s="1"/>
  <c r="F3565" i="6"/>
  <c r="H3565" i="6" s="1"/>
  <c r="F3566" i="6"/>
  <c r="H3566" i="6" s="1"/>
  <c r="F3567" i="6"/>
  <c r="H3567" i="6" s="1"/>
  <c r="F3568" i="6"/>
  <c r="H3568" i="6" s="1"/>
  <c r="F3569" i="6"/>
  <c r="H3569" i="6" s="1"/>
  <c r="F3570" i="6"/>
  <c r="H3570" i="6" s="1"/>
  <c r="F3571" i="6"/>
  <c r="H3571" i="6" s="1"/>
  <c r="F3572" i="6"/>
  <c r="H3572" i="6" s="1"/>
  <c r="F3573" i="6"/>
  <c r="H3573" i="6" s="1"/>
  <c r="F3574" i="6"/>
  <c r="H3574" i="6" s="1"/>
  <c r="F3575" i="6"/>
  <c r="H3575" i="6" s="1"/>
  <c r="F3576" i="6"/>
  <c r="H3576" i="6" s="1"/>
  <c r="F3577" i="6"/>
  <c r="H3577" i="6" s="1"/>
  <c r="F3578" i="6"/>
  <c r="H3578" i="6" s="1"/>
  <c r="F3579" i="6"/>
  <c r="H3579" i="6" s="1"/>
  <c r="F3580" i="6"/>
  <c r="H3580" i="6" s="1"/>
  <c r="F3581" i="6"/>
  <c r="H3581" i="6" s="1"/>
  <c r="F3582" i="6"/>
  <c r="H3582" i="6" s="1"/>
  <c r="F3583" i="6"/>
  <c r="H3583" i="6" s="1"/>
  <c r="F3584" i="6"/>
  <c r="H3584" i="6" s="1"/>
  <c r="F3585" i="6"/>
  <c r="H3585" i="6" s="1"/>
  <c r="F3586" i="6"/>
  <c r="H3586" i="6" s="1"/>
  <c r="F3587" i="6"/>
  <c r="H3587" i="6" s="1"/>
  <c r="F3588" i="6"/>
  <c r="H3588" i="6" s="1"/>
  <c r="F3589" i="6"/>
  <c r="H3589" i="6" s="1"/>
  <c r="F3590" i="6"/>
  <c r="H3590" i="6" s="1"/>
  <c r="F3591" i="6"/>
  <c r="H3591" i="6" s="1"/>
  <c r="F3592" i="6"/>
  <c r="H3592" i="6" s="1"/>
  <c r="F3593" i="6"/>
  <c r="H3593" i="6" s="1"/>
  <c r="F3594" i="6"/>
  <c r="H3594" i="6" s="1"/>
  <c r="F3595" i="6"/>
  <c r="H3595" i="6" s="1"/>
  <c r="F3596" i="6"/>
  <c r="H3596" i="6" s="1"/>
  <c r="F3597" i="6"/>
  <c r="H3597" i="6" s="1"/>
  <c r="F3598" i="6"/>
  <c r="H3598" i="6" s="1"/>
  <c r="F3599" i="6"/>
  <c r="H3599" i="6" s="1"/>
  <c r="F3600" i="6"/>
  <c r="H3600" i="6" s="1"/>
  <c r="F3601" i="6"/>
  <c r="H3601" i="6" s="1"/>
  <c r="F3602" i="6"/>
  <c r="H3602" i="6" s="1"/>
  <c r="F3603" i="6"/>
  <c r="H3603" i="6" s="1"/>
  <c r="F3604" i="6"/>
  <c r="H3604" i="6" s="1"/>
  <c r="F3605" i="6"/>
  <c r="H3605" i="6" s="1"/>
  <c r="F3606" i="6"/>
  <c r="H3606" i="6" s="1"/>
  <c r="F3607" i="6"/>
  <c r="H3607" i="6" s="1"/>
  <c r="F3608" i="6"/>
  <c r="H3608" i="6" s="1"/>
  <c r="F3609" i="6"/>
  <c r="H3609" i="6" s="1"/>
  <c r="F3610" i="6"/>
  <c r="H3610" i="6" s="1"/>
  <c r="F3611" i="6"/>
  <c r="H3611" i="6" s="1"/>
  <c r="F3612" i="6"/>
  <c r="H3612" i="6" s="1"/>
  <c r="F3613" i="6"/>
  <c r="H3613" i="6" s="1"/>
  <c r="F3614" i="6"/>
  <c r="H3614" i="6" s="1"/>
  <c r="F3615" i="6"/>
  <c r="H3615" i="6" s="1"/>
  <c r="F3616" i="6"/>
  <c r="H3616" i="6" s="1"/>
  <c r="F3617" i="6"/>
  <c r="H3617" i="6" s="1"/>
  <c r="F3618" i="6"/>
  <c r="H3618" i="6" s="1"/>
  <c r="F3619" i="6"/>
  <c r="H3619" i="6" s="1"/>
  <c r="F3620" i="6"/>
  <c r="H3620" i="6" s="1"/>
  <c r="F3621" i="6"/>
  <c r="H3621" i="6" s="1"/>
  <c r="F3622" i="6"/>
  <c r="H3622" i="6" s="1"/>
  <c r="F3623" i="6"/>
  <c r="H3623" i="6" s="1"/>
  <c r="F3624" i="6"/>
  <c r="H3624" i="6" s="1"/>
  <c r="F3625" i="6"/>
  <c r="H3625" i="6" s="1"/>
  <c r="F3626" i="6"/>
  <c r="H3626" i="6" s="1"/>
  <c r="F3627" i="6"/>
  <c r="H3627" i="6" s="1"/>
  <c r="F3628" i="6"/>
  <c r="H3628" i="6" s="1"/>
  <c r="F3629" i="6"/>
  <c r="H3629" i="6" s="1"/>
  <c r="F3630" i="6"/>
  <c r="H3630" i="6" s="1"/>
  <c r="F3631" i="6"/>
  <c r="H3631" i="6" s="1"/>
  <c r="F3632" i="6"/>
  <c r="H3632" i="6" s="1"/>
  <c r="F3633" i="6"/>
  <c r="H3633" i="6" s="1"/>
  <c r="F3634" i="6"/>
  <c r="H3634" i="6" s="1"/>
  <c r="F3635" i="6"/>
  <c r="H3635" i="6" s="1"/>
  <c r="F3636" i="6"/>
  <c r="H3636" i="6" s="1"/>
  <c r="F3637" i="6"/>
  <c r="H3637" i="6" s="1"/>
  <c r="F3638" i="6"/>
  <c r="H3638" i="6" s="1"/>
  <c r="F3639" i="6"/>
  <c r="H3639" i="6" s="1"/>
  <c r="F3640" i="6"/>
  <c r="H3640" i="6" s="1"/>
  <c r="F3641" i="6"/>
  <c r="H3641" i="6" s="1"/>
  <c r="F3642" i="6"/>
  <c r="H3642" i="6" s="1"/>
  <c r="F3643" i="6"/>
  <c r="H3643" i="6" s="1"/>
  <c r="F3644" i="6"/>
  <c r="H3644" i="6" s="1"/>
  <c r="F3645" i="6"/>
  <c r="H3645" i="6" s="1"/>
  <c r="F3646" i="6"/>
  <c r="H3646" i="6" s="1"/>
  <c r="F3647" i="6"/>
  <c r="H3647" i="6" s="1"/>
  <c r="F3648" i="6"/>
  <c r="H3648" i="6" s="1"/>
  <c r="F3649" i="6"/>
  <c r="H3649" i="6" s="1"/>
  <c r="F3650" i="6"/>
  <c r="H3650" i="6" s="1"/>
  <c r="F3651" i="6"/>
  <c r="H3651" i="6" s="1"/>
  <c r="F3652" i="6"/>
  <c r="H3652" i="6" s="1"/>
  <c r="F3653" i="6"/>
  <c r="H3653" i="6" s="1"/>
  <c r="F3654" i="6"/>
  <c r="H3654" i="6" s="1"/>
  <c r="F3655" i="6"/>
  <c r="H3655" i="6" s="1"/>
  <c r="F3656" i="6"/>
  <c r="H3656" i="6" s="1"/>
  <c r="F3657" i="6"/>
  <c r="H3657" i="6" s="1"/>
  <c r="F3658" i="6"/>
  <c r="H3658" i="6" s="1"/>
  <c r="F3659" i="6"/>
  <c r="H3659" i="6" s="1"/>
  <c r="F3660" i="6"/>
  <c r="H3660" i="6" s="1"/>
  <c r="F3661" i="6"/>
  <c r="H3661" i="6" s="1"/>
  <c r="F3662" i="6"/>
  <c r="H3662" i="6" s="1"/>
  <c r="F3663" i="6"/>
  <c r="H3663" i="6" s="1"/>
  <c r="F3664" i="6"/>
  <c r="H3664" i="6" s="1"/>
  <c r="F3665" i="6"/>
  <c r="H3665" i="6" s="1"/>
  <c r="F3666" i="6"/>
  <c r="H3666" i="6" s="1"/>
  <c r="F3667" i="6"/>
  <c r="H3667" i="6" s="1"/>
  <c r="F3668" i="6"/>
  <c r="H3668" i="6" s="1"/>
  <c r="F3669" i="6"/>
  <c r="H3669" i="6" s="1"/>
  <c r="F3670" i="6"/>
  <c r="H3670" i="6" s="1"/>
  <c r="F3671" i="6"/>
  <c r="H3671" i="6" s="1"/>
  <c r="F3672" i="6"/>
  <c r="H3672" i="6" s="1"/>
  <c r="F3673" i="6"/>
  <c r="H3673" i="6" s="1"/>
  <c r="F3674" i="6"/>
  <c r="H3674" i="6" s="1"/>
  <c r="F3675" i="6"/>
  <c r="H3675" i="6" s="1"/>
  <c r="F3676" i="6"/>
  <c r="H3676" i="6" s="1"/>
  <c r="F3677" i="6"/>
  <c r="H3677" i="6" s="1"/>
  <c r="F3678" i="6"/>
  <c r="H3678" i="6" s="1"/>
  <c r="F3679" i="6"/>
  <c r="H3679" i="6" s="1"/>
  <c r="F3680" i="6"/>
  <c r="H3680" i="6" s="1"/>
  <c r="F3681" i="6"/>
  <c r="H3681" i="6" s="1"/>
  <c r="F3682" i="6"/>
  <c r="H3682" i="6" s="1"/>
  <c r="F3683" i="6"/>
  <c r="H3683" i="6" s="1"/>
  <c r="F3684" i="6"/>
  <c r="H3684" i="6" s="1"/>
  <c r="F3685" i="6"/>
  <c r="H3685" i="6" s="1"/>
  <c r="F3686" i="6"/>
  <c r="H3686" i="6" s="1"/>
  <c r="F3687" i="6"/>
  <c r="H3687" i="6" s="1"/>
  <c r="F3688" i="6"/>
  <c r="H3688" i="6" s="1"/>
  <c r="F3689" i="6"/>
  <c r="H3689" i="6" s="1"/>
  <c r="F3690" i="6"/>
  <c r="H3690" i="6" s="1"/>
  <c r="F3691" i="6"/>
  <c r="H3691" i="6" s="1"/>
  <c r="F3692" i="6"/>
  <c r="H3692" i="6" s="1"/>
  <c r="F3693" i="6"/>
  <c r="H3693" i="6" s="1"/>
  <c r="F3694" i="6"/>
  <c r="H3694" i="6" s="1"/>
  <c r="F3695" i="6"/>
  <c r="H3695" i="6" s="1"/>
  <c r="F3696" i="6"/>
  <c r="H3696" i="6" s="1"/>
  <c r="F3697" i="6"/>
  <c r="H3697" i="6" s="1"/>
  <c r="F3698" i="6"/>
  <c r="H3698" i="6" s="1"/>
  <c r="F3699" i="6"/>
  <c r="H3699" i="6" s="1"/>
  <c r="F3700" i="6"/>
  <c r="H3700" i="6" s="1"/>
  <c r="F3701" i="6"/>
  <c r="H3701" i="6" s="1"/>
  <c r="F3702" i="6"/>
  <c r="H3702" i="6" s="1"/>
  <c r="F3703" i="6"/>
  <c r="H3703" i="6" s="1"/>
  <c r="F3704" i="6"/>
  <c r="H3704" i="6" s="1"/>
  <c r="F3705" i="6"/>
  <c r="H3705" i="6" s="1"/>
  <c r="F3706" i="6"/>
  <c r="H3706" i="6" s="1"/>
  <c r="F3707" i="6"/>
  <c r="H3707" i="6" s="1"/>
  <c r="F3708" i="6"/>
  <c r="H3708" i="6" s="1"/>
  <c r="F3709" i="6"/>
  <c r="H3709" i="6" s="1"/>
  <c r="F3710" i="6"/>
  <c r="H3710" i="6" s="1"/>
  <c r="F3711" i="6"/>
  <c r="H3711" i="6" s="1"/>
  <c r="F3712" i="6"/>
  <c r="H3712" i="6" s="1"/>
  <c r="F3713" i="6"/>
  <c r="H3713" i="6" s="1"/>
  <c r="F3714" i="6"/>
  <c r="H3714" i="6" s="1"/>
  <c r="F3715" i="6"/>
  <c r="H3715" i="6" s="1"/>
  <c r="F3716" i="6"/>
  <c r="H3716" i="6" s="1"/>
  <c r="F3717" i="6"/>
  <c r="H3717" i="6" s="1"/>
  <c r="F3718" i="6"/>
  <c r="H3718" i="6" s="1"/>
  <c r="F3719" i="6"/>
  <c r="H3719" i="6" s="1"/>
  <c r="F3720" i="6"/>
  <c r="H3720" i="6" s="1"/>
  <c r="F3721" i="6"/>
  <c r="H3721" i="6" s="1"/>
  <c r="F3722" i="6"/>
  <c r="H3722" i="6" s="1"/>
  <c r="F3723" i="6"/>
  <c r="H3723" i="6" s="1"/>
  <c r="F3724" i="6"/>
  <c r="H3724" i="6" s="1"/>
  <c r="F3725" i="6"/>
  <c r="H3725" i="6" s="1"/>
  <c r="F3726" i="6"/>
  <c r="H3726" i="6" s="1"/>
  <c r="F3727" i="6"/>
  <c r="H3727" i="6" s="1"/>
  <c r="F3728" i="6"/>
  <c r="H3728" i="6" s="1"/>
  <c r="F3729" i="6"/>
  <c r="H3729" i="6" s="1"/>
  <c r="F3730" i="6"/>
  <c r="H3730" i="6" s="1"/>
  <c r="F3731" i="6"/>
  <c r="H3731" i="6" s="1"/>
  <c r="F3732" i="6"/>
  <c r="H3732" i="6" s="1"/>
  <c r="F3733" i="6"/>
  <c r="H3733" i="6" s="1"/>
  <c r="F3734" i="6"/>
  <c r="H3734" i="6" s="1"/>
  <c r="F3735" i="6"/>
  <c r="H3735" i="6" s="1"/>
  <c r="F3736" i="6"/>
  <c r="H3736" i="6" s="1"/>
  <c r="F3737" i="6"/>
  <c r="H3737" i="6" s="1"/>
  <c r="F3738" i="6"/>
  <c r="H3738" i="6" s="1"/>
  <c r="F3739" i="6"/>
  <c r="H3739" i="6" s="1"/>
  <c r="F3740" i="6"/>
  <c r="H3740" i="6" s="1"/>
  <c r="F3741" i="6"/>
  <c r="H3741" i="6" s="1"/>
  <c r="F3742" i="6"/>
  <c r="H3742" i="6" s="1"/>
  <c r="F3743" i="6"/>
  <c r="H3743" i="6" s="1"/>
  <c r="F3744" i="6"/>
  <c r="H3744" i="6" s="1"/>
  <c r="F3745" i="6"/>
  <c r="H3745" i="6" s="1"/>
  <c r="F3746" i="6"/>
  <c r="H3746" i="6" s="1"/>
  <c r="F3747" i="6"/>
  <c r="H3747" i="6" s="1"/>
  <c r="F3748" i="6"/>
  <c r="H3748" i="6" s="1"/>
  <c r="F3749" i="6"/>
  <c r="H3749" i="6" s="1"/>
  <c r="F3750" i="6"/>
  <c r="H3750" i="6" s="1"/>
  <c r="F3751" i="6"/>
  <c r="H3751" i="6" s="1"/>
  <c r="F3752" i="6"/>
  <c r="H3752" i="6" s="1"/>
  <c r="F3753" i="6"/>
  <c r="H3753" i="6" s="1"/>
  <c r="F3754" i="6"/>
  <c r="H3754" i="6" s="1"/>
  <c r="F3755" i="6"/>
  <c r="H3755" i="6" s="1"/>
  <c r="F3756" i="6"/>
  <c r="H3756" i="6" s="1"/>
  <c r="F3757" i="6"/>
  <c r="H3757" i="6" s="1"/>
  <c r="F3758" i="6"/>
  <c r="H3758" i="6" s="1"/>
  <c r="F3759" i="6"/>
  <c r="H3759" i="6" s="1"/>
  <c r="F3760" i="6"/>
  <c r="H3760" i="6" s="1"/>
  <c r="F3761" i="6"/>
  <c r="H3761" i="6" s="1"/>
  <c r="F3762" i="6"/>
  <c r="H3762" i="6" s="1"/>
  <c r="F3763" i="6"/>
  <c r="H3763" i="6" s="1"/>
  <c r="F3764" i="6"/>
  <c r="H3764" i="6" s="1"/>
  <c r="F3765" i="6"/>
  <c r="H3765" i="6" s="1"/>
  <c r="F3766" i="6"/>
  <c r="H3766" i="6" s="1"/>
  <c r="F3767" i="6"/>
  <c r="H3767" i="6" s="1"/>
  <c r="F3768" i="6"/>
  <c r="H3768" i="6" s="1"/>
  <c r="F3769" i="6"/>
  <c r="H3769" i="6" s="1"/>
  <c r="F3770" i="6"/>
  <c r="H3770" i="6" s="1"/>
  <c r="F3771" i="6"/>
  <c r="H3771" i="6" s="1"/>
  <c r="F3772" i="6"/>
  <c r="H3772" i="6" s="1"/>
  <c r="F3773" i="6"/>
  <c r="H3773" i="6" s="1"/>
  <c r="F3774" i="6"/>
  <c r="H3774" i="6" s="1"/>
  <c r="F3775" i="6"/>
  <c r="H3775" i="6" s="1"/>
  <c r="F3776" i="6"/>
  <c r="H3776" i="6" s="1"/>
  <c r="F3777" i="6"/>
  <c r="H3777" i="6" s="1"/>
  <c r="F3778" i="6"/>
  <c r="H3778" i="6" s="1"/>
  <c r="F3779" i="6"/>
  <c r="H3779" i="6" s="1"/>
  <c r="F3780" i="6"/>
  <c r="H3780" i="6" s="1"/>
  <c r="F3781" i="6"/>
  <c r="H3781" i="6" s="1"/>
  <c r="F3782" i="6"/>
  <c r="H3782" i="6" s="1"/>
  <c r="F3783" i="6"/>
  <c r="H3783" i="6" s="1"/>
  <c r="F3784" i="6"/>
  <c r="H3784" i="6" s="1"/>
  <c r="F3785" i="6"/>
  <c r="H3785" i="6" s="1"/>
  <c r="F3786" i="6"/>
  <c r="H3786" i="6" s="1"/>
  <c r="F3787" i="6"/>
  <c r="H3787" i="6" s="1"/>
  <c r="F3788" i="6"/>
  <c r="H3788" i="6" s="1"/>
  <c r="F3789" i="6"/>
  <c r="H3789" i="6" s="1"/>
  <c r="F3790" i="6"/>
  <c r="H3790" i="6" s="1"/>
  <c r="F3791" i="6"/>
  <c r="H3791" i="6" s="1"/>
  <c r="F3792" i="6"/>
  <c r="H3792" i="6" s="1"/>
  <c r="F3793" i="6"/>
  <c r="H3793" i="6" s="1"/>
  <c r="F3794" i="6"/>
  <c r="H3794" i="6" s="1"/>
  <c r="F3795" i="6"/>
  <c r="H3795" i="6" s="1"/>
  <c r="F3796" i="6"/>
  <c r="H3796" i="6" s="1"/>
  <c r="F3797" i="6"/>
  <c r="H3797" i="6" s="1"/>
  <c r="F3798" i="6"/>
  <c r="H3798" i="6" s="1"/>
  <c r="F3799" i="6"/>
  <c r="H3799" i="6" s="1"/>
  <c r="F3800" i="6"/>
  <c r="H3800" i="6" s="1"/>
  <c r="F3801" i="6"/>
  <c r="H3801" i="6" s="1"/>
  <c r="F3802" i="6"/>
  <c r="H3802" i="6" s="1"/>
  <c r="F3803" i="6"/>
  <c r="H3803" i="6" s="1"/>
  <c r="F3804" i="6"/>
  <c r="H3804" i="6" s="1"/>
  <c r="F3805" i="6"/>
  <c r="H3805" i="6" s="1"/>
  <c r="F3806" i="6"/>
  <c r="H3806" i="6" s="1"/>
  <c r="F3807" i="6"/>
  <c r="H3807" i="6" s="1"/>
  <c r="F3808" i="6"/>
  <c r="H3808" i="6" s="1"/>
  <c r="F3809" i="6"/>
  <c r="H3809" i="6" s="1"/>
  <c r="F3810" i="6"/>
  <c r="H3810" i="6" s="1"/>
  <c r="F3811" i="6"/>
  <c r="H3811" i="6" s="1"/>
  <c r="F3812" i="6"/>
  <c r="H3812" i="6" s="1"/>
  <c r="F3813" i="6"/>
  <c r="H3813" i="6" s="1"/>
  <c r="F3814" i="6"/>
  <c r="H3814" i="6" s="1"/>
  <c r="F3815" i="6"/>
  <c r="H3815" i="6" s="1"/>
  <c r="F3816" i="6"/>
  <c r="H3816" i="6" s="1"/>
  <c r="F3817" i="6"/>
  <c r="H3817" i="6" s="1"/>
  <c r="F3818" i="6"/>
  <c r="H3818" i="6" s="1"/>
  <c r="F3819" i="6"/>
  <c r="H3819" i="6" s="1"/>
  <c r="F3820" i="6"/>
  <c r="H3820" i="6" s="1"/>
  <c r="F3821" i="6"/>
  <c r="H3821" i="6" s="1"/>
  <c r="F3822" i="6"/>
  <c r="H3822" i="6" s="1"/>
  <c r="F3823" i="6"/>
  <c r="H3823" i="6" s="1"/>
  <c r="F3824" i="6"/>
  <c r="H3824" i="6" s="1"/>
  <c r="F3825" i="6"/>
  <c r="H3825" i="6" s="1"/>
  <c r="F3826" i="6"/>
  <c r="H3826" i="6" s="1"/>
  <c r="F3827" i="6"/>
  <c r="H3827" i="6" s="1"/>
  <c r="F3828" i="6"/>
  <c r="H3828" i="6" s="1"/>
  <c r="F3829" i="6"/>
  <c r="H3829" i="6" s="1"/>
  <c r="F3830" i="6"/>
  <c r="H3830" i="6" s="1"/>
  <c r="F3831" i="6"/>
  <c r="H3831" i="6" s="1"/>
  <c r="F3832" i="6"/>
  <c r="H3832" i="6" s="1"/>
  <c r="F3833" i="6"/>
  <c r="H3833" i="6" s="1"/>
  <c r="F3834" i="6"/>
  <c r="H3834" i="6" s="1"/>
  <c r="F3835" i="6"/>
  <c r="H3835" i="6" s="1"/>
  <c r="F3836" i="6"/>
  <c r="H3836" i="6" s="1"/>
  <c r="F3837" i="6"/>
  <c r="H3837" i="6" s="1"/>
  <c r="F3838" i="6"/>
  <c r="H3838" i="6" s="1"/>
  <c r="F3839" i="6"/>
  <c r="H3839" i="6" s="1"/>
  <c r="F3840" i="6"/>
  <c r="H3840" i="6" s="1"/>
  <c r="F3841" i="6"/>
  <c r="H3841" i="6" s="1"/>
  <c r="F3842" i="6"/>
  <c r="H3842" i="6" s="1"/>
  <c r="F3843" i="6"/>
  <c r="H3843" i="6" s="1"/>
  <c r="F3844" i="6"/>
  <c r="H3844" i="6" s="1"/>
  <c r="F3845" i="6"/>
  <c r="H3845" i="6" s="1"/>
  <c r="F3846" i="6"/>
  <c r="H3846" i="6" s="1"/>
  <c r="F3847" i="6"/>
  <c r="H3847" i="6" s="1"/>
  <c r="F3848" i="6"/>
  <c r="H3848" i="6" s="1"/>
  <c r="F3849" i="6"/>
  <c r="H3849" i="6" s="1"/>
  <c r="F3850" i="6"/>
  <c r="H3850" i="6" s="1"/>
  <c r="F3851" i="6"/>
  <c r="H3851" i="6" s="1"/>
  <c r="F3852" i="6"/>
  <c r="H3852" i="6" s="1"/>
  <c r="F3853" i="6"/>
  <c r="H3853" i="6" s="1"/>
  <c r="F3854" i="6"/>
  <c r="H3854" i="6" s="1"/>
  <c r="F3855" i="6"/>
  <c r="H3855" i="6" s="1"/>
  <c r="F3856" i="6"/>
  <c r="H3856" i="6" s="1"/>
  <c r="F3857" i="6"/>
  <c r="H3857" i="6" s="1"/>
  <c r="F3858" i="6"/>
  <c r="H3858" i="6" s="1"/>
  <c r="F3859" i="6"/>
  <c r="H3859" i="6" s="1"/>
  <c r="F3860" i="6"/>
  <c r="H3860" i="6" s="1"/>
  <c r="F3861" i="6"/>
  <c r="H3861" i="6" s="1"/>
  <c r="F3862" i="6"/>
  <c r="H3862" i="6" s="1"/>
  <c r="F3863" i="6"/>
  <c r="H3863" i="6" s="1"/>
  <c r="F3864" i="6"/>
  <c r="H3864" i="6" s="1"/>
  <c r="F3865" i="6"/>
  <c r="H3865" i="6" s="1"/>
  <c r="F3866" i="6"/>
  <c r="H3866" i="6" s="1"/>
  <c r="F3867" i="6"/>
  <c r="H3867" i="6" s="1"/>
  <c r="F3868" i="6"/>
  <c r="H3868" i="6" s="1"/>
  <c r="F3869" i="6"/>
  <c r="H3869" i="6" s="1"/>
  <c r="F3870" i="6"/>
  <c r="H3870" i="6" s="1"/>
  <c r="F3871" i="6"/>
  <c r="H3871" i="6" s="1"/>
  <c r="F3872" i="6"/>
  <c r="H3872" i="6" s="1"/>
  <c r="F3873" i="6"/>
  <c r="H3873" i="6" s="1"/>
  <c r="F3874" i="6"/>
  <c r="H3874" i="6" s="1"/>
  <c r="F3875" i="6"/>
  <c r="H3875" i="6" s="1"/>
  <c r="F3876" i="6"/>
  <c r="H3876" i="6" s="1"/>
  <c r="F3877" i="6"/>
  <c r="H3877" i="6" s="1"/>
  <c r="F3878" i="6"/>
  <c r="H3878" i="6" s="1"/>
  <c r="F3879" i="6"/>
  <c r="H3879" i="6" s="1"/>
  <c r="F3880" i="6"/>
  <c r="H3880" i="6" s="1"/>
  <c r="F3881" i="6"/>
  <c r="H3881" i="6" s="1"/>
  <c r="F3882" i="6"/>
  <c r="H3882" i="6" s="1"/>
  <c r="F3883" i="6"/>
  <c r="H3883" i="6" s="1"/>
  <c r="F3884" i="6"/>
  <c r="H3884" i="6" s="1"/>
  <c r="F3885" i="6"/>
  <c r="H3885" i="6" s="1"/>
  <c r="F3886" i="6"/>
  <c r="H3886" i="6" s="1"/>
  <c r="F3887" i="6"/>
  <c r="H3887" i="6" s="1"/>
  <c r="F3888" i="6"/>
  <c r="H3888" i="6" s="1"/>
  <c r="F3889" i="6"/>
  <c r="H3889" i="6" s="1"/>
  <c r="F3890" i="6"/>
  <c r="H3890" i="6" s="1"/>
  <c r="F3891" i="6"/>
  <c r="H3891" i="6" s="1"/>
  <c r="F3892" i="6"/>
  <c r="H3892" i="6" s="1"/>
  <c r="F3893" i="6"/>
  <c r="H3893" i="6" s="1"/>
  <c r="F3894" i="6"/>
  <c r="H3894" i="6" s="1"/>
  <c r="F3895" i="6"/>
  <c r="H3895" i="6" s="1"/>
  <c r="F3896" i="6"/>
  <c r="H3896" i="6" s="1"/>
  <c r="F3897" i="6"/>
  <c r="H3897" i="6" s="1"/>
  <c r="F3898" i="6"/>
  <c r="H3898" i="6" s="1"/>
  <c r="F3899" i="6"/>
  <c r="H3899" i="6" s="1"/>
  <c r="F3900" i="6"/>
  <c r="H3900" i="6" s="1"/>
  <c r="F3901" i="6"/>
  <c r="H3901" i="6" s="1"/>
  <c r="F3902" i="6"/>
  <c r="H3902" i="6" s="1"/>
  <c r="F3903" i="6"/>
  <c r="H3903" i="6" s="1"/>
  <c r="F3904" i="6"/>
  <c r="H3904" i="6" s="1"/>
  <c r="F3905" i="6"/>
  <c r="H3905" i="6" s="1"/>
  <c r="F3906" i="6"/>
  <c r="H3906" i="6" s="1"/>
  <c r="F3907" i="6"/>
  <c r="H3907" i="6" s="1"/>
  <c r="F3908" i="6"/>
  <c r="H3908" i="6" s="1"/>
  <c r="F3909" i="6"/>
  <c r="H3909" i="6" s="1"/>
  <c r="F3910" i="6"/>
  <c r="H3910" i="6" s="1"/>
  <c r="F3911" i="6"/>
  <c r="H3911" i="6" s="1"/>
  <c r="F3912" i="6"/>
  <c r="H3912" i="6" s="1"/>
  <c r="F3913" i="6"/>
  <c r="H3913" i="6" s="1"/>
  <c r="F3914" i="6"/>
  <c r="H3914" i="6" s="1"/>
  <c r="F3915" i="6"/>
  <c r="H3915" i="6" s="1"/>
  <c r="F3916" i="6"/>
  <c r="H3916" i="6" s="1"/>
  <c r="F3917" i="6"/>
  <c r="H3917" i="6" s="1"/>
  <c r="F3918" i="6"/>
  <c r="H3918" i="6" s="1"/>
  <c r="F3919" i="6"/>
  <c r="H3919" i="6" s="1"/>
  <c r="F3920" i="6"/>
  <c r="H3920" i="6" s="1"/>
  <c r="F3921" i="6"/>
  <c r="H3921" i="6" s="1"/>
  <c r="F3922" i="6"/>
  <c r="H3922" i="6" s="1"/>
  <c r="F3923" i="6"/>
  <c r="H3923" i="6" s="1"/>
  <c r="F3924" i="6"/>
  <c r="H3924" i="6" s="1"/>
  <c r="F3925" i="6"/>
  <c r="H3925" i="6" s="1"/>
  <c r="F3926" i="6"/>
  <c r="H3926" i="6" s="1"/>
  <c r="F3927" i="6"/>
  <c r="H3927" i="6" s="1"/>
  <c r="F3928" i="6"/>
  <c r="H3928" i="6" s="1"/>
  <c r="F3929" i="6"/>
  <c r="H3929" i="6" s="1"/>
  <c r="F3930" i="6"/>
  <c r="H3930" i="6" s="1"/>
  <c r="F3931" i="6"/>
  <c r="H3931" i="6" s="1"/>
  <c r="F3932" i="6"/>
  <c r="H3932" i="6" s="1"/>
  <c r="F3933" i="6"/>
  <c r="H3933" i="6" s="1"/>
  <c r="F3934" i="6"/>
  <c r="H3934" i="6" s="1"/>
  <c r="F3935" i="6"/>
  <c r="H3935" i="6" s="1"/>
  <c r="F3936" i="6"/>
  <c r="H3936" i="6" s="1"/>
  <c r="F3937" i="6"/>
  <c r="H3937" i="6" s="1"/>
  <c r="F3938" i="6"/>
  <c r="H3938" i="6" s="1"/>
  <c r="F3939" i="6"/>
  <c r="H3939" i="6" s="1"/>
  <c r="F3940" i="6"/>
  <c r="H3940" i="6" s="1"/>
  <c r="F3941" i="6"/>
  <c r="H3941" i="6" s="1"/>
  <c r="F3942" i="6"/>
  <c r="H3942" i="6" s="1"/>
  <c r="F3943" i="6"/>
  <c r="H3943" i="6" s="1"/>
  <c r="F3944" i="6"/>
  <c r="H3944" i="6" s="1"/>
  <c r="F3945" i="6"/>
  <c r="H3945" i="6" s="1"/>
  <c r="F3946" i="6"/>
  <c r="H3946" i="6" s="1"/>
  <c r="F3947" i="6"/>
  <c r="H3947" i="6" s="1"/>
  <c r="F3948" i="6"/>
  <c r="H3948" i="6" s="1"/>
  <c r="F3949" i="6"/>
  <c r="H3949" i="6" s="1"/>
  <c r="F3950" i="6"/>
  <c r="H3950" i="6" s="1"/>
  <c r="F3951" i="6"/>
  <c r="H3951" i="6" s="1"/>
  <c r="F3952" i="6"/>
  <c r="H3952" i="6" s="1"/>
  <c r="F3953" i="6"/>
  <c r="H3953" i="6" s="1"/>
  <c r="F3954" i="6"/>
  <c r="H3954" i="6" s="1"/>
  <c r="F3955" i="6"/>
  <c r="H3955" i="6" s="1"/>
  <c r="F3956" i="6"/>
  <c r="H3956" i="6" s="1"/>
  <c r="F3957" i="6"/>
  <c r="H3957" i="6" s="1"/>
  <c r="F3958" i="6"/>
  <c r="H3958" i="6" s="1"/>
  <c r="F3959" i="6"/>
  <c r="H3959" i="6" s="1"/>
  <c r="F3960" i="6"/>
  <c r="H3960" i="6" s="1"/>
  <c r="F3961" i="6"/>
  <c r="H3961" i="6" s="1"/>
  <c r="F3962" i="6"/>
  <c r="H3962" i="6" s="1"/>
  <c r="F3963" i="6"/>
  <c r="H3963" i="6" s="1"/>
  <c r="F3964" i="6"/>
  <c r="H3964" i="6" s="1"/>
  <c r="F3965" i="6"/>
  <c r="H3965" i="6" s="1"/>
  <c r="F3966" i="6"/>
  <c r="H3966" i="6" s="1"/>
  <c r="F3967" i="6"/>
  <c r="H3967" i="6" s="1"/>
  <c r="F3968" i="6"/>
  <c r="H3968" i="6" s="1"/>
  <c r="F3969" i="6"/>
  <c r="H3969" i="6" s="1"/>
  <c r="F3970" i="6"/>
  <c r="H3970" i="6" s="1"/>
  <c r="F3971" i="6"/>
  <c r="H3971" i="6" s="1"/>
  <c r="F3972" i="6"/>
  <c r="H3972" i="6" s="1"/>
  <c r="F3973" i="6"/>
  <c r="H3973" i="6" s="1"/>
  <c r="F3974" i="6"/>
  <c r="H3974" i="6" s="1"/>
  <c r="F3975" i="6"/>
  <c r="H3975" i="6" s="1"/>
  <c r="F3976" i="6"/>
  <c r="H3976" i="6" s="1"/>
  <c r="F3977" i="6"/>
  <c r="H3977" i="6" s="1"/>
  <c r="F3978" i="6"/>
  <c r="H3978" i="6" s="1"/>
  <c r="F3979" i="6"/>
  <c r="H3979" i="6" s="1"/>
  <c r="F3980" i="6"/>
  <c r="H3980" i="6" s="1"/>
  <c r="F3981" i="6"/>
  <c r="H3981" i="6" s="1"/>
  <c r="F3982" i="6"/>
  <c r="H3982" i="6" s="1"/>
  <c r="F3983" i="6"/>
  <c r="H3983" i="6" s="1"/>
  <c r="F3984" i="6"/>
  <c r="H3984" i="6" s="1"/>
  <c r="F3985" i="6"/>
  <c r="H3985" i="6" s="1"/>
  <c r="F3986" i="6"/>
  <c r="H3986" i="6" s="1"/>
  <c r="F3987" i="6"/>
  <c r="H3987" i="6" s="1"/>
  <c r="F3988" i="6"/>
  <c r="H3988" i="6" s="1"/>
  <c r="F3989" i="6"/>
  <c r="H3989" i="6" s="1"/>
  <c r="F3990" i="6"/>
  <c r="H3990" i="6" s="1"/>
  <c r="F3991" i="6"/>
  <c r="H3991" i="6" s="1"/>
  <c r="F3992" i="6"/>
  <c r="H3992" i="6" s="1"/>
  <c r="F3993" i="6"/>
  <c r="H3993" i="6" s="1"/>
  <c r="F3994" i="6"/>
  <c r="H3994" i="6" s="1"/>
  <c r="F3995" i="6"/>
  <c r="H3995" i="6" s="1"/>
  <c r="F3996" i="6"/>
  <c r="H3996" i="6" s="1"/>
  <c r="F3997" i="6"/>
  <c r="H3997" i="6" s="1"/>
  <c r="F3998" i="6"/>
  <c r="H3998" i="6" s="1"/>
  <c r="F3999" i="6"/>
  <c r="H3999" i="6" s="1"/>
  <c r="F4000" i="6"/>
  <c r="H4000" i="6" s="1"/>
  <c r="F4001" i="6"/>
  <c r="H4001" i="6" s="1"/>
  <c r="F4002" i="6"/>
  <c r="H4002" i="6" s="1"/>
  <c r="F4003" i="6"/>
  <c r="H4003" i="6" s="1"/>
  <c r="F4004" i="6"/>
  <c r="H4004" i="6" s="1"/>
  <c r="F4005" i="6"/>
  <c r="H4005" i="6" s="1"/>
  <c r="F4006" i="6"/>
  <c r="H4006" i="6" s="1"/>
  <c r="F4007" i="6"/>
  <c r="H4007" i="6" s="1"/>
  <c r="F4008" i="6"/>
  <c r="H4008" i="6" s="1"/>
  <c r="F4009" i="6"/>
  <c r="H4009" i="6" s="1"/>
  <c r="F4010" i="6"/>
  <c r="H4010" i="6" s="1"/>
  <c r="F4011" i="6"/>
  <c r="H4011" i="6" s="1"/>
  <c r="F4012" i="6"/>
  <c r="H4012" i="6" s="1"/>
  <c r="F4013" i="6"/>
  <c r="H4013" i="6" s="1"/>
  <c r="F4014" i="6"/>
  <c r="H4014" i="6" s="1"/>
  <c r="F4015" i="6"/>
  <c r="H4015" i="6" s="1"/>
  <c r="F4016" i="6"/>
  <c r="H4016" i="6" s="1"/>
  <c r="F4017" i="6"/>
  <c r="H4017" i="6" s="1"/>
  <c r="F4018" i="6"/>
  <c r="H4018" i="6" s="1"/>
  <c r="F4019" i="6"/>
  <c r="H4019" i="6" s="1"/>
  <c r="F4020" i="6"/>
  <c r="H4020" i="6" s="1"/>
  <c r="F4021" i="6"/>
  <c r="H4021" i="6" s="1"/>
  <c r="F4022" i="6"/>
  <c r="H4022" i="6" s="1"/>
  <c r="F4023" i="6"/>
  <c r="H4023" i="6" s="1"/>
  <c r="F4024" i="6"/>
  <c r="H4024" i="6" s="1"/>
  <c r="F4025" i="6"/>
  <c r="H4025" i="6" s="1"/>
  <c r="F4026" i="6"/>
  <c r="H4026" i="6" s="1"/>
  <c r="F4027" i="6"/>
  <c r="H4027" i="6" s="1"/>
  <c r="F4028" i="6"/>
  <c r="H4028" i="6" s="1"/>
  <c r="F4029" i="6"/>
  <c r="H4029" i="6" s="1"/>
  <c r="F4030" i="6"/>
  <c r="H4030" i="6" s="1"/>
  <c r="F4031" i="6"/>
  <c r="H4031" i="6" s="1"/>
  <c r="F4032" i="6"/>
  <c r="H4032" i="6" s="1"/>
  <c r="F4033" i="6"/>
  <c r="H4033" i="6" s="1"/>
  <c r="F4034" i="6"/>
  <c r="H4034" i="6" s="1"/>
  <c r="F4035" i="6"/>
  <c r="H4035" i="6" s="1"/>
  <c r="F4036" i="6"/>
  <c r="H4036" i="6" s="1"/>
  <c r="F4037" i="6"/>
  <c r="H4037" i="6" s="1"/>
  <c r="F4038" i="6"/>
  <c r="H4038" i="6" s="1"/>
  <c r="F4039" i="6"/>
  <c r="H4039" i="6" s="1"/>
  <c r="F4040" i="6"/>
  <c r="H4040" i="6" s="1"/>
  <c r="F4041" i="6"/>
  <c r="H4041" i="6" s="1"/>
  <c r="F4042" i="6"/>
  <c r="H4042" i="6" s="1"/>
  <c r="F4043" i="6"/>
  <c r="H4043" i="6" s="1"/>
  <c r="F4044" i="6"/>
  <c r="H4044" i="6" s="1"/>
  <c r="F4045" i="6"/>
  <c r="H4045" i="6" s="1"/>
  <c r="F4046" i="6"/>
  <c r="H4046" i="6" s="1"/>
  <c r="F4047" i="6"/>
  <c r="H4047" i="6" s="1"/>
  <c r="F4048" i="6"/>
  <c r="H4048" i="6" s="1"/>
  <c r="F4049" i="6"/>
  <c r="H4049" i="6" s="1"/>
  <c r="F4050" i="6"/>
  <c r="H4050" i="6" s="1"/>
  <c r="F4051" i="6"/>
  <c r="H4051" i="6" s="1"/>
  <c r="F4052" i="6"/>
  <c r="H4052" i="6" s="1"/>
  <c r="F4053" i="6"/>
  <c r="H4053" i="6" s="1"/>
  <c r="F4054" i="6"/>
  <c r="H4054" i="6" s="1"/>
  <c r="F4055" i="6"/>
  <c r="H4055" i="6" s="1"/>
  <c r="F4056" i="6"/>
  <c r="H4056" i="6" s="1"/>
  <c r="F4057" i="6"/>
  <c r="H4057" i="6" s="1"/>
  <c r="F4058" i="6"/>
  <c r="H4058" i="6" s="1"/>
  <c r="F4059" i="6"/>
  <c r="H4059" i="6" s="1"/>
  <c r="F4060" i="6"/>
  <c r="H4060" i="6" s="1"/>
  <c r="F4061" i="6"/>
  <c r="H4061" i="6" s="1"/>
  <c r="F4062" i="6"/>
  <c r="H4062" i="6" s="1"/>
  <c r="F4063" i="6"/>
  <c r="H4063" i="6" s="1"/>
  <c r="F4064" i="6"/>
  <c r="H4064" i="6" s="1"/>
  <c r="F4065" i="6"/>
  <c r="H4065" i="6" s="1"/>
  <c r="F4066" i="6"/>
  <c r="H4066" i="6" s="1"/>
  <c r="F4067" i="6"/>
  <c r="H4067" i="6" s="1"/>
  <c r="F4068" i="6"/>
  <c r="H4068" i="6" s="1"/>
  <c r="F4069" i="6"/>
  <c r="H4069" i="6" s="1"/>
  <c r="F4070" i="6"/>
  <c r="H4070" i="6" s="1"/>
  <c r="F4071" i="6"/>
  <c r="H4071" i="6" s="1"/>
  <c r="F4072" i="6"/>
  <c r="H4072" i="6" s="1"/>
  <c r="F4074" i="6"/>
  <c r="F4075" i="6"/>
  <c r="F4076" i="6"/>
  <c r="F4077" i="6"/>
  <c r="F4078" i="6"/>
  <c r="F4079" i="6"/>
  <c r="F4080" i="6"/>
  <c r="F4081" i="6"/>
  <c r="F4082" i="6"/>
  <c r="F4083" i="6"/>
  <c r="F4084" i="6"/>
  <c r="F4085" i="6"/>
  <c r="F4086" i="6"/>
  <c r="F4087" i="6"/>
  <c r="F4088" i="6"/>
  <c r="H4088" i="6"/>
  <c r="F4089" i="6"/>
  <c r="H4089" i="6"/>
  <c r="C39" i="2" l="1"/>
  <c r="C16" i="7"/>
  <c r="P29" i="6" s="1"/>
  <c r="C16" i="10"/>
  <c r="C7"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77" i="9"/>
  <c r="F78" i="9"/>
  <c r="F79" i="9"/>
  <c r="F80" i="9"/>
  <c r="F81" i="9"/>
  <c r="F82" i="9"/>
  <c r="F83" i="9"/>
  <c r="F84" i="9"/>
  <c r="F85" i="9"/>
  <c r="F86" i="9"/>
  <c r="F87" i="9"/>
  <c r="F88" i="9"/>
  <c r="F89" i="9"/>
  <c r="F90" i="9"/>
  <c r="F91" i="9"/>
  <c r="F92" i="9"/>
  <c r="F93" i="9"/>
  <c r="F94" i="9"/>
  <c r="F95" i="9"/>
  <c r="F96" i="9"/>
  <c r="F97" i="9"/>
  <c r="F98" i="9"/>
  <c r="F99" i="9"/>
  <c r="F100" i="9"/>
  <c r="F101" i="9"/>
  <c r="F102" i="9"/>
  <c r="F103" i="9"/>
  <c r="F104" i="9"/>
  <c r="F105" i="9"/>
  <c r="F106" i="9"/>
  <c r="F107" i="9"/>
  <c r="F108" i="9"/>
  <c r="F109" i="9"/>
  <c r="F110" i="9"/>
  <c r="F111" i="9"/>
  <c r="F112" i="9"/>
  <c r="F113" i="9"/>
  <c r="F114" i="9"/>
  <c r="F115" i="9"/>
  <c r="F116" i="9"/>
  <c r="F117" i="9"/>
  <c r="F118" i="9"/>
  <c r="F119" i="9"/>
  <c r="F120" i="9"/>
  <c r="F121" i="9"/>
  <c r="F122" i="9"/>
  <c r="F123" i="9"/>
  <c r="F124" i="9"/>
  <c r="F125" i="9"/>
  <c r="F126" i="9"/>
  <c r="F127" i="9"/>
  <c r="F128" i="9"/>
  <c r="F129" i="9"/>
  <c r="F130" i="9"/>
  <c r="F131" i="9"/>
  <c r="F132" i="9"/>
  <c r="F133" i="9"/>
  <c r="F134" i="9"/>
  <c r="F135" i="9"/>
  <c r="F136" i="9"/>
  <c r="F137" i="9"/>
  <c r="F138" i="9"/>
  <c r="F139" i="9"/>
  <c r="F140" i="9"/>
  <c r="F141" i="9"/>
  <c r="F142" i="9"/>
  <c r="F143" i="9"/>
  <c r="F144" i="9"/>
  <c r="F145" i="9"/>
  <c r="F146" i="9"/>
  <c r="F147" i="9"/>
  <c r="F148" i="9"/>
  <c r="F149" i="9"/>
  <c r="F150" i="9"/>
  <c r="F151" i="9"/>
  <c r="F152" i="9"/>
  <c r="F153" i="9"/>
  <c r="F154" i="9"/>
  <c r="F155" i="9"/>
  <c r="F156" i="9"/>
  <c r="F157" i="9"/>
  <c r="F158" i="9"/>
  <c r="F159" i="9"/>
  <c r="F160" i="9"/>
  <c r="F161" i="9"/>
  <c r="F162" i="9"/>
  <c r="F163" i="9"/>
  <c r="F164" i="9"/>
  <c r="F165" i="9"/>
  <c r="F166" i="9"/>
  <c r="F167" i="9"/>
  <c r="F168" i="9"/>
  <c r="F169" i="9"/>
  <c r="F170" i="9"/>
  <c r="F171" i="9"/>
  <c r="F172" i="9"/>
  <c r="F173" i="9"/>
  <c r="F174" i="9"/>
  <c r="F175" i="9"/>
  <c r="F176" i="9"/>
  <c r="F177" i="9"/>
  <c r="F178" i="9"/>
  <c r="F179" i="9"/>
  <c r="F180" i="9"/>
  <c r="F181" i="9"/>
  <c r="F182" i="9"/>
  <c r="F183" i="9"/>
  <c r="F184" i="9"/>
  <c r="F185" i="9"/>
  <c r="F186" i="9"/>
  <c r="F187" i="9"/>
  <c r="F188" i="9"/>
  <c r="F189" i="9"/>
  <c r="F190" i="9"/>
  <c r="F191" i="9"/>
  <c r="F192" i="9"/>
  <c r="F193" i="9"/>
  <c r="F194" i="9"/>
  <c r="F195" i="9"/>
  <c r="F196" i="9"/>
  <c r="F197" i="9"/>
  <c r="F198" i="9"/>
  <c r="F199" i="9"/>
  <c r="F200" i="9"/>
  <c r="F201" i="9"/>
  <c r="F202" i="9"/>
  <c r="F203" i="9"/>
  <c r="F204" i="9"/>
  <c r="F205" i="9"/>
  <c r="F206" i="9"/>
  <c r="F207" i="9"/>
  <c r="F208" i="9"/>
  <c r="F209" i="9"/>
  <c r="F210" i="9"/>
  <c r="F211" i="9"/>
  <c r="F212" i="9"/>
  <c r="F213" i="9"/>
  <c r="F214" i="9"/>
  <c r="F215" i="9"/>
  <c r="F216" i="9"/>
  <c r="F217" i="9"/>
  <c r="F218" i="9"/>
  <c r="F219" i="9"/>
  <c r="F220" i="9"/>
  <c r="F221" i="9"/>
  <c r="F222" i="9"/>
  <c r="F223" i="9"/>
  <c r="F224" i="9"/>
  <c r="F225" i="9"/>
  <c r="F226" i="9"/>
  <c r="F227" i="9"/>
  <c r="F228" i="9"/>
  <c r="F229" i="9"/>
  <c r="F230" i="9"/>
  <c r="F231" i="9"/>
  <c r="F232" i="9"/>
  <c r="F233" i="9"/>
  <c r="F234" i="9"/>
  <c r="F235" i="9"/>
  <c r="F236" i="9"/>
  <c r="F237" i="9"/>
  <c r="F238" i="9"/>
  <c r="F239" i="9"/>
  <c r="F240" i="9"/>
  <c r="F241" i="9"/>
  <c r="F242" i="9"/>
  <c r="F243" i="9"/>
  <c r="F244" i="9"/>
  <c r="F245" i="9"/>
  <c r="F246" i="9"/>
  <c r="F247" i="9"/>
  <c r="F248" i="9"/>
  <c r="F249" i="9"/>
  <c r="F250" i="9"/>
  <c r="F251" i="9"/>
  <c r="F252" i="9"/>
  <c r="F253" i="9"/>
  <c r="F254" i="9"/>
  <c r="F255" i="9"/>
  <c r="F256" i="9"/>
  <c r="F257" i="9"/>
  <c r="F258" i="9"/>
  <c r="F259" i="9"/>
  <c r="F260" i="9"/>
  <c r="F261" i="9"/>
  <c r="F262" i="9"/>
  <c r="F263" i="9"/>
  <c r="F264" i="9"/>
  <c r="F265" i="9"/>
  <c r="F266" i="9"/>
  <c r="F267" i="9"/>
  <c r="F268" i="9"/>
  <c r="F269" i="9"/>
  <c r="F270" i="9"/>
  <c r="F271" i="9"/>
  <c r="F272" i="9"/>
  <c r="F273" i="9"/>
  <c r="F274" i="9"/>
  <c r="F275" i="9"/>
  <c r="F276" i="9"/>
  <c r="F277" i="9"/>
  <c r="F278" i="9"/>
  <c r="F279" i="9"/>
  <c r="F280" i="9"/>
  <c r="F281" i="9"/>
  <c r="F282" i="9"/>
  <c r="F283" i="9"/>
  <c r="F284" i="9"/>
  <c r="F285" i="9"/>
  <c r="F286" i="9"/>
  <c r="F287" i="9"/>
  <c r="F288" i="9"/>
  <c r="F289" i="9"/>
  <c r="F290" i="9"/>
  <c r="F291" i="9"/>
  <c r="F292" i="9"/>
  <c r="F293" i="9"/>
  <c r="F294" i="9"/>
  <c r="F295" i="9"/>
  <c r="F296" i="9"/>
  <c r="F297" i="9"/>
  <c r="F298" i="9"/>
  <c r="F299" i="9"/>
  <c r="F300" i="9"/>
  <c r="F301" i="9"/>
  <c r="F302" i="9"/>
  <c r="F303" i="9"/>
  <c r="F304" i="9"/>
  <c r="F305" i="9"/>
  <c r="F306" i="9"/>
  <c r="F307" i="9"/>
  <c r="F308" i="9"/>
  <c r="F309" i="9"/>
  <c r="F310" i="9"/>
  <c r="F311" i="9"/>
  <c r="F312" i="9"/>
  <c r="F313" i="9"/>
  <c r="F314" i="9"/>
  <c r="F315" i="9"/>
  <c r="F316" i="9"/>
  <c r="F317" i="9"/>
  <c r="F318" i="9"/>
  <c r="F319" i="9"/>
  <c r="F320" i="9"/>
  <c r="F321" i="9"/>
  <c r="F322" i="9"/>
  <c r="F323" i="9"/>
  <c r="F324" i="9"/>
  <c r="F325" i="9"/>
  <c r="F326" i="9"/>
  <c r="F327" i="9"/>
  <c r="F328" i="9"/>
  <c r="F329" i="9"/>
  <c r="F330" i="9"/>
  <c r="F331" i="9"/>
  <c r="F332" i="9"/>
  <c r="F333" i="9"/>
  <c r="F334" i="9"/>
  <c r="F335" i="9"/>
  <c r="F336" i="9"/>
  <c r="F337" i="9"/>
  <c r="F338" i="9"/>
  <c r="F339" i="9"/>
  <c r="F340" i="9"/>
  <c r="F341" i="9"/>
  <c r="F342" i="9"/>
  <c r="F343" i="9"/>
  <c r="F344" i="9"/>
  <c r="F345" i="9"/>
  <c r="F346" i="9"/>
  <c r="F347" i="9"/>
  <c r="F348" i="9"/>
  <c r="F349" i="9"/>
  <c r="F350" i="9"/>
  <c r="F351" i="9"/>
  <c r="F352" i="9"/>
  <c r="F353" i="9"/>
  <c r="F354" i="9"/>
  <c r="F355" i="9"/>
  <c r="F356" i="9"/>
  <c r="F357" i="9"/>
  <c r="F358" i="9"/>
  <c r="F359" i="9"/>
  <c r="F360" i="9"/>
  <c r="F361" i="9"/>
  <c r="F362" i="9"/>
  <c r="F363" i="9"/>
  <c r="F364" i="9"/>
  <c r="F365" i="9"/>
  <c r="F366" i="9"/>
  <c r="F367" i="9"/>
  <c r="F368" i="9"/>
  <c r="F369" i="9"/>
  <c r="F370" i="9"/>
  <c r="F371" i="9"/>
  <c r="F372" i="9"/>
  <c r="F373" i="9"/>
  <c r="F374" i="9"/>
  <c r="F375" i="9"/>
  <c r="F376" i="9"/>
  <c r="F377" i="9"/>
  <c r="F378" i="9"/>
  <c r="F379" i="9"/>
  <c r="F380" i="9"/>
  <c r="F381" i="9"/>
  <c r="F382" i="9"/>
  <c r="F383" i="9"/>
  <c r="F384" i="9"/>
  <c r="F385" i="9"/>
  <c r="F386" i="9"/>
  <c r="F387" i="9"/>
  <c r="F388" i="9"/>
  <c r="F389" i="9"/>
  <c r="F390" i="9"/>
  <c r="F391" i="9"/>
  <c r="F392" i="9"/>
  <c r="F393" i="9"/>
  <c r="F394" i="9"/>
  <c r="F395" i="9"/>
  <c r="F396" i="9"/>
  <c r="F397" i="9"/>
  <c r="F398" i="9"/>
  <c r="F399" i="9"/>
  <c r="F400" i="9"/>
  <c r="F401" i="9"/>
  <c r="F402" i="9"/>
  <c r="F403" i="9"/>
  <c r="F404" i="9"/>
  <c r="F405" i="9"/>
  <c r="F406" i="9"/>
  <c r="F407" i="9"/>
  <c r="F408" i="9"/>
  <c r="F409" i="9"/>
  <c r="F410" i="9"/>
  <c r="F411" i="9"/>
  <c r="F412" i="9"/>
  <c r="F413" i="9"/>
  <c r="F414" i="9"/>
  <c r="F415" i="9"/>
  <c r="F416" i="9"/>
  <c r="F417" i="9"/>
  <c r="F418" i="9"/>
  <c r="F419" i="9"/>
  <c r="F420" i="9"/>
  <c r="F421" i="9"/>
  <c r="F422" i="9"/>
  <c r="F423" i="9"/>
  <c r="F424" i="9"/>
  <c r="F425" i="9"/>
  <c r="F426" i="9"/>
  <c r="F427" i="9"/>
  <c r="F428" i="9"/>
  <c r="F429" i="9"/>
  <c r="F430" i="9"/>
  <c r="F431" i="9"/>
  <c r="F432" i="9"/>
  <c r="F433" i="9"/>
  <c r="F434" i="9"/>
  <c r="F435" i="9"/>
  <c r="F436" i="9"/>
  <c r="F437" i="9"/>
  <c r="F438" i="9"/>
  <c r="F439" i="9"/>
  <c r="F440" i="9"/>
  <c r="F441" i="9"/>
  <c r="F442" i="9"/>
  <c r="F443" i="9"/>
  <c r="F444" i="9"/>
  <c r="F445" i="9"/>
  <c r="F446" i="9"/>
  <c r="F447" i="9"/>
  <c r="F448" i="9"/>
  <c r="F449" i="9"/>
  <c r="F450" i="9"/>
  <c r="F451" i="9"/>
  <c r="F452" i="9"/>
  <c r="F453" i="9"/>
  <c r="F454" i="9"/>
  <c r="F455" i="9"/>
  <c r="F456" i="9"/>
  <c r="F457" i="9"/>
  <c r="F458" i="9"/>
  <c r="F459" i="9"/>
  <c r="F460" i="9"/>
  <c r="F461" i="9"/>
  <c r="F462" i="9"/>
  <c r="F463" i="9"/>
  <c r="F464" i="9"/>
  <c r="F465" i="9"/>
  <c r="F466" i="9"/>
  <c r="F467" i="9"/>
  <c r="F468" i="9"/>
  <c r="F469" i="9"/>
  <c r="F470" i="9"/>
  <c r="F471" i="9"/>
  <c r="F472" i="9"/>
  <c r="F473" i="9"/>
  <c r="F474" i="9"/>
  <c r="F475" i="9"/>
  <c r="F476" i="9"/>
  <c r="F477" i="9"/>
  <c r="F478" i="9"/>
  <c r="F479" i="9"/>
  <c r="F480" i="9"/>
  <c r="F481" i="9"/>
  <c r="F482" i="9"/>
  <c r="F483" i="9"/>
  <c r="F484" i="9"/>
  <c r="F485" i="9"/>
  <c r="F486" i="9"/>
  <c r="F487" i="9"/>
  <c r="F488" i="9"/>
  <c r="F489" i="9"/>
  <c r="F490" i="9"/>
  <c r="F491" i="9"/>
  <c r="F492" i="9"/>
  <c r="F493" i="9"/>
  <c r="F494" i="9"/>
  <c r="F495" i="9"/>
  <c r="F496" i="9"/>
  <c r="F497" i="9"/>
  <c r="F498" i="9"/>
  <c r="F499" i="9"/>
  <c r="F500" i="9"/>
  <c r="F501" i="9"/>
  <c r="F502" i="9"/>
  <c r="F503" i="9"/>
  <c r="F504" i="9"/>
  <c r="F505" i="9"/>
  <c r="F506" i="9"/>
  <c r="F507" i="9"/>
  <c r="F508" i="9"/>
  <c r="F509" i="9"/>
  <c r="F510" i="9"/>
  <c r="F511" i="9"/>
  <c r="F512" i="9"/>
  <c r="F513" i="9"/>
  <c r="F514" i="9"/>
  <c r="F515" i="9"/>
  <c r="F516" i="9"/>
  <c r="F517" i="9"/>
  <c r="F518" i="9"/>
  <c r="F519" i="9"/>
  <c r="F520" i="9"/>
  <c r="F521" i="9"/>
  <c r="F522" i="9"/>
  <c r="F523" i="9"/>
  <c r="F524" i="9"/>
  <c r="F525" i="9"/>
  <c r="F526" i="9"/>
  <c r="F527" i="9"/>
  <c r="F528" i="9"/>
  <c r="F529" i="9"/>
  <c r="F530" i="9"/>
  <c r="F531" i="9"/>
  <c r="F532" i="9"/>
  <c r="F533" i="9"/>
  <c r="F534" i="9"/>
  <c r="F535" i="9"/>
  <c r="F536" i="9"/>
  <c r="F537" i="9"/>
  <c r="F538" i="9"/>
  <c r="F539" i="9"/>
  <c r="F540" i="9"/>
  <c r="F541" i="9"/>
  <c r="F542" i="9"/>
  <c r="F543" i="9"/>
  <c r="F544" i="9"/>
  <c r="F545" i="9"/>
  <c r="F546" i="9"/>
  <c r="F547" i="9"/>
  <c r="F548" i="9"/>
  <c r="F549" i="9"/>
  <c r="F550" i="9"/>
  <c r="F551" i="9"/>
  <c r="F552" i="9"/>
  <c r="F553" i="9"/>
  <c r="F554" i="9"/>
  <c r="F555" i="9"/>
  <c r="F556" i="9"/>
  <c r="F557" i="9"/>
  <c r="F558" i="9"/>
  <c r="F559" i="9"/>
  <c r="F560" i="9"/>
  <c r="F561" i="9"/>
  <c r="F562" i="9"/>
  <c r="F563" i="9"/>
  <c r="F564" i="9"/>
  <c r="F565" i="9"/>
  <c r="F566" i="9"/>
  <c r="F567" i="9"/>
  <c r="F568" i="9"/>
  <c r="F569" i="9"/>
  <c r="F570" i="9"/>
  <c r="F571" i="9"/>
  <c r="F572" i="9"/>
  <c r="F573" i="9"/>
  <c r="F574" i="9"/>
  <c r="F575" i="9"/>
  <c r="F576" i="9"/>
  <c r="F577" i="9"/>
  <c r="F578" i="9"/>
  <c r="F579" i="9"/>
  <c r="F580" i="9"/>
  <c r="F581" i="9"/>
  <c r="F582" i="9"/>
  <c r="F583" i="9"/>
  <c r="F584" i="9"/>
  <c r="F585" i="9"/>
  <c r="F586" i="9"/>
  <c r="F587" i="9"/>
  <c r="F588" i="9"/>
  <c r="F589" i="9"/>
  <c r="F590" i="9"/>
  <c r="F591" i="9"/>
  <c r="F592" i="9"/>
  <c r="F593" i="9"/>
  <c r="F594" i="9"/>
  <c r="F595" i="9"/>
  <c r="F596" i="9"/>
  <c r="F597" i="9"/>
  <c r="F598" i="9"/>
  <c r="F599" i="9"/>
  <c r="F600" i="9"/>
  <c r="F601" i="9"/>
  <c r="F602" i="9"/>
  <c r="F603" i="9"/>
  <c r="F604" i="9"/>
  <c r="F605" i="9"/>
  <c r="F606" i="9"/>
  <c r="F607" i="9"/>
  <c r="F608" i="9"/>
  <c r="F609" i="9"/>
  <c r="F610" i="9"/>
  <c r="F611" i="9"/>
  <c r="F612" i="9"/>
  <c r="F613" i="9"/>
  <c r="F614" i="9"/>
  <c r="F615" i="9"/>
  <c r="F616" i="9"/>
  <c r="F617" i="9"/>
  <c r="F618" i="9"/>
  <c r="F619" i="9"/>
  <c r="F620" i="9"/>
  <c r="F621" i="9"/>
  <c r="F622" i="9"/>
  <c r="F623" i="9"/>
  <c r="F624" i="9"/>
  <c r="F625" i="9"/>
  <c r="F626" i="9"/>
  <c r="F627" i="9"/>
  <c r="F628" i="9"/>
  <c r="F629" i="9"/>
  <c r="F630" i="9"/>
  <c r="F631" i="9"/>
  <c r="F632" i="9"/>
  <c r="F633" i="9"/>
  <c r="F634" i="9"/>
  <c r="F635" i="9"/>
  <c r="F636" i="9"/>
  <c r="F637" i="9"/>
  <c r="F638" i="9"/>
  <c r="F639" i="9"/>
  <c r="F640" i="9"/>
  <c r="F641" i="9"/>
  <c r="F642" i="9"/>
  <c r="F643" i="9"/>
  <c r="F644" i="9"/>
  <c r="F645" i="9"/>
  <c r="F646" i="9"/>
  <c r="F647" i="9"/>
  <c r="F648" i="9"/>
  <c r="F649" i="9"/>
  <c r="F650" i="9"/>
  <c r="F651" i="9"/>
  <c r="F652" i="9"/>
  <c r="F653" i="9"/>
  <c r="F654" i="9"/>
  <c r="F655" i="9"/>
  <c r="F656" i="9"/>
  <c r="F657" i="9"/>
  <c r="F658" i="9"/>
  <c r="F659" i="9"/>
  <c r="F660" i="9"/>
  <c r="F661" i="9"/>
  <c r="F662" i="9"/>
  <c r="F663" i="9"/>
  <c r="F664" i="9"/>
  <c r="F665" i="9"/>
  <c r="F666" i="9"/>
  <c r="F667" i="9"/>
  <c r="F668" i="9"/>
  <c r="F669" i="9"/>
  <c r="F670" i="9"/>
  <c r="F671" i="9"/>
  <c r="F672" i="9"/>
  <c r="F673" i="9"/>
  <c r="F674" i="9"/>
  <c r="F675" i="9"/>
  <c r="F676" i="9"/>
  <c r="F677" i="9"/>
  <c r="F678" i="9"/>
  <c r="F679" i="9"/>
  <c r="F680" i="9"/>
  <c r="F681" i="9"/>
  <c r="F682" i="9"/>
  <c r="F683" i="9"/>
  <c r="F684" i="9"/>
  <c r="F685" i="9"/>
  <c r="F686" i="9"/>
  <c r="F687" i="9"/>
  <c r="F688" i="9"/>
  <c r="F689" i="9"/>
  <c r="F690" i="9"/>
  <c r="F691" i="9"/>
  <c r="F692" i="9"/>
  <c r="F693" i="9"/>
  <c r="F694" i="9"/>
  <c r="F695" i="9"/>
  <c r="F696" i="9"/>
  <c r="F697" i="9"/>
  <c r="F698" i="9"/>
  <c r="F699" i="9"/>
  <c r="F700" i="9"/>
  <c r="F701" i="9"/>
  <c r="F702" i="9"/>
  <c r="F703" i="9"/>
  <c r="F704" i="9"/>
  <c r="F705" i="9"/>
  <c r="F706" i="9"/>
  <c r="F707" i="9"/>
  <c r="F708" i="9"/>
  <c r="F709" i="9"/>
  <c r="F710" i="9"/>
  <c r="F711" i="9"/>
  <c r="F712" i="9"/>
  <c r="F713" i="9"/>
  <c r="F714" i="9"/>
  <c r="F715" i="9"/>
  <c r="F716" i="9"/>
  <c r="F717" i="9"/>
  <c r="F718" i="9"/>
  <c r="F719" i="9"/>
  <c r="F720" i="9"/>
  <c r="F721" i="9"/>
  <c r="F722" i="9"/>
  <c r="F723" i="9"/>
  <c r="F724" i="9"/>
  <c r="F725" i="9"/>
  <c r="F726" i="9"/>
  <c r="F727" i="9"/>
  <c r="F728" i="9"/>
  <c r="F729" i="9"/>
  <c r="F730" i="9"/>
  <c r="F731" i="9"/>
  <c r="F732" i="9"/>
  <c r="F733" i="9"/>
  <c r="F734" i="9"/>
  <c r="F735" i="9"/>
  <c r="F736" i="9"/>
  <c r="F737" i="9"/>
  <c r="F738" i="9"/>
  <c r="F739" i="9"/>
  <c r="F740" i="9"/>
  <c r="F741" i="9"/>
  <c r="F742" i="9"/>
  <c r="F743" i="9"/>
  <c r="F744" i="9"/>
  <c r="F745" i="9"/>
  <c r="F746" i="9"/>
  <c r="F747" i="9"/>
  <c r="F748" i="9"/>
  <c r="F749" i="9"/>
  <c r="F750" i="9"/>
  <c r="F751" i="9"/>
  <c r="F752" i="9"/>
  <c r="F753" i="9"/>
  <c r="F754" i="9"/>
  <c r="F755" i="9"/>
  <c r="F756" i="9"/>
  <c r="F757" i="9"/>
  <c r="F758" i="9"/>
  <c r="F759" i="9"/>
  <c r="F760" i="9"/>
  <c r="F761" i="9"/>
  <c r="F762" i="9"/>
  <c r="F763" i="9"/>
  <c r="F764" i="9"/>
  <c r="F765" i="9"/>
  <c r="F766" i="9"/>
  <c r="F767" i="9"/>
  <c r="F768" i="9"/>
  <c r="F769" i="9"/>
  <c r="F770" i="9"/>
  <c r="F771" i="9"/>
  <c r="F772" i="9"/>
  <c r="F773" i="9"/>
  <c r="F774" i="9"/>
  <c r="F775" i="9"/>
  <c r="F776" i="9"/>
  <c r="F777" i="9"/>
  <c r="F778" i="9"/>
  <c r="F779" i="9"/>
  <c r="F780" i="9"/>
  <c r="F781" i="9"/>
  <c r="F782" i="9"/>
  <c r="F783" i="9"/>
  <c r="F784" i="9"/>
  <c r="F785" i="9"/>
  <c r="F786" i="9"/>
  <c r="F787" i="9"/>
  <c r="F788" i="9"/>
  <c r="F789" i="9"/>
  <c r="F790" i="9"/>
  <c r="F791" i="9"/>
  <c r="F792" i="9"/>
  <c r="F793" i="9"/>
  <c r="F794" i="9"/>
  <c r="F795" i="9"/>
  <c r="F796" i="9"/>
  <c r="F797" i="9"/>
  <c r="F798" i="9"/>
  <c r="F799" i="9"/>
  <c r="F800" i="9"/>
  <c r="F801" i="9"/>
  <c r="F802" i="9"/>
  <c r="F803" i="9"/>
  <c r="F804" i="9"/>
  <c r="F805" i="9"/>
  <c r="F806" i="9"/>
  <c r="F807" i="9"/>
  <c r="F808" i="9"/>
  <c r="F809" i="9"/>
  <c r="F810" i="9"/>
  <c r="F811" i="9"/>
  <c r="F812" i="9"/>
  <c r="F813" i="9"/>
  <c r="F814" i="9"/>
  <c r="F815" i="9"/>
  <c r="F816" i="9"/>
  <c r="F817" i="9"/>
  <c r="F818" i="9"/>
  <c r="F819" i="9"/>
  <c r="F820" i="9"/>
  <c r="F821" i="9"/>
  <c r="F822" i="9"/>
  <c r="F823" i="9"/>
  <c r="F824" i="9"/>
  <c r="F825" i="9"/>
  <c r="F826" i="9"/>
  <c r="F827" i="9"/>
  <c r="F828" i="9"/>
  <c r="F829" i="9"/>
  <c r="F830" i="9"/>
  <c r="F831" i="9"/>
  <c r="F832" i="9"/>
  <c r="F833" i="9"/>
  <c r="F834" i="9"/>
  <c r="F835" i="9"/>
  <c r="F836" i="9"/>
  <c r="F837" i="9"/>
  <c r="F838" i="9"/>
  <c r="F839" i="9"/>
  <c r="F840" i="9"/>
  <c r="F841" i="9"/>
  <c r="F842" i="9"/>
  <c r="F843" i="9"/>
  <c r="F844" i="9"/>
  <c r="F845" i="9"/>
  <c r="F846" i="9"/>
  <c r="F847" i="9"/>
  <c r="F848" i="9"/>
  <c r="F849" i="9"/>
  <c r="F850" i="9"/>
  <c r="F851" i="9"/>
  <c r="F852" i="9"/>
  <c r="F853" i="9"/>
  <c r="F854" i="9"/>
  <c r="F855" i="9"/>
  <c r="F856" i="9"/>
  <c r="F857" i="9"/>
  <c r="F858" i="9"/>
  <c r="F859" i="9"/>
  <c r="F860" i="9"/>
  <c r="F861" i="9"/>
  <c r="F862" i="9"/>
  <c r="F863" i="9"/>
  <c r="F864" i="9"/>
  <c r="F865" i="9"/>
  <c r="F866" i="9"/>
  <c r="F867" i="9"/>
  <c r="F868" i="9"/>
  <c r="F869" i="9"/>
  <c r="F870" i="9"/>
  <c r="F871" i="9"/>
  <c r="F872" i="9"/>
  <c r="F873" i="9"/>
  <c r="F874" i="9"/>
  <c r="F875" i="9"/>
  <c r="F876" i="9"/>
  <c r="F877" i="9"/>
  <c r="F878" i="9"/>
  <c r="F879" i="9"/>
  <c r="F880" i="9"/>
  <c r="F881" i="9"/>
  <c r="F882" i="9"/>
  <c r="F883" i="9"/>
  <c r="F884" i="9"/>
  <c r="F885" i="9"/>
  <c r="F886" i="9"/>
  <c r="F887" i="9"/>
  <c r="F888" i="9"/>
  <c r="F889" i="9"/>
  <c r="F890" i="9"/>
  <c r="F891" i="9"/>
  <c r="F892" i="9"/>
  <c r="F893" i="9"/>
  <c r="F894" i="9"/>
  <c r="F895" i="9"/>
  <c r="F896" i="9"/>
  <c r="F897" i="9"/>
  <c r="F898" i="9"/>
  <c r="F899" i="9"/>
  <c r="F900" i="9"/>
  <c r="F901" i="9"/>
  <c r="F902" i="9"/>
  <c r="F903" i="9"/>
  <c r="F904" i="9"/>
  <c r="F905" i="9"/>
  <c r="F906" i="9"/>
  <c r="F907" i="9"/>
  <c r="F908" i="9"/>
  <c r="F909" i="9"/>
  <c r="F910" i="9"/>
  <c r="F911" i="9"/>
  <c r="F912" i="9"/>
  <c r="F913" i="9"/>
  <c r="F914" i="9"/>
  <c r="F915" i="9"/>
  <c r="F916" i="9"/>
  <c r="F917" i="9"/>
  <c r="F918" i="9"/>
  <c r="F919" i="9"/>
  <c r="F920" i="9"/>
  <c r="F921" i="9"/>
  <c r="F922" i="9"/>
  <c r="F923" i="9"/>
  <c r="F924" i="9"/>
  <c r="F925" i="9"/>
  <c r="F926" i="9"/>
  <c r="F927" i="9"/>
  <c r="F928" i="9"/>
  <c r="F929" i="9"/>
  <c r="F930" i="9"/>
  <c r="F931" i="9"/>
  <c r="F932" i="9"/>
  <c r="F933" i="9"/>
  <c r="F934" i="9"/>
  <c r="F935" i="9"/>
  <c r="F936" i="9"/>
  <c r="F937" i="9"/>
  <c r="F938" i="9"/>
  <c r="F939" i="9"/>
  <c r="F940" i="9"/>
  <c r="F941" i="9"/>
  <c r="F942" i="9"/>
  <c r="F943" i="9"/>
  <c r="F944" i="9"/>
  <c r="F945" i="9"/>
  <c r="F946" i="9"/>
  <c r="F947" i="9"/>
  <c r="F948" i="9"/>
  <c r="F949" i="9"/>
  <c r="F950" i="9"/>
  <c r="F951" i="9"/>
  <c r="F952" i="9"/>
  <c r="F953" i="9"/>
  <c r="F954" i="9"/>
  <c r="F955" i="9"/>
  <c r="F956" i="9"/>
  <c r="F957" i="9"/>
  <c r="F958" i="9"/>
  <c r="F959" i="9"/>
  <c r="F960" i="9"/>
  <c r="F961" i="9"/>
  <c r="F962" i="9"/>
  <c r="F963" i="9"/>
  <c r="F964" i="9"/>
  <c r="F965" i="9"/>
  <c r="F966" i="9"/>
  <c r="F967" i="9"/>
  <c r="F968" i="9"/>
  <c r="F969" i="9"/>
  <c r="F970" i="9"/>
  <c r="F971" i="9"/>
  <c r="F972" i="9"/>
  <c r="F973" i="9"/>
  <c r="F974" i="9"/>
  <c r="F975" i="9"/>
  <c r="F976" i="9"/>
  <c r="F977" i="9"/>
  <c r="F978" i="9"/>
  <c r="F979" i="9"/>
  <c r="F980" i="9"/>
  <c r="F981" i="9"/>
  <c r="F982" i="9"/>
  <c r="F983" i="9"/>
  <c r="F984" i="9"/>
  <c r="F985" i="9"/>
  <c r="F986" i="9"/>
  <c r="F987" i="9"/>
  <c r="F988" i="9"/>
  <c r="F989" i="9"/>
  <c r="F990" i="9"/>
  <c r="F991" i="9"/>
  <c r="F992" i="9"/>
  <c r="F993" i="9"/>
  <c r="F994" i="9"/>
  <c r="F995" i="9"/>
  <c r="F996" i="9"/>
  <c r="F997" i="9"/>
  <c r="F998" i="9"/>
  <c r="F999" i="9"/>
  <c r="F1000" i="9"/>
  <c r="F1001" i="9"/>
  <c r="F1002" i="9"/>
  <c r="F1003" i="9"/>
  <c r="F1004" i="9"/>
  <c r="F1005" i="9"/>
  <c r="F1006" i="9"/>
  <c r="F1007" i="9"/>
  <c r="F1008" i="9"/>
  <c r="F1009" i="9"/>
  <c r="F1010" i="9"/>
  <c r="F1011" i="9"/>
  <c r="F1012" i="9"/>
  <c r="F1013" i="9"/>
  <c r="F1014" i="9"/>
  <c r="F1015" i="9"/>
  <c r="F1016" i="9"/>
  <c r="F1017" i="9"/>
  <c r="F18" i="9"/>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F512" i="8"/>
  <c r="F513" i="8"/>
  <c r="F514" i="8"/>
  <c r="F515" i="8"/>
  <c r="F516" i="8"/>
  <c r="F517" i="8"/>
  <c r="F518" i="8"/>
  <c r="F519" i="8"/>
  <c r="F520" i="8"/>
  <c r="F521" i="8"/>
  <c r="F522" i="8"/>
  <c r="F523" i="8"/>
  <c r="F524" i="8"/>
  <c r="F525" i="8"/>
  <c r="F526" i="8"/>
  <c r="F527" i="8"/>
  <c r="F528" i="8"/>
  <c r="F529" i="8"/>
  <c r="F530" i="8"/>
  <c r="F531" i="8"/>
  <c r="F532" i="8"/>
  <c r="F533" i="8"/>
  <c r="F534" i="8"/>
  <c r="F535" i="8"/>
  <c r="F536" i="8"/>
  <c r="F537" i="8"/>
  <c r="F538" i="8"/>
  <c r="F539" i="8"/>
  <c r="F540" i="8"/>
  <c r="F541" i="8"/>
  <c r="F542" i="8"/>
  <c r="F543" i="8"/>
  <c r="F544" i="8"/>
  <c r="F545" i="8"/>
  <c r="F546" i="8"/>
  <c r="F547" i="8"/>
  <c r="F548" i="8"/>
  <c r="F549" i="8"/>
  <c r="F550" i="8"/>
  <c r="F551" i="8"/>
  <c r="F552" i="8"/>
  <c r="F553" i="8"/>
  <c r="F554" i="8"/>
  <c r="F555" i="8"/>
  <c r="F556" i="8"/>
  <c r="F557" i="8"/>
  <c r="F558" i="8"/>
  <c r="F559" i="8"/>
  <c r="F560" i="8"/>
  <c r="F561" i="8"/>
  <c r="F562" i="8"/>
  <c r="F563" i="8"/>
  <c r="F564" i="8"/>
  <c r="F565" i="8"/>
  <c r="F566" i="8"/>
  <c r="F567" i="8"/>
  <c r="F568" i="8"/>
  <c r="F569" i="8"/>
  <c r="F570" i="8"/>
  <c r="F571" i="8"/>
  <c r="F572" i="8"/>
  <c r="F573" i="8"/>
  <c r="F574" i="8"/>
  <c r="F575" i="8"/>
  <c r="F576" i="8"/>
  <c r="F577" i="8"/>
  <c r="F578" i="8"/>
  <c r="F579" i="8"/>
  <c r="F580" i="8"/>
  <c r="F581" i="8"/>
  <c r="F582" i="8"/>
  <c r="F583" i="8"/>
  <c r="F584" i="8"/>
  <c r="F585" i="8"/>
  <c r="F586" i="8"/>
  <c r="F587" i="8"/>
  <c r="F588" i="8"/>
  <c r="F589" i="8"/>
  <c r="F590" i="8"/>
  <c r="F591" i="8"/>
  <c r="F592" i="8"/>
  <c r="F593" i="8"/>
  <c r="F594" i="8"/>
  <c r="F595" i="8"/>
  <c r="F596" i="8"/>
  <c r="F597" i="8"/>
  <c r="F598" i="8"/>
  <c r="F599" i="8"/>
  <c r="F600" i="8"/>
  <c r="F601" i="8"/>
  <c r="F602" i="8"/>
  <c r="F603" i="8"/>
  <c r="F604" i="8"/>
  <c r="F605" i="8"/>
  <c r="F606" i="8"/>
  <c r="F607" i="8"/>
  <c r="F608" i="8"/>
  <c r="F609" i="8"/>
  <c r="F610" i="8"/>
  <c r="F611" i="8"/>
  <c r="F612" i="8"/>
  <c r="F613" i="8"/>
  <c r="F614" i="8"/>
  <c r="F615" i="8"/>
  <c r="F616" i="8"/>
  <c r="F617" i="8"/>
  <c r="F618" i="8"/>
  <c r="F619" i="8"/>
  <c r="F620" i="8"/>
  <c r="F621" i="8"/>
  <c r="F622" i="8"/>
  <c r="F623" i="8"/>
  <c r="F624" i="8"/>
  <c r="F625" i="8"/>
  <c r="F626" i="8"/>
  <c r="F627" i="8"/>
  <c r="F628" i="8"/>
  <c r="F629" i="8"/>
  <c r="F630" i="8"/>
  <c r="F631" i="8"/>
  <c r="F632" i="8"/>
  <c r="F633" i="8"/>
  <c r="F634" i="8"/>
  <c r="F635" i="8"/>
  <c r="F636" i="8"/>
  <c r="F637" i="8"/>
  <c r="F638" i="8"/>
  <c r="F639" i="8"/>
  <c r="F640" i="8"/>
  <c r="F641" i="8"/>
  <c r="F642" i="8"/>
  <c r="F643" i="8"/>
  <c r="F644" i="8"/>
  <c r="F645" i="8"/>
  <c r="F646" i="8"/>
  <c r="F647" i="8"/>
  <c r="F648" i="8"/>
  <c r="F649" i="8"/>
  <c r="F650" i="8"/>
  <c r="F651" i="8"/>
  <c r="F652" i="8"/>
  <c r="F653" i="8"/>
  <c r="F654" i="8"/>
  <c r="F655" i="8"/>
  <c r="F656" i="8"/>
  <c r="F657" i="8"/>
  <c r="F658" i="8"/>
  <c r="F659" i="8"/>
  <c r="F660" i="8"/>
  <c r="F661" i="8"/>
  <c r="F662" i="8"/>
  <c r="F663" i="8"/>
  <c r="F664" i="8"/>
  <c r="F665" i="8"/>
  <c r="F666" i="8"/>
  <c r="F667" i="8"/>
  <c r="F668" i="8"/>
  <c r="F669" i="8"/>
  <c r="F670" i="8"/>
  <c r="F671" i="8"/>
  <c r="F672" i="8"/>
  <c r="F673" i="8"/>
  <c r="F674" i="8"/>
  <c r="F675" i="8"/>
  <c r="F676" i="8"/>
  <c r="F677" i="8"/>
  <c r="F678" i="8"/>
  <c r="F679" i="8"/>
  <c r="F680" i="8"/>
  <c r="F681" i="8"/>
  <c r="F682" i="8"/>
  <c r="F683" i="8"/>
  <c r="F684" i="8"/>
  <c r="F685" i="8"/>
  <c r="F686" i="8"/>
  <c r="F687" i="8"/>
  <c r="F688" i="8"/>
  <c r="F689" i="8"/>
  <c r="F690" i="8"/>
  <c r="F691" i="8"/>
  <c r="F692" i="8"/>
  <c r="F693" i="8"/>
  <c r="F694" i="8"/>
  <c r="F695" i="8"/>
  <c r="F696" i="8"/>
  <c r="F697" i="8"/>
  <c r="F698" i="8"/>
  <c r="F699" i="8"/>
  <c r="F700" i="8"/>
  <c r="F701" i="8"/>
  <c r="F702" i="8"/>
  <c r="F703" i="8"/>
  <c r="F704" i="8"/>
  <c r="F705" i="8"/>
  <c r="F706" i="8"/>
  <c r="F707" i="8"/>
  <c r="F708" i="8"/>
  <c r="F709" i="8"/>
  <c r="F710" i="8"/>
  <c r="F711" i="8"/>
  <c r="F712" i="8"/>
  <c r="F713" i="8"/>
  <c r="F714" i="8"/>
  <c r="F715" i="8"/>
  <c r="F716" i="8"/>
  <c r="F717" i="8"/>
  <c r="F718" i="8"/>
  <c r="F719" i="8"/>
  <c r="F720" i="8"/>
  <c r="F721" i="8"/>
  <c r="F722" i="8"/>
  <c r="F723" i="8"/>
  <c r="F724" i="8"/>
  <c r="F725" i="8"/>
  <c r="F726" i="8"/>
  <c r="F727" i="8"/>
  <c r="F728" i="8"/>
  <c r="F729" i="8"/>
  <c r="F730" i="8"/>
  <c r="F731" i="8"/>
  <c r="F732" i="8"/>
  <c r="F733" i="8"/>
  <c r="F734" i="8"/>
  <c r="F735" i="8"/>
  <c r="F736" i="8"/>
  <c r="F737" i="8"/>
  <c r="F738" i="8"/>
  <c r="F739" i="8"/>
  <c r="F740" i="8"/>
  <c r="F741" i="8"/>
  <c r="F742" i="8"/>
  <c r="F743" i="8"/>
  <c r="F744" i="8"/>
  <c r="F745" i="8"/>
  <c r="F746" i="8"/>
  <c r="F747" i="8"/>
  <c r="F748" i="8"/>
  <c r="F749" i="8"/>
  <c r="F750" i="8"/>
  <c r="F751" i="8"/>
  <c r="F752" i="8"/>
  <c r="F753" i="8"/>
  <c r="F754" i="8"/>
  <c r="F755" i="8"/>
  <c r="F756" i="8"/>
  <c r="F757" i="8"/>
  <c r="F758" i="8"/>
  <c r="F759" i="8"/>
  <c r="F760" i="8"/>
  <c r="F761" i="8"/>
  <c r="F762" i="8"/>
  <c r="F763" i="8"/>
  <c r="F764" i="8"/>
  <c r="F765" i="8"/>
  <c r="F766" i="8"/>
  <c r="F767" i="8"/>
  <c r="F768" i="8"/>
  <c r="F769" i="8"/>
  <c r="F770" i="8"/>
  <c r="F771" i="8"/>
  <c r="F772" i="8"/>
  <c r="F773" i="8"/>
  <c r="F774" i="8"/>
  <c r="F775" i="8"/>
  <c r="F776" i="8"/>
  <c r="F777" i="8"/>
  <c r="F778" i="8"/>
  <c r="F779" i="8"/>
  <c r="F780" i="8"/>
  <c r="F781" i="8"/>
  <c r="F782" i="8"/>
  <c r="F783" i="8"/>
  <c r="F784" i="8"/>
  <c r="F785" i="8"/>
  <c r="F786" i="8"/>
  <c r="F787" i="8"/>
  <c r="F788" i="8"/>
  <c r="F789" i="8"/>
  <c r="F790" i="8"/>
  <c r="F791" i="8"/>
  <c r="F792" i="8"/>
  <c r="F793" i="8"/>
  <c r="F794" i="8"/>
  <c r="F795" i="8"/>
  <c r="F796" i="8"/>
  <c r="F797" i="8"/>
  <c r="F798" i="8"/>
  <c r="F799" i="8"/>
  <c r="F800" i="8"/>
  <c r="F801" i="8"/>
  <c r="F802" i="8"/>
  <c r="F803" i="8"/>
  <c r="F804" i="8"/>
  <c r="F805" i="8"/>
  <c r="F806" i="8"/>
  <c r="F807" i="8"/>
  <c r="F808" i="8"/>
  <c r="F809" i="8"/>
  <c r="F810" i="8"/>
  <c r="F811" i="8"/>
  <c r="F812" i="8"/>
  <c r="F813" i="8"/>
  <c r="F814" i="8"/>
  <c r="F815" i="8"/>
  <c r="F816" i="8"/>
  <c r="F817" i="8"/>
  <c r="F818" i="8"/>
  <c r="F819" i="8"/>
  <c r="F820" i="8"/>
  <c r="F821" i="8"/>
  <c r="F822" i="8"/>
  <c r="F823" i="8"/>
  <c r="F824" i="8"/>
  <c r="F825" i="8"/>
  <c r="F826" i="8"/>
  <c r="F827" i="8"/>
  <c r="F828" i="8"/>
  <c r="F829" i="8"/>
  <c r="F830" i="8"/>
  <c r="F831" i="8"/>
  <c r="F832" i="8"/>
  <c r="F833" i="8"/>
  <c r="F834" i="8"/>
  <c r="F835" i="8"/>
  <c r="F836" i="8"/>
  <c r="F837" i="8"/>
  <c r="F838" i="8"/>
  <c r="F839" i="8"/>
  <c r="F840" i="8"/>
  <c r="F841" i="8"/>
  <c r="F842" i="8"/>
  <c r="F843" i="8"/>
  <c r="F844" i="8"/>
  <c r="F845" i="8"/>
  <c r="F846" i="8"/>
  <c r="F847" i="8"/>
  <c r="F848" i="8"/>
  <c r="F849" i="8"/>
  <c r="F850" i="8"/>
  <c r="F851" i="8"/>
  <c r="F852" i="8"/>
  <c r="F853" i="8"/>
  <c r="F854" i="8"/>
  <c r="F855" i="8"/>
  <c r="F856" i="8"/>
  <c r="F857" i="8"/>
  <c r="F858" i="8"/>
  <c r="F859" i="8"/>
  <c r="F860" i="8"/>
  <c r="F861" i="8"/>
  <c r="F862" i="8"/>
  <c r="F863" i="8"/>
  <c r="F864" i="8"/>
  <c r="F865" i="8"/>
  <c r="F866" i="8"/>
  <c r="F867" i="8"/>
  <c r="F868" i="8"/>
  <c r="F869" i="8"/>
  <c r="F870" i="8"/>
  <c r="F871" i="8"/>
  <c r="F872" i="8"/>
  <c r="F873" i="8"/>
  <c r="F874" i="8"/>
  <c r="F875" i="8"/>
  <c r="F876" i="8"/>
  <c r="F877" i="8"/>
  <c r="F878" i="8"/>
  <c r="F879" i="8"/>
  <c r="F880" i="8"/>
  <c r="F881" i="8"/>
  <c r="F882" i="8"/>
  <c r="F883" i="8"/>
  <c r="F884" i="8"/>
  <c r="F885" i="8"/>
  <c r="F886" i="8"/>
  <c r="F887" i="8"/>
  <c r="F888" i="8"/>
  <c r="F889" i="8"/>
  <c r="F890" i="8"/>
  <c r="F891" i="8"/>
  <c r="F892" i="8"/>
  <c r="F893" i="8"/>
  <c r="F894" i="8"/>
  <c r="F895" i="8"/>
  <c r="F896" i="8"/>
  <c r="F897" i="8"/>
  <c r="F898" i="8"/>
  <c r="F899" i="8"/>
  <c r="F900" i="8"/>
  <c r="F901" i="8"/>
  <c r="F902" i="8"/>
  <c r="F903" i="8"/>
  <c r="F904" i="8"/>
  <c r="F905" i="8"/>
  <c r="F906" i="8"/>
  <c r="F907" i="8"/>
  <c r="F908" i="8"/>
  <c r="F909" i="8"/>
  <c r="F910" i="8"/>
  <c r="F911" i="8"/>
  <c r="F912" i="8"/>
  <c r="F913" i="8"/>
  <c r="F914" i="8"/>
  <c r="F915" i="8"/>
  <c r="F916" i="8"/>
  <c r="F917" i="8"/>
  <c r="F918" i="8"/>
  <c r="F919" i="8"/>
  <c r="F920" i="8"/>
  <c r="F921" i="8"/>
  <c r="F922" i="8"/>
  <c r="F923" i="8"/>
  <c r="F924" i="8"/>
  <c r="F925" i="8"/>
  <c r="F926" i="8"/>
  <c r="F927" i="8"/>
  <c r="F928" i="8"/>
  <c r="F929" i="8"/>
  <c r="F930" i="8"/>
  <c r="F931" i="8"/>
  <c r="F932" i="8"/>
  <c r="F933" i="8"/>
  <c r="F934" i="8"/>
  <c r="F935" i="8"/>
  <c r="F936" i="8"/>
  <c r="F937" i="8"/>
  <c r="F938" i="8"/>
  <c r="F939" i="8"/>
  <c r="F940" i="8"/>
  <c r="F941" i="8"/>
  <c r="F942" i="8"/>
  <c r="F943" i="8"/>
  <c r="F944" i="8"/>
  <c r="F945" i="8"/>
  <c r="F946" i="8"/>
  <c r="F947" i="8"/>
  <c r="F948" i="8"/>
  <c r="F949" i="8"/>
  <c r="F950" i="8"/>
  <c r="F951" i="8"/>
  <c r="F952" i="8"/>
  <c r="F953" i="8"/>
  <c r="F954" i="8"/>
  <c r="F955" i="8"/>
  <c r="F956" i="8"/>
  <c r="F957" i="8"/>
  <c r="F958" i="8"/>
  <c r="F959" i="8"/>
  <c r="F960" i="8"/>
  <c r="F961" i="8"/>
  <c r="F962" i="8"/>
  <c r="F963" i="8"/>
  <c r="F964" i="8"/>
  <c r="F965" i="8"/>
  <c r="F966" i="8"/>
  <c r="F967" i="8"/>
  <c r="F968" i="8"/>
  <c r="F969" i="8"/>
  <c r="F970" i="8"/>
  <c r="F971" i="8"/>
  <c r="F972" i="8"/>
  <c r="F973" i="8"/>
  <c r="F974" i="8"/>
  <c r="F975" i="8"/>
  <c r="F976" i="8"/>
  <c r="F977" i="8"/>
  <c r="F978" i="8"/>
  <c r="F979" i="8"/>
  <c r="F980" i="8"/>
  <c r="F981" i="8"/>
  <c r="F982" i="8"/>
  <c r="F983" i="8"/>
  <c r="F984" i="8"/>
  <c r="F985" i="8"/>
  <c r="F986" i="8"/>
  <c r="F987" i="8"/>
  <c r="F988" i="8"/>
  <c r="F989" i="8"/>
  <c r="F990" i="8"/>
  <c r="F991" i="8"/>
  <c r="F992" i="8"/>
  <c r="F993" i="8"/>
  <c r="F994" i="8"/>
  <c r="F995" i="8"/>
  <c r="F996" i="8"/>
  <c r="F997" i="8"/>
  <c r="F998" i="8"/>
  <c r="F999" i="8"/>
  <c r="F1000" i="8"/>
  <c r="F1001" i="8"/>
  <c r="F1002" i="8"/>
  <c r="F1003" i="8"/>
  <c r="F1004" i="8"/>
  <c r="F1005" i="8"/>
  <c r="F1006" i="8"/>
  <c r="F1007" i="8"/>
  <c r="F1008" i="8"/>
  <c r="F1009" i="8"/>
  <c r="F1010" i="8"/>
  <c r="F1011" i="8"/>
  <c r="F1012" i="8"/>
  <c r="F1013" i="8"/>
  <c r="F1014" i="8"/>
  <c r="F1015" i="8"/>
  <c r="F1016" i="8"/>
  <c r="F1017" i="8"/>
  <c r="F18" i="8"/>
  <c r="P21" i="6" l="1"/>
  <c r="P9" i="6"/>
  <c r="H69" i="6"/>
  <c r="C36" i="5"/>
  <c r="P37" i="6" s="1"/>
  <c r="C1020" i="9"/>
  <c r="P24" i="6" s="1"/>
  <c r="C1020" i="8"/>
  <c r="P17" i="6" s="1"/>
  <c r="H4073" i="6" l="1"/>
  <c r="C1026" i="9"/>
  <c r="P26" i="6" s="1"/>
  <c r="C7" i="5"/>
  <c r="C8" i="10" l="1"/>
  <c r="E1024" i="9" l="1"/>
  <c r="C1024" i="9"/>
  <c r="E1024" i="8"/>
  <c r="C1024" i="8"/>
  <c r="E26" i="10"/>
  <c r="C26" i="10"/>
  <c r="E76" i="7" l="1"/>
  <c r="C76" i="7"/>
  <c r="F34" i="5" l="1"/>
  <c r="C34" i="5"/>
  <c r="F54" i="2"/>
  <c r="C54" i="2"/>
  <c r="C56" i="2"/>
  <c r="P12" i="6" s="1"/>
  <c r="C7" i="8"/>
  <c r="C13" i="10"/>
  <c r="C50" i="2"/>
  <c r="P10" i="6" s="1"/>
  <c r="H2071" i="6" l="1"/>
  <c r="P14" i="6"/>
  <c r="C1026" i="8"/>
  <c r="P19" i="6" s="1"/>
  <c r="C13" i="7"/>
  <c r="P28" i="6" s="1"/>
  <c r="C19" i="10"/>
  <c r="C19" i="7" l="1"/>
  <c r="H4074" i="6" l="1"/>
  <c r="P30" i="6"/>
  <c r="H4081" i="6"/>
  <c r="H4078" i="6"/>
  <c r="H4080" i="6"/>
  <c r="H4075" i="6"/>
  <c r="H4082" i="6"/>
  <c r="H4076" i="6"/>
  <c r="H4083" i="6"/>
  <c r="H4077" i="6"/>
  <c r="H4084" i="6"/>
  <c r="C24" i="10"/>
  <c r="C78" i="7" l="1"/>
  <c r="P32" i="6" s="1"/>
</calcChain>
</file>

<file path=xl/python.xml><?xml version="1.0" encoding="utf-8"?>
<python xmlns="http://schemas.microsoft.com/office/spreadsheetml/2023/python">
  <environmentDefinition id="{882DD1B0-6546-4DFA-8A08-902A380B44EA}">
    <initialization userModified="1">
      <code xml:space="preserve">import numpy as np
import pandas as pd
import matplotlib.pyplot as plt
import seaborn as sns
import statsmodels as sm
import excel
import warnings
warnings.simplefilter('ignore')
excel.set_xl_scalar_conversion(excel.convert_to_scalar)
excel.set_xl_array_conversion(excel.convert_to_dataframe)
</code>
    </initialization>
  </environmentDefinition>
</python>
</file>

<file path=xl/sharedStrings.xml><?xml version="1.0" encoding="utf-8"?>
<sst xmlns="http://schemas.openxmlformats.org/spreadsheetml/2006/main" count="12500" uniqueCount="4348">
  <si>
    <t>Instructions</t>
  </si>
  <si>
    <t>Submission and Eligibility Requirements</t>
  </si>
  <si>
    <t>Request for Confidentiality</t>
  </si>
  <si>
    <t>Legal Authority</t>
  </si>
  <si>
    <t>•</t>
  </si>
  <si>
    <t>It is the responsibility of the regulated emitter to contact all necessary agencies of the Government of Canada to meet any requirements pertaining to federal acts or regulations.</t>
  </si>
  <si>
    <t>Once each tab is complete, ensure the notification at the bottom reads "Sheet complete". If it does not, follow the instructions to complete the tab.</t>
  </si>
  <si>
    <t>After reviewing the information on each tab, the authorized signing officer must convert this form to a PDF by following the steps on the Declaration tab.</t>
  </si>
  <si>
    <t>Any changes made to this form after it has been signed by the authorized signing officer will deem the submission void.</t>
  </si>
  <si>
    <t>Regulated emitter name</t>
  </si>
  <si>
    <t>Compliance year</t>
  </si>
  <si>
    <t>Declaration</t>
  </si>
  <si>
    <t xml:space="preserve">I, </t>
  </si>
  <si>
    <t>Signature</t>
  </si>
  <si>
    <t>Inputs</t>
  </si>
  <si>
    <t>Sections</t>
  </si>
  <si>
    <t>Ranges</t>
  </si>
  <si>
    <t>Lookups</t>
  </si>
  <si>
    <t>Input name</t>
  </si>
  <si>
    <t>Index</t>
  </si>
  <si>
    <t>Reference</t>
  </si>
  <si>
    <t>Last valid entry</t>
  </si>
  <si>
    <t>Current value</t>
  </si>
  <si>
    <t>Last printed value</t>
  </si>
  <si>
    <t>Error check</t>
  </si>
  <si>
    <t>Error message</t>
  </si>
  <si>
    <t>Section name</t>
  </si>
  <si>
    <t>Range name</t>
  </si>
  <si>
    <t>Lookup</t>
  </si>
  <si>
    <t>Value</t>
  </si>
  <si>
    <t>R.Instructions.PrintArea</t>
  </si>
  <si>
    <t>R.Instructions.VersionNumber</t>
  </si>
  <si>
    <t>R.Instructions.VersionDate</t>
  </si>
  <si>
    <t>Amount due</t>
  </si>
  <si>
    <r>
      <t>Price per tonne CO</t>
    </r>
    <r>
      <rPr>
        <vertAlign val="subscript"/>
        <sz val="11"/>
        <color rgb="FF000000"/>
        <rFont val="Aptos Narrow"/>
        <family val="2"/>
      </rPr>
      <t>2</t>
    </r>
    <r>
      <rPr>
        <sz val="11"/>
        <color rgb="FF000000"/>
        <rFont val="Aptos Narrow"/>
        <family val="2"/>
      </rPr>
      <t>e</t>
    </r>
  </si>
  <si>
    <t>Facility name</t>
  </si>
  <si>
    <t>#</t>
  </si>
  <si>
    <t>OBPS registration number</t>
  </si>
  <si>
    <r>
      <t>tonnes CO</t>
    </r>
    <r>
      <rPr>
        <vertAlign val="subscript"/>
        <sz val="11"/>
        <color rgb="FF000000"/>
        <rFont val="Aptos Narrow"/>
        <family val="2"/>
      </rPr>
      <t>2</t>
    </r>
    <r>
      <rPr>
        <sz val="11"/>
        <color rgb="FF000000"/>
        <rFont val="Aptos Narrow"/>
        <family val="2"/>
      </rPr>
      <t>e</t>
    </r>
  </si>
  <si>
    <t>R.Declaration.PrintArea</t>
  </si>
  <si>
    <t>R.Declaration.Timestamp</t>
  </si>
  <si>
    <t>S.Developer.Inputs</t>
  </si>
  <si>
    <t>S.Developer.Sections</t>
  </si>
  <si>
    <t>S.Developer.Ranges</t>
  </si>
  <si>
    <t>I.Declaration.Name</t>
  </si>
  <si>
    <t>I.Declaration.Date</t>
  </si>
  <si>
    <t>=Declaration!$D$9</t>
  </si>
  <si>
    <t>Summary</t>
  </si>
  <si>
    <t>Compliance obligation fulfilled by retiring performance credits</t>
  </si>
  <si>
    <t>Compliance obligation fulfilled by retiring CCUS credits</t>
  </si>
  <si>
    <t>Total</t>
  </si>
  <si>
    <t>Compliance Obligation Fulfilled</t>
  </si>
  <si>
    <r>
      <t>tonnes CO</t>
    </r>
    <r>
      <rPr>
        <vertAlign val="subscript"/>
        <sz val="11"/>
        <color rgb="FF000000"/>
        <rFont val="Aptos Narrow"/>
        <family val="2"/>
        <scheme val="minor"/>
      </rPr>
      <t>2</t>
    </r>
    <r>
      <rPr>
        <sz val="11"/>
        <color rgb="FF000000"/>
        <rFont val="Aptos Narrow"/>
        <family val="2"/>
        <scheme val="minor"/>
      </rPr>
      <t>e</t>
    </r>
  </si>
  <si>
    <t>Contact Information</t>
  </si>
  <si>
    <t>Enter the contact information for the individual who shall receive the receipt of payment.</t>
  </si>
  <si>
    <t>First name</t>
  </si>
  <si>
    <t>Last name</t>
  </si>
  <si>
    <t>Position title</t>
  </si>
  <si>
    <t>Email address</t>
  </si>
  <si>
    <t>Mailing address 1</t>
  </si>
  <si>
    <t>Mailing address 2 (optional)</t>
  </si>
  <si>
    <t>City or municipality</t>
  </si>
  <si>
    <t>Province or territory</t>
  </si>
  <si>
    <t>Country</t>
  </si>
  <si>
    <t>Postal code</t>
  </si>
  <si>
    <t>Telephone number 1</t>
  </si>
  <si>
    <t>Telephone number 1 extension (optional)</t>
  </si>
  <si>
    <t>Telephone number 2 (optional)</t>
  </si>
  <si>
    <t>Telephone number 2 extension (optional)</t>
  </si>
  <si>
    <t>Account name: Saskatchewan Technology Fund</t>
  </si>
  <si>
    <t>Saskatchewan Technology Fund</t>
  </si>
  <si>
    <t>Royal Bank of Canada</t>
  </si>
  <si>
    <t>c/o Innovation Saskatchewan</t>
  </si>
  <si>
    <t>140 - 10 Research Drive</t>
  </si>
  <si>
    <t>Regina, SK</t>
  </si>
  <si>
    <t>S4S 7J7</t>
  </si>
  <si>
    <t>Regina SK S4P 0J3</t>
  </si>
  <si>
    <t>Transit number: 00008</t>
  </si>
  <si>
    <t>A direct deposit may be made to Innovation Saskatchewan. The bank and account information are as follows:</t>
  </si>
  <si>
    <t>2002 – 11th Ave</t>
  </si>
  <si>
    <t>Account number: 1038066</t>
  </si>
  <si>
    <t>Institution number: 003</t>
  </si>
  <si>
    <t>Email address: sasktechfund@innovationsask.ca</t>
  </si>
  <si>
    <t>Telephone number: 306-798-7275</t>
  </si>
  <si>
    <t>Once payment is received, Innovation Saskatchewan will issue a receipt of payment to the contact person indicated in the section below. A copy of the receipt will be sent to the Ministry of Environment.</t>
  </si>
  <si>
    <t>How many facilities owned or operated by the regulated emitter have a compliance obligation?</t>
  </si>
  <si>
    <t>Compliance obligation</t>
  </si>
  <si>
    <t>A cheque payable to the  "Saskatchewan Technology Fund" may be mailed to Innovation Saskatchewan. The mailing information is as follows:</t>
  </si>
  <si>
    <t>Compliance obligation fulfilled by making a payment</t>
  </si>
  <si>
    <t>Compliance Obligation</t>
  </si>
  <si>
    <t>Payment Information</t>
  </si>
  <si>
    <t>Performance Credit Information</t>
  </si>
  <si>
    <t>CCUS Credit Information</t>
  </si>
  <si>
    <t>This form must be submitted if a regulated emitter has a compliance obligation in a compliance year.</t>
  </si>
  <si>
    <t>Compliance return form for industrial facilities</t>
  </si>
  <si>
    <r>
      <t xml:space="preserve">Compliance Return Form for Regulated Emitters Subject to 
</t>
    </r>
    <r>
      <rPr>
        <b/>
        <i/>
        <sz val="18"/>
        <color rgb="FFFFFFFF"/>
        <rFont val="Aptos Narrow"/>
        <family val="2"/>
      </rPr>
      <t>The Aggregate Facility Standard</t>
    </r>
    <r>
      <rPr>
        <b/>
        <sz val="18"/>
        <color rgb="FFFFFFFF"/>
        <rFont val="Aptos Narrow"/>
        <family val="2"/>
      </rPr>
      <t xml:space="preserve"> or </t>
    </r>
    <r>
      <rPr>
        <b/>
        <i/>
        <sz val="18"/>
        <color rgb="FFFFFFFF"/>
        <rFont val="Aptos Narrow"/>
        <family val="2"/>
      </rPr>
      <t>The Industrial Facility Standard</t>
    </r>
  </si>
  <si>
    <r>
      <t xml:space="preserve">This form is for regulated emitters with facilities registered under </t>
    </r>
    <r>
      <rPr>
        <i/>
        <sz val="11"/>
        <color rgb="FF000000"/>
        <rFont val="Aptos Narrow"/>
        <family val="2"/>
      </rPr>
      <t>The Aggregate Facility Standard</t>
    </r>
    <r>
      <rPr>
        <sz val="11"/>
        <color rgb="FF000000"/>
        <rFont val="Aptos Narrow"/>
        <family val="2"/>
      </rPr>
      <t xml:space="preserve"> or </t>
    </r>
    <r>
      <rPr>
        <i/>
        <sz val="11"/>
        <color rgb="FF000000"/>
        <rFont val="Aptos Narrow"/>
        <family val="2"/>
      </rPr>
      <t>The Industrial Facility Standard.</t>
    </r>
  </si>
  <si>
    <t>R.Payment.PrintArea</t>
  </si>
  <si>
    <t>R.Payment.Timestamp</t>
  </si>
  <si>
    <t>R.Performance.PrintArea</t>
  </si>
  <si>
    <t>R.Performance.Timestamp</t>
  </si>
  <si>
    <t>R.CCUS.PrintArea</t>
  </si>
  <si>
    <t>R.CCUS.Timestamp</t>
  </si>
  <si>
    <t>R.Summary.PrintArea</t>
  </si>
  <si>
    <t>R.Payment.Notification</t>
  </si>
  <si>
    <t>R.Performance.Notification</t>
  </si>
  <si>
    <t>R.CCUS.Notification</t>
  </si>
  <si>
    <t>R.Declaration.Notification</t>
  </si>
  <si>
    <t>S.Developer.Lookups</t>
  </si>
  <si>
    <t>=Developer!$S$4:$T$15</t>
  </si>
  <si>
    <t>I.Payment.ContactFirstName</t>
  </si>
  <si>
    <t>I.Payment.ContactLastName</t>
  </si>
  <si>
    <t>I.Payment.ContactPosition</t>
  </si>
  <si>
    <t>I.Payment.ContactEmail</t>
  </si>
  <si>
    <t>I.Payment.ContactAddress1</t>
  </si>
  <si>
    <t>I.Payment.ContactAddress2</t>
  </si>
  <si>
    <t>I.Payment.ContactCity</t>
  </si>
  <si>
    <t>I.Payment.ContactProvince</t>
  </si>
  <si>
    <t>I.Payment.ContactCountry</t>
  </si>
  <si>
    <t>I.Payment.ContactPostalCode</t>
  </si>
  <si>
    <t>I.Payment.ContactPhone1</t>
  </si>
  <si>
    <t>I.Payment.ContactPhone1Extension</t>
  </si>
  <si>
    <t>I.Payment.ContactPhone2</t>
  </si>
  <si>
    <t>I.Payment.ContactPhone2Extension</t>
  </si>
  <si>
    <t>I.Performance.StartRange</t>
  </si>
  <si>
    <t>I.Performance.EndRange</t>
  </si>
  <si>
    <t>I.CCUS.StartRange</t>
  </si>
  <si>
    <t>I.CCUS.EndRange</t>
  </si>
  <si>
    <t>='Payment Information'!$C$16</t>
  </si>
  <si>
    <t>Enter the regulated emitter name.</t>
  </si>
  <si>
    <t>Enter the compliance year.</t>
  </si>
  <si>
    <t>Enter the number of facilities owned or operated by the regulated emitter that have a compliance obligation.</t>
  </si>
  <si>
    <t>Enter the facility name on row 1 of the table.</t>
  </si>
  <si>
    <t>Enter the facility name on row 2 of the table.</t>
  </si>
  <si>
    <t>Enter the facility name on row 3 of the table.</t>
  </si>
  <si>
    <t>Enter the facility name on row 4 of the table.</t>
  </si>
  <si>
    <t>Enter the facility name on row 5 of the table.</t>
  </si>
  <si>
    <t>Enter the facility name on row 6 of the table.</t>
  </si>
  <si>
    <t>Enter the facility name on row 7 of the table.</t>
  </si>
  <si>
    <t>Enter the facility name on row 8 of the table.</t>
  </si>
  <si>
    <t>Enter the facility name on row 9 of the table.</t>
  </si>
  <si>
    <t>Enter the facility name on row 10 of the table.</t>
  </si>
  <si>
    <t>Enter the facility name on row 11 of the table.</t>
  </si>
  <si>
    <t>Enter the facility name on row 12 of the table.</t>
  </si>
  <si>
    <t>Enter the facility name on row 13 of the table.</t>
  </si>
  <si>
    <t>Enter the facility name on row 14 of the table.</t>
  </si>
  <si>
    <t>Enter the facility name on row 15 of the table.</t>
  </si>
  <si>
    <t>Enter the facility name on row 16 of the table.</t>
  </si>
  <si>
    <t>Enter the facility name on row 17 of the table.</t>
  </si>
  <si>
    <t>Enter the facility name on row 18 of the table.</t>
  </si>
  <si>
    <t>Enter the facility name on row 19 of the table.</t>
  </si>
  <si>
    <t>Enter the facility name on row 20 of the table.</t>
  </si>
  <si>
    <t>Enter the OBPS registration number on row 1 of the table.</t>
  </si>
  <si>
    <t>Enter the OBPS registration number on row 2 of the table.</t>
  </si>
  <si>
    <t>Enter the OBPS registration number on row 3 of the table.</t>
  </si>
  <si>
    <t>Enter the OBPS registration number on row 4 of the table.</t>
  </si>
  <si>
    <t>Enter the OBPS registration number on row 5 of the table.</t>
  </si>
  <si>
    <t>Enter the OBPS registration number on row 6 of the table.</t>
  </si>
  <si>
    <t>Enter the OBPS registration number on row 7 of the table.</t>
  </si>
  <si>
    <t>Enter the OBPS registration number on row 8 of the table.</t>
  </si>
  <si>
    <t>Enter the OBPS registration number on row 9 of the table.</t>
  </si>
  <si>
    <t>Enter the OBPS registration number on row 10 of the table.</t>
  </si>
  <si>
    <t>Enter the OBPS registration number on row 11 of the table.</t>
  </si>
  <si>
    <t>Enter the OBPS registration number on row 12 of the table.</t>
  </si>
  <si>
    <t>Enter the OBPS registration number on row 13 of the table.</t>
  </si>
  <si>
    <t>Enter the OBPS registration number on row 14 of the table.</t>
  </si>
  <si>
    <t>Enter the OBPS registration number on row 15 of the table.</t>
  </si>
  <si>
    <t>Enter the OBPS registration number on row 16 of the table.</t>
  </si>
  <si>
    <t>Enter the OBPS registration number on row 17 of the table.</t>
  </si>
  <si>
    <t>Enter the OBPS registration number on row 18 of the table.</t>
  </si>
  <si>
    <t>Enter the OBPS registration number on row 19 of the table.</t>
  </si>
  <si>
    <t>Enter the OBPS registration number on row 20 of the table.</t>
  </si>
  <si>
    <t>Enter the compliance obligation on row 1 of the table.</t>
  </si>
  <si>
    <t>Enter the compliance obligation on row 2 of the table.</t>
  </si>
  <si>
    <t>Enter the compliance obligation on row 3 of the table.</t>
  </si>
  <si>
    <t>Enter the compliance obligation on row 4 of the table.</t>
  </si>
  <si>
    <t>Enter the compliance obligation on row 5 of the table.</t>
  </si>
  <si>
    <t>Enter the compliance obligation on row 6 of the table.</t>
  </si>
  <si>
    <t>Enter the compliance obligation on row 7 of the table.</t>
  </si>
  <si>
    <t>Enter the compliance obligation on row 8 of the table.</t>
  </si>
  <si>
    <t>Enter the compliance obligation on row 9 of the table.</t>
  </si>
  <si>
    <t>Enter the compliance obligation on row 10 of the table.</t>
  </si>
  <si>
    <t>Enter the compliance obligation on row 11 of the table.</t>
  </si>
  <si>
    <t>Enter the compliance obligation on row 12 of the table.</t>
  </si>
  <si>
    <t>Enter the compliance obligation on row 13 of the table.</t>
  </si>
  <si>
    <t>Enter the compliance obligation on row 14 of the table.</t>
  </si>
  <si>
    <t>Enter the compliance obligation on row 15 of the table.</t>
  </si>
  <si>
    <t>Enter the compliance obligation on row 16 of the table.</t>
  </si>
  <si>
    <t>Enter the compliance obligation on row 17 of the table.</t>
  </si>
  <si>
    <t>Enter the compliance obligation on row 18 of the table.</t>
  </si>
  <si>
    <t>Enter the compliance obligation on row 19 of the table.</t>
  </si>
  <si>
    <t>Enter the compliance obligation on row 20 of the table.</t>
  </si>
  <si>
    <t>Enter the compliance obligation fulfilled by retiring performance credits.</t>
  </si>
  <si>
    <t>Enter the first name of the contact who shall receive the receipt of payment.</t>
  </si>
  <si>
    <t>Enter the last name of the contact who shall receive the receipt of payment.</t>
  </si>
  <si>
    <t>Enter the position title of the contact who shall receive the receipt of payment.</t>
  </si>
  <si>
    <t>Enter the email address of the contact who shall receive the receipt of payment.</t>
  </si>
  <si>
    <t>Enter the mailing address of the contact who shall receive the receipt of payment.</t>
  </si>
  <si>
    <t>Enter the city or municipality of the contact who shall receive the receipt of payment.</t>
  </si>
  <si>
    <t>Enter the province or territory of the contact who shall receive the receipt of payment.</t>
  </si>
  <si>
    <t>Enter the country of the contact who shall receive the receipt of payment.</t>
  </si>
  <si>
    <t>Enter the postal code of the contact who shall receive the receipt of payment.</t>
  </si>
  <si>
    <t>Enter the primary telephone number of the contact who shall receive the receipt of payment.</t>
  </si>
  <si>
    <t>Enter the name of the authorized signing officer.</t>
  </si>
  <si>
    <t>Enter the date of signature.</t>
  </si>
  <si>
    <t>S.Developer.LastEntry</t>
  </si>
  <si>
    <t>S.Performance.Table1</t>
  </si>
  <si>
    <t>S.CCUS.Table1</t>
  </si>
  <si>
    <t>Compliance Information</t>
  </si>
  <si>
    <t>Number of performance credit serial number ranges</t>
  </si>
  <si>
    <t>Number of CCUS credit serial number ranges</t>
  </si>
  <si>
    <t>Payment Options</t>
  </si>
  <si>
    <t>I.Compliance.EmitterName</t>
  </si>
  <si>
    <t>I.Compliance.FacilityCount</t>
  </si>
  <si>
    <t>I.Compliance.FacilityName</t>
  </si>
  <si>
    <t>I.Compliance.OBPSNumber</t>
  </si>
  <si>
    <t>='Compliance Information'!$C$7</t>
  </si>
  <si>
    <t>='Compliance Information'!$C$10</t>
  </si>
  <si>
    <t>='Compliance Information'!$C$13</t>
  </si>
  <si>
    <t>='Compliance Information'!$D$17:$D$36</t>
  </si>
  <si>
    <t>='Compliance Information'!$E$17:$E$36</t>
  </si>
  <si>
    <t>='Compliance Information'!$F$17:$F$36</t>
  </si>
  <si>
    <t>='Payment Information'!$C$57</t>
  </si>
  <si>
    <t>='Payment Information'!$E$57</t>
  </si>
  <si>
    <t>='Payment Information'!$C$60</t>
  </si>
  <si>
    <t>='Payment Information'!$E$60</t>
  </si>
  <si>
    <t>='Payment Information'!$C$63</t>
  </si>
  <si>
    <t>='Payment Information'!$E$63</t>
  </si>
  <si>
    <t>='Payment Information'!$C$66</t>
  </si>
  <si>
    <t>='Payment Information'!$E$66</t>
  </si>
  <si>
    <t>='Payment Information'!$C$69</t>
  </si>
  <si>
    <t>='Payment Information'!$E$69</t>
  </si>
  <si>
    <t>='Payment Information'!$C$72</t>
  </si>
  <si>
    <t>='Payment Information'!$E$72</t>
  </si>
  <si>
    <t>R.Compliance.PrintArea</t>
  </si>
  <si>
    <t>R.Compliance.Timestamp</t>
  </si>
  <si>
    <t>R.Compliance.Notification</t>
  </si>
  <si>
    <t>Before using this form, ensure it is saved in a trusted location.</t>
  </si>
  <si>
    <t>The authorized signing officer must provide a signature on the Declaration tab of the PDF.</t>
  </si>
  <si>
    <t>The timestamp on each tab of this Excel form must match the timestamp on each tab of the PDF version.</t>
  </si>
  <si>
    <t>Compliance obligations must be fulfilled by October 31 of the year following the year the emissions return was submitted.</t>
  </si>
  <si>
    <t>Number of performance credits entered</t>
  </si>
  <si>
    <t>Number of CCUS credits entered</t>
  </si>
  <si>
    <t>An authorized signing officer is a person who has the authority to accept legal responsibility on behalf of the facilities in this form.</t>
  </si>
  <si>
    <t>Proof of authority for the authorized signing officer must be submitted with the contact information form if the authorized signing officer does not hold the position of chief executive officer, chief financial officer, chief operating officer, president or vice president.</t>
  </si>
  <si>
    <t>I.Compliance.Year</t>
  </si>
  <si>
    <t>I.Compliance.FacilityObligation</t>
  </si>
  <si>
    <t>I.Performance.RangeCount</t>
  </si>
  <si>
    <t>I.CCUS.RangeCount</t>
  </si>
  <si>
    <t>S.Payment.Options</t>
  </si>
  <si>
    <t>='Payment Information'!$B$21:$F$48</t>
  </si>
  <si>
    <t>S.Payment.Contact</t>
  </si>
  <si>
    <t>='Payment Information'!$B$49:$F$73</t>
  </si>
  <si>
    <t>R.Compliance.Obligation</t>
  </si>
  <si>
    <t>='Compliance Information'!$C$39</t>
  </si>
  <si>
    <t>='Compliance Information'!$C$47</t>
  </si>
  <si>
    <t>R.Performance.CreditCount</t>
  </si>
  <si>
    <t>R.CCUS.CreditCount</t>
  </si>
  <si>
    <t>='Payment Information'!$B$1:$F$80</t>
  </si>
  <si>
    <t>='Payment Information'!$C$13</t>
  </si>
  <si>
    <t>R.Payment.Price</t>
  </si>
  <si>
    <t>R.Payment.AmountDue</t>
  </si>
  <si>
    <t>='Payment Information'!$C$19</t>
  </si>
  <si>
    <t>='Payment Information'!$C$74</t>
  </si>
  <si>
    <t>='Payment Information'!$C$78</t>
  </si>
  <si>
    <t>=Summary!$B$1:$F$26</t>
  </si>
  <si>
    <t>='Payment Information'!$C$54</t>
  </si>
  <si>
    <t>='Payment Information'!$E$54</t>
  </si>
  <si>
    <t>Enter the number of performance credit serial number ranges that will be entered into the table.</t>
  </si>
  <si>
    <t>Enter the performance credit serial number start range on row 1 of the table.</t>
  </si>
  <si>
    <t>Enter the performance credit serial number start range on row 2 of the table.</t>
  </si>
  <si>
    <t>Enter the performance credit serial number start range on row 3 of the table.</t>
  </si>
  <si>
    <t>Enter the performance credit serial number start range on row 4 of the table.</t>
  </si>
  <si>
    <t>Enter the performance credit serial number start range on row 5 of the table.</t>
  </si>
  <si>
    <t>Enter the performance credit serial number start range on row 6 of the table.</t>
  </si>
  <si>
    <t>Enter the performance credit serial number start range on row 7 of the table.</t>
  </si>
  <si>
    <t>Enter the performance credit serial number start range on row 8 of the table.</t>
  </si>
  <si>
    <t>Enter the performance credit serial number start range on row 9 of the table.</t>
  </si>
  <si>
    <t>Enter the performance credit serial number start range on row 10 of the table.</t>
  </si>
  <si>
    <t>Enter the performance credit serial number start range on row 11 of the table.</t>
  </si>
  <si>
    <t>Enter the performance credit serial number start range on row 12 of the table.</t>
  </si>
  <si>
    <t>Enter the performance credit serial number start range on row 13 of the table.</t>
  </si>
  <si>
    <t>Enter the performance credit serial number start range on row 14 of the table.</t>
  </si>
  <si>
    <t>Enter the performance credit serial number start range on row 15 of the table.</t>
  </si>
  <si>
    <t>Enter the performance credit serial number start range on row 16 of the table.</t>
  </si>
  <si>
    <t>Enter the performance credit serial number start range on row 17 of the table.</t>
  </si>
  <si>
    <t>Enter the performance credit serial number start range on row 18 of the table.</t>
  </si>
  <si>
    <t>Enter the performance credit serial number start range on row 19 of the table.</t>
  </si>
  <si>
    <t>Enter the performance credit serial number start range on row 20 of the table.</t>
  </si>
  <si>
    <t>Enter the performance credit serial number start range on row 21 of the table.</t>
  </si>
  <si>
    <t>Enter the performance credit serial number start range on row 22 of the table.</t>
  </si>
  <si>
    <t>Enter the performance credit serial number start range on row 23 of the table.</t>
  </si>
  <si>
    <t>Enter the performance credit serial number start range on row 24 of the table.</t>
  </si>
  <si>
    <t>Enter the performance credit serial number start range on row 25 of the table.</t>
  </si>
  <si>
    <t>Enter the performance credit serial number start range on row 26 of the table.</t>
  </si>
  <si>
    <t>Enter the performance credit serial number start range on row 27 of the table.</t>
  </si>
  <si>
    <t>Enter the performance credit serial number start range on row 28 of the table.</t>
  </si>
  <si>
    <t>Enter the performance credit serial number start range on row 29 of the table.</t>
  </si>
  <si>
    <t>Enter the performance credit serial number start range on row 30 of the table.</t>
  </si>
  <si>
    <t>Enter the performance credit serial number start range on row 31 of the table.</t>
  </si>
  <si>
    <t>Enter the performance credit serial number start range on row 32 of the table.</t>
  </si>
  <si>
    <t>Enter the performance credit serial number start range on row 33 of the table.</t>
  </si>
  <si>
    <t>Enter the performance credit serial number start range on row 34 of the table.</t>
  </si>
  <si>
    <t>Enter the performance credit serial number start range on row 35 of the table.</t>
  </si>
  <si>
    <t>Enter the performance credit serial number start range on row 36 of the table.</t>
  </si>
  <si>
    <t>Enter the performance credit serial number start range on row 37 of the table.</t>
  </si>
  <si>
    <t>Enter the performance credit serial number start range on row 38 of the table.</t>
  </si>
  <si>
    <t>Enter the performance credit serial number start range on row 39 of the table.</t>
  </si>
  <si>
    <t>Enter the performance credit serial number start range on row 40 of the table.</t>
  </si>
  <si>
    <t>Enter the performance credit serial number start range on row 41 of the table.</t>
  </si>
  <si>
    <t>Enter the performance credit serial number start range on row 42 of the table.</t>
  </si>
  <si>
    <t>Enter the performance credit serial number start range on row 43 of the table.</t>
  </si>
  <si>
    <t>Enter the performance credit serial number start range on row 44 of the table.</t>
  </si>
  <si>
    <t>Enter the performance credit serial number start range on row 45 of the table.</t>
  </si>
  <si>
    <t>Enter the performance credit serial number start range on row 46 of the table.</t>
  </si>
  <si>
    <t>Enter the performance credit serial number start range on row 47 of the table.</t>
  </si>
  <si>
    <t>Enter the performance credit serial number start range on row 48 of the table.</t>
  </si>
  <si>
    <t>Enter the performance credit serial number start range on row 49 of the table.</t>
  </si>
  <si>
    <t>Enter the performance credit serial number start range on row 50 of the table.</t>
  </si>
  <si>
    <t>Enter the performance credit serial number start range on row 51 of the table.</t>
  </si>
  <si>
    <t>Enter the performance credit serial number start range on row 52 of the table.</t>
  </si>
  <si>
    <t>Enter the performance credit serial number start range on row 53 of the table.</t>
  </si>
  <si>
    <t>Enter the performance credit serial number start range on row 54 of the table.</t>
  </si>
  <si>
    <t>Enter the performance credit serial number start range on row 55 of the table.</t>
  </si>
  <si>
    <t>Enter the performance credit serial number start range on row 56 of the table.</t>
  </si>
  <si>
    <t>Enter the performance credit serial number start range on row 57 of the table.</t>
  </si>
  <si>
    <t>Enter the performance credit serial number start range on row 58 of the table.</t>
  </si>
  <si>
    <t>Enter the performance credit serial number start range on row 59 of the table.</t>
  </si>
  <si>
    <t>Enter the performance credit serial number start range on row 60 of the table.</t>
  </si>
  <si>
    <t>Enter the performance credit serial number start range on row 61 of the table.</t>
  </si>
  <si>
    <t>Enter the performance credit serial number start range on row 62 of the table.</t>
  </si>
  <si>
    <t>Enter the performance credit serial number start range on row 63 of the table.</t>
  </si>
  <si>
    <t>Enter the performance credit serial number start range on row 64 of the table.</t>
  </si>
  <si>
    <t>Enter the performance credit serial number start range on row 65 of the table.</t>
  </si>
  <si>
    <t>Enter the performance credit serial number start range on row 66 of the table.</t>
  </si>
  <si>
    <t>Enter the performance credit serial number start range on row 67 of the table.</t>
  </si>
  <si>
    <t>Enter the performance credit serial number start range on row 68 of the table.</t>
  </si>
  <si>
    <t>Enter the performance credit serial number start range on row 69 of the table.</t>
  </si>
  <si>
    <t>Enter the performance credit serial number start range on row 70 of the table.</t>
  </si>
  <si>
    <t>Enter the performance credit serial number start range on row 71 of the table.</t>
  </si>
  <si>
    <t>Enter the performance credit serial number start range on row 72 of the table.</t>
  </si>
  <si>
    <t>Enter the performance credit serial number start range on row 73 of the table.</t>
  </si>
  <si>
    <t>Enter the performance credit serial number start range on row 74 of the table.</t>
  </si>
  <si>
    <t>Enter the performance credit serial number start range on row 75 of the table.</t>
  </si>
  <si>
    <t>Enter the performance credit serial number start range on row 76 of the table.</t>
  </si>
  <si>
    <t>Enter the performance credit serial number start range on row 77 of the table.</t>
  </si>
  <si>
    <t>Enter the performance credit serial number start range on row 78 of the table.</t>
  </si>
  <si>
    <t>Enter the performance credit serial number start range on row 79 of the table.</t>
  </si>
  <si>
    <t>Enter the performance credit serial number start range on row 80 of the table.</t>
  </si>
  <si>
    <t>Enter the performance credit serial number start range on row 81 of the table.</t>
  </si>
  <si>
    <t>Enter the performance credit serial number start range on row 82 of the table.</t>
  </si>
  <si>
    <t>Enter the performance credit serial number start range on row 83 of the table.</t>
  </si>
  <si>
    <t>Enter the performance credit serial number start range on row 84 of the table.</t>
  </si>
  <si>
    <t>Enter the performance credit serial number start range on row 85 of the table.</t>
  </si>
  <si>
    <t>Enter the performance credit serial number start range on row 86 of the table.</t>
  </si>
  <si>
    <t>Enter the performance credit serial number start range on row 87 of the table.</t>
  </si>
  <si>
    <t>Enter the performance credit serial number start range on row 88 of the table.</t>
  </si>
  <si>
    <t>Enter the performance credit serial number start range on row 89 of the table.</t>
  </si>
  <si>
    <t>Enter the performance credit serial number start range on row 90 of the table.</t>
  </si>
  <si>
    <t>Enter the performance credit serial number start range on row 91 of the table.</t>
  </si>
  <si>
    <t>Enter the performance credit serial number start range on row 92 of the table.</t>
  </si>
  <si>
    <t>Enter the performance credit serial number start range on row 93 of the table.</t>
  </si>
  <si>
    <t>Enter the performance credit serial number start range on row 94 of the table.</t>
  </si>
  <si>
    <t>Enter the performance credit serial number start range on row 95 of the table.</t>
  </si>
  <si>
    <t>Enter the performance credit serial number start range on row 96 of the table.</t>
  </si>
  <si>
    <t>Enter the performance credit serial number start range on row 97 of the table.</t>
  </si>
  <si>
    <t>Enter the performance credit serial number start range on row 98 of the table.</t>
  </si>
  <si>
    <t>Enter the performance credit serial number start range on row 99 of the table.</t>
  </si>
  <si>
    <t>Enter the performance credit serial number start range on row 100 of the table.</t>
  </si>
  <si>
    <t>Enter the performance credit serial number start range on row 101 of the table.</t>
  </si>
  <si>
    <t>Enter the performance credit serial number start range on row 102 of the table.</t>
  </si>
  <si>
    <t>Enter the performance credit serial number start range on row 103 of the table.</t>
  </si>
  <si>
    <t>Enter the performance credit serial number start range on row 104 of the table.</t>
  </si>
  <si>
    <t>Enter the performance credit serial number start range on row 105 of the table.</t>
  </si>
  <si>
    <t>Enter the performance credit serial number start range on row 106 of the table.</t>
  </si>
  <si>
    <t>Enter the performance credit serial number start range on row 107 of the table.</t>
  </si>
  <si>
    <t>Enter the performance credit serial number start range on row 108 of the table.</t>
  </si>
  <si>
    <t>Enter the performance credit serial number start range on row 109 of the table.</t>
  </si>
  <si>
    <t>Enter the performance credit serial number start range on row 110 of the table.</t>
  </si>
  <si>
    <t>Enter the performance credit serial number start range on row 111 of the table.</t>
  </si>
  <si>
    <t>Enter the performance credit serial number start range on row 112 of the table.</t>
  </si>
  <si>
    <t>Enter the performance credit serial number start range on row 113 of the table.</t>
  </si>
  <si>
    <t>Enter the performance credit serial number start range on row 114 of the table.</t>
  </si>
  <si>
    <t>Enter the performance credit serial number start range on row 115 of the table.</t>
  </si>
  <si>
    <t>Enter the performance credit serial number start range on row 116 of the table.</t>
  </si>
  <si>
    <t>Enter the performance credit serial number start range on row 117 of the table.</t>
  </si>
  <si>
    <t>Enter the performance credit serial number start range on row 118 of the table.</t>
  </si>
  <si>
    <t>Enter the performance credit serial number start range on row 119 of the table.</t>
  </si>
  <si>
    <t>Enter the performance credit serial number start range on row 120 of the table.</t>
  </si>
  <si>
    <t>Enter the performance credit serial number start range on row 121 of the table.</t>
  </si>
  <si>
    <t>Enter the performance credit serial number start range on row 122 of the table.</t>
  </si>
  <si>
    <t>Enter the performance credit serial number start range on row 123 of the table.</t>
  </si>
  <si>
    <t>Enter the performance credit serial number start range on row 124 of the table.</t>
  </si>
  <si>
    <t>Enter the performance credit serial number start range on row 125 of the table.</t>
  </si>
  <si>
    <t>Enter the performance credit serial number start range on row 126 of the table.</t>
  </si>
  <si>
    <t>Enter the performance credit serial number start range on row 127 of the table.</t>
  </si>
  <si>
    <t>Enter the performance credit serial number start range on row 128 of the table.</t>
  </si>
  <si>
    <t>Enter the performance credit serial number start range on row 129 of the table.</t>
  </si>
  <si>
    <t>Enter the performance credit serial number start range on row 130 of the table.</t>
  </si>
  <si>
    <t>Enter the performance credit serial number start range on row 131 of the table.</t>
  </si>
  <si>
    <t>Enter the performance credit serial number start range on row 132 of the table.</t>
  </si>
  <si>
    <t>Enter the performance credit serial number start range on row 133 of the table.</t>
  </si>
  <si>
    <t>Enter the performance credit serial number start range on row 134 of the table.</t>
  </si>
  <si>
    <t>Enter the performance credit serial number start range on row 135 of the table.</t>
  </si>
  <si>
    <t>Enter the performance credit serial number start range on row 136 of the table.</t>
  </si>
  <si>
    <t>Enter the performance credit serial number start range on row 137 of the table.</t>
  </si>
  <si>
    <t>Enter the performance credit serial number start range on row 138 of the table.</t>
  </si>
  <si>
    <t>Enter the performance credit serial number start range on row 139 of the table.</t>
  </si>
  <si>
    <t>Enter the performance credit serial number start range on row 140 of the table.</t>
  </si>
  <si>
    <t>Enter the performance credit serial number start range on row 141 of the table.</t>
  </si>
  <si>
    <t>Enter the performance credit serial number start range on row 142 of the table.</t>
  </si>
  <si>
    <t>Enter the performance credit serial number start range on row 143 of the table.</t>
  </si>
  <si>
    <t>Enter the performance credit serial number start range on row 144 of the table.</t>
  </si>
  <si>
    <t>Enter the performance credit serial number start range on row 145 of the table.</t>
  </si>
  <si>
    <t>Enter the performance credit serial number start range on row 146 of the table.</t>
  </si>
  <si>
    <t>Enter the performance credit serial number start range on row 147 of the table.</t>
  </si>
  <si>
    <t>Enter the performance credit serial number start range on row 148 of the table.</t>
  </si>
  <si>
    <t>Enter the performance credit serial number start range on row 149 of the table.</t>
  </si>
  <si>
    <t>Enter the performance credit serial number start range on row 150 of the table.</t>
  </si>
  <si>
    <t>Enter the performance credit serial number start range on row 151 of the table.</t>
  </si>
  <si>
    <t>Enter the performance credit serial number start range on row 152 of the table.</t>
  </si>
  <si>
    <t>Enter the performance credit serial number start range on row 153 of the table.</t>
  </si>
  <si>
    <t>Enter the performance credit serial number start range on row 154 of the table.</t>
  </si>
  <si>
    <t>Enter the performance credit serial number start range on row 155 of the table.</t>
  </si>
  <si>
    <t>Enter the performance credit serial number start range on row 156 of the table.</t>
  </si>
  <si>
    <t>Enter the performance credit serial number start range on row 157 of the table.</t>
  </si>
  <si>
    <t>Enter the performance credit serial number start range on row 158 of the table.</t>
  </si>
  <si>
    <t>Enter the performance credit serial number start range on row 159 of the table.</t>
  </si>
  <si>
    <t>Enter the performance credit serial number start range on row 160 of the table.</t>
  </si>
  <si>
    <t>Enter the performance credit serial number start range on row 161 of the table.</t>
  </si>
  <si>
    <t>Enter the performance credit serial number start range on row 162 of the table.</t>
  </si>
  <si>
    <t>Enter the performance credit serial number start range on row 163 of the table.</t>
  </si>
  <si>
    <t>Enter the performance credit serial number start range on row 164 of the table.</t>
  </si>
  <si>
    <t>Enter the performance credit serial number start range on row 165 of the table.</t>
  </si>
  <si>
    <t>Enter the performance credit serial number start range on row 166 of the table.</t>
  </si>
  <si>
    <t>Enter the performance credit serial number start range on row 167 of the table.</t>
  </si>
  <si>
    <t>Enter the performance credit serial number start range on row 168 of the table.</t>
  </si>
  <si>
    <t>Enter the performance credit serial number start range on row 169 of the table.</t>
  </si>
  <si>
    <t>Enter the performance credit serial number start range on row 170 of the table.</t>
  </si>
  <si>
    <t>Enter the performance credit serial number start range on row 171 of the table.</t>
  </si>
  <si>
    <t>Enter the performance credit serial number start range on row 172 of the table.</t>
  </si>
  <si>
    <t>Enter the performance credit serial number start range on row 173 of the table.</t>
  </si>
  <si>
    <t>Enter the performance credit serial number start range on row 174 of the table.</t>
  </si>
  <si>
    <t>Enter the performance credit serial number start range on row 175 of the table.</t>
  </si>
  <si>
    <t>Enter the performance credit serial number start range on row 176 of the table.</t>
  </si>
  <si>
    <t>Enter the performance credit serial number start range on row 177 of the table.</t>
  </si>
  <si>
    <t>Enter the performance credit serial number start range on row 178 of the table.</t>
  </si>
  <si>
    <t>Enter the performance credit serial number start range on row 179 of the table.</t>
  </si>
  <si>
    <t>Enter the performance credit serial number start range on row 180 of the table.</t>
  </si>
  <si>
    <t>Enter the performance credit serial number start range on row 181 of the table.</t>
  </si>
  <si>
    <t>Enter the performance credit serial number start range on row 182 of the table.</t>
  </si>
  <si>
    <t>Enter the performance credit serial number start range on row 183 of the table.</t>
  </si>
  <si>
    <t>Enter the performance credit serial number start range on row 184 of the table.</t>
  </si>
  <si>
    <t>Enter the performance credit serial number start range on row 185 of the table.</t>
  </si>
  <si>
    <t>Enter the performance credit serial number start range on row 186 of the table.</t>
  </si>
  <si>
    <t>Enter the performance credit serial number start range on row 187 of the table.</t>
  </si>
  <si>
    <t>Enter the performance credit serial number start range on row 188 of the table.</t>
  </si>
  <si>
    <t>Enter the performance credit serial number start range on row 189 of the table.</t>
  </si>
  <si>
    <t>Enter the performance credit serial number start range on row 190 of the table.</t>
  </si>
  <si>
    <t>Enter the performance credit serial number start range on row 191 of the table.</t>
  </si>
  <si>
    <t>Enter the performance credit serial number start range on row 192 of the table.</t>
  </si>
  <si>
    <t>Enter the performance credit serial number start range on row 193 of the table.</t>
  </si>
  <si>
    <t>Enter the performance credit serial number start range on row 194 of the table.</t>
  </si>
  <si>
    <t>Enter the performance credit serial number start range on row 195 of the table.</t>
  </si>
  <si>
    <t>Enter the performance credit serial number start range on row 196 of the table.</t>
  </si>
  <si>
    <t>Enter the performance credit serial number start range on row 197 of the table.</t>
  </si>
  <si>
    <t>Enter the performance credit serial number start range on row 198 of the table.</t>
  </si>
  <si>
    <t>Enter the performance credit serial number start range on row 199 of the table.</t>
  </si>
  <si>
    <t>Enter the performance credit serial number start range on row 200 of the table.</t>
  </si>
  <si>
    <t>Enter the performance credit serial number start range on row 201 of the table.</t>
  </si>
  <si>
    <t>Enter the performance credit serial number start range on row 202 of the table.</t>
  </si>
  <si>
    <t>Enter the performance credit serial number start range on row 203 of the table.</t>
  </si>
  <si>
    <t>Enter the performance credit serial number start range on row 204 of the table.</t>
  </si>
  <si>
    <t>Enter the performance credit serial number start range on row 205 of the table.</t>
  </si>
  <si>
    <t>Enter the performance credit serial number start range on row 206 of the table.</t>
  </si>
  <si>
    <t>Enter the performance credit serial number start range on row 207 of the table.</t>
  </si>
  <si>
    <t>Enter the performance credit serial number start range on row 208 of the table.</t>
  </si>
  <si>
    <t>Enter the performance credit serial number start range on row 209 of the table.</t>
  </si>
  <si>
    <t>Enter the performance credit serial number start range on row 210 of the table.</t>
  </si>
  <si>
    <t>Enter the performance credit serial number start range on row 211 of the table.</t>
  </si>
  <si>
    <t>Enter the performance credit serial number start range on row 212 of the table.</t>
  </si>
  <si>
    <t>Enter the performance credit serial number start range on row 213 of the table.</t>
  </si>
  <si>
    <t>Enter the performance credit serial number start range on row 214 of the table.</t>
  </si>
  <si>
    <t>Enter the performance credit serial number start range on row 215 of the table.</t>
  </si>
  <si>
    <t>Enter the performance credit serial number start range on row 216 of the table.</t>
  </si>
  <si>
    <t>Enter the performance credit serial number start range on row 217 of the table.</t>
  </si>
  <si>
    <t>Enter the performance credit serial number start range on row 218 of the table.</t>
  </si>
  <si>
    <t>Enter the performance credit serial number start range on row 219 of the table.</t>
  </si>
  <si>
    <t>Enter the performance credit serial number start range on row 220 of the table.</t>
  </si>
  <si>
    <t>Enter the performance credit serial number start range on row 221 of the table.</t>
  </si>
  <si>
    <t>Enter the performance credit serial number start range on row 222 of the table.</t>
  </si>
  <si>
    <t>Enter the performance credit serial number start range on row 223 of the table.</t>
  </si>
  <si>
    <t>Enter the performance credit serial number start range on row 224 of the table.</t>
  </si>
  <si>
    <t>Enter the performance credit serial number start range on row 225 of the table.</t>
  </si>
  <si>
    <t>Enter the performance credit serial number start range on row 226 of the table.</t>
  </si>
  <si>
    <t>Enter the performance credit serial number start range on row 227 of the table.</t>
  </si>
  <si>
    <t>Enter the performance credit serial number start range on row 228 of the table.</t>
  </si>
  <si>
    <t>Enter the performance credit serial number start range on row 229 of the table.</t>
  </si>
  <si>
    <t>Enter the performance credit serial number start range on row 230 of the table.</t>
  </si>
  <si>
    <t>Enter the performance credit serial number start range on row 231 of the table.</t>
  </si>
  <si>
    <t>Enter the performance credit serial number start range on row 232 of the table.</t>
  </si>
  <si>
    <t>Enter the performance credit serial number start range on row 233 of the table.</t>
  </si>
  <si>
    <t>Enter the performance credit serial number start range on row 234 of the table.</t>
  </si>
  <si>
    <t>Enter the performance credit serial number start range on row 235 of the table.</t>
  </si>
  <si>
    <t>Enter the performance credit serial number start range on row 236 of the table.</t>
  </si>
  <si>
    <t>Enter the performance credit serial number start range on row 237 of the table.</t>
  </si>
  <si>
    <t>Enter the performance credit serial number start range on row 238 of the table.</t>
  </si>
  <si>
    <t>Enter the performance credit serial number start range on row 239 of the table.</t>
  </si>
  <si>
    <t>Enter the performance credit serial number start range on row 240 of the table.</t>
  </si>
  <si>
    <t>Enter the performance credit serial number start range on row 241 of the table.</t>
  </si>
  <si>
    <t>Enter the performance credit serial number start range on row 242 of the table.</t>
  </si>
  <si>
    <t>Enter the performance credit serial number start range on row 243 of the table.</t>
  </si>
  <si>
    <t>Enter the performance credit serial number start range on row 244 of the table.</t>
  </si>
  <si>
    <t>Enter the performance credit serial number start range on row 245 of the table.</t>
  </si>
  <si>
    <t>Enter the performance credit serial number start range on row 246 of the table.</t>
  </si>
  <si>
    <t>Enter the performance credit serial number start range on row 247 of the table.</t>
  </si>
  <si>
    <t>Enter the performance credit serial number start range on row 248 of the table.</t>
  </si>
  <si>
    <t>Enter the performance credit serial number start range on row 249 of the table.</t>
  </si>
  <si>
    <t>Enter the performance credit serial number start range on row 250 of the table.</t>
  </si>
  <si>
    <t>Enter the performance credit serial number start range on row 251 of the table.</t>
  </si>
  <si>
    <t>Enter the performance credit serial number start range on row 252 of the table.</t>
  </si>
  <si>
    <t>Enter the performance credit serial number start range on row 253 of the table.</t>
  </si>
  <si>
    <t>Enter the performance credit serial number start range on row 254 of the table.</t>
  </si>
  <si>
    <t>Enter the performance credit serial number start range on row 255 of the table.</t>
  </si>
  <si>
    <t>Enter the performance credit serial number start range on row 256 of the table.</t>
  </si>
  <si>
    <t>Enter the performance credit serial number start range on row 257 of the table.</t>
  </si>
  <si>
    <t>Enter the performance credit serial number start range on row 258 of the table.</t>
  </si>
  <si>
    <t>Enter the performance credit serial number start range on row 259 of the table.</t>
  </si>
  <si>
    <t>Enter the performance credit serial number start range on row 260 of the table.</t>
  </si>
  <si>
    <t>Enter the performance credit serial number start range on row 261 of the table.</t>
  </si>
  <si>
    <t>Enter the performance credit serial number start range on row 262 of the table.</t>
  </si>
  <si>
    <t>Enter the performance credit serial number start range on row 263 of the table.</t>
  </si>
  <si>
    <t>Enter the performance credit serial number start range on row 264 of the table.</t>
  </si>
  <si>
    <t>Enter the performance credit serial number start range on row 265 of the table.</t>
  </si>
  <si>
    <t>Enter the performance credit serial number start range on row 266 of the table.</t>
  </si>
  <si>
    <t>Enter the performance credit serial number start range on row 267 of the table.</t>
  </si>
  <si>
    <t>Enter the performance credit serial number start range on row 268 of the table.</t>
  </si>
  <si>
    <t>Enter the performance credit serial number start range on row 269 of the table.</t>
  </si>
  <si>
    <t>Enter the performance credit serial number start range on row 270 of the table.</t>
  </si>
  <si>
    <t>Enter the performance credit serial number start range on row 271 of the table.</t>
  </si>
  <si>
    <t>Enter the performance credit serial number start range on row 272 of the table.</t>
  </si>
  <si>
    <t>Enter the performance credit serial number start range on row 273 of the table.</t>
  </si>
  <si>
    <t>Enter the performance credit serial number start range on row 274 of the table.</t>
  </si>
  <si>
    <t>Enter the performance credit serial number start range on row 275 of the table.</t>
  </si>
  <si>
    <t>Enter the performance credit serial number start range on row 276 of the table.</t>
  </si>
  <si>
    <t>Enter the performance credit serial number start range on row 277 of the table.</t>
  </si>
  <si>
    <t>Enter the performance credit serial number start range on row 278 of the table.</t>
  </si>
  <si>
    <t>Enter the performance credit serial number start range on row 279 of the table.</t>
  </si>
  <si>
    <t>Enter the performance credit serial number start range on row 280 of the table.</t>
  </si>
  <si>
    <t>Enter the performance credit serial number start range on row 281 of the table.</t>
  </si>
  <si>
    <t>Enter the performance credit serial number start range on row 282 of the table.</t>
  </si>
  <si>
    <t>Enter the performance credit serial number start range on row 283 of the table.</t>
  </si>
  <si>
    <t>Enter the performance credit serial number start range on row 284 of the table.</t>
  </si>
  <si>
    <t>Enter the performance credit serial number start range on row 285 of the table.</t>
  </si>
  <si>
    <t>Enter the performance credit serial number start range on row 286 of the table.</t>
  </si>
  <si>
    <t>Enter the performance credit serial number start range on row 287 of the table.</t>
  </si>
  <si>
    <t>Enter the performance credit serial number start range on row 288 of the table.</t>
  </si>
  <si>
    <t>Enter the performance credit serial number start range on row 289 of the table.</t>
  </si>
  <si>
    <t>Enter the performance credit serial number start range on row 290 of the table.</t>
  </si>
  <si>
    <t>Enter the performance credit serial number start range on row 291 of the table.</t>
  </si>
  <si>
    <t>Enter the performance credit serial number start range on row 292 of the table.</t>
  </si>
  <si>
    <t>Enter the performance credit serial number start range on row 293 of the table.</t>
  </si>
  <si>
    <t>Enter the performance credit serial number start range on row 294 of the table.</t>
  </si>
  <si>
    <t>Enter the performance credit serial number start range on row 295 of the table.</t>
  </si>
  <si>
    <t>Enter the performance credit serial number start range on row 296 of the table.</t>
  </si>
  <si>
    <t>Enter the performance credit serial number start range on row 297 of the table.</t>
  </si>
  <si>
    <t>Enter the performance credit serial number start range on row 298 of the table.</t>
  </si>
  <si>
    <t>Enter the performance credit serial number start range on row 299 of the table.</t>
  </si>
  <si>
    <t>Enter the performance credit serial number start range on row 300 of the table.</t>
  </si>
  <si>
    <t>Enter the performance credit serial number start range on row 301 of the table.</t>
  </si>
  <si>
    <t>Enter the performance credit serial number start range on row 302 of the table.</t>
  </si>
  <si>
    <t>Enter the performance credit serial number start range on row 303 of the table.</t>
  </si>
  <si>
    <t>Enter the performance credit serial number start range on row 304 of the table.</t>
  </si>
  <si>
    <t>Enter the performance credit serial number start range on row 305 of the table.</t>
  </si>
  <si>
    <t>Enter the performance credit serial number start range on row 306 of the table.</t>
  </si>
  <si>
    <t>Enter the performance credit serial number start range on row 307 of the table.</t>
  </si>
  <si>
    <t>Enter the performance credit serial number start range on row 308 of the table.</t>
  </si>
  <si>
    <t>Enter the performance credit serial number start range on row 309 of the table.</t>
  </si>
  <si>
    <t>Enter the performance credit serial number start range on row 310 of the table.</t>
  </si>
  <si>
    <t>Enter the performance credit serial number start range on row 311 of the table.</t>
  </si>
  <si>
    <t>Enter the performance credit serial number start range on row 312 of the table.</t>
  </si>
  <si>
    <t>Enter the performance credit serial number start range on row 313 of the table.</t>
  </si>
  <si>
    <t>Enter the performance credit serial number start range on row 314 of the table.</t>
  </si>
  <si>
    <t>Enter the performance credit serial number start range on row 315 of the table.</t>
  </si>
  <si>
    <t>Enter the performance credit serial number start range on row 316 of the table.</t>
  </si>
  <si>
    <t>Enter the performance credit serial number start range on row 317 of the table.</t>
  </si>
  <si>
    <t>Enter the performance credit serial number start range on row 318 of the table.</t>
  </si>
  <si>
    <t>Enter the performance credit serial number start range on row 319 of the table.</t>
  </si>
  <si>
    <t>Enter the performance credit serial number start range on row 320 of the table.</t>
  </si>
  <si>
    <t>Enter the performance credit serial number start range on row 321 of the table.</t>
  </si>
  <si>
    <t>Enter the performance credit serial number start range on row 322 of the table.</t>
  </si>
  <si>
    <t>Enter the performance credit serial number start range on row 323 of the table.</t>
  </si>
  <si>
    <t>Enter the performance credit serial number start range on row 324 of the table.</t>
  </si>
  <si>
    <t>Enter the performance credit serial number start range on row 325 of the table.</t>
  </si>
  <si>
    <t>Enter the performance credit serial number start range on row 326 of the table.</t>
  </si>
  <si>
    <t>Enter the performance credit serial number start range on row 327 of the table.</t>
  </si>
  <si>
    <t>Enter the performance credit serial number start range on row 328 of the table.</t>
  </si>
  <si>
    <t>Enter the performance credit serial number start range on row 329 of the table.</t>
  </si>
  <si>
    <t>Enter the performance credit serial number start range on row 330 of the table.</t>
  </si>
  <si>
    <t>Enter the performance credit serial number start range on row 331 of the table.</t>
  </si>
  <si>
    <t>Enter the performance credit serial number start range on row 332 of the table.</t>
  </si>
  <si>
    <t>Enter the performance credit serial number start range on row 333 of the table.</t>
  </si>
  <si>
    <t>Enter the performance credit serial number start range on row 334 of the table.</t>
  </si>
  <si>
    <t>Enter the performance credit serial number start range on row 335 of the table.</t>
  </si>
  <si>
    <t>Enter the performance credit serial number start range on row 336 of the table.</t>
  </si>
  <si>
    <t>Enter the performance credit serial number start range on row 337 of the table.</t>
  </si>
  <si>
    <t>Enter the performance credit serial number start range on row 338 of the table.</t>
  </si>
  <si>
    <t>Enter the performance credit serial number start range on row 339 of the table.</t>
  </si>
  <si>
    <t>Enter the performance credit serial number start range on row 340 of the table.</t>
  </si>
  <si>
    <t>Enter the performance credit serial number start range on row 341 of the table.</t>
  </si>
  <si>
    <t>Enter the performance credit serial number start range on row 342 of the table.</t>
  </si>
  <si>
    <t>Enter the performance credit serial number start range on row 343 of the table.</t>
  </si>
  <si>
    <t>Enter the performance credit serial number start range on row 344 of the table.</t>
  </si>
  <si>
    <t>Enter the performance credit serial number start range on row 345 of the table.</t>
  </si>
  <si>
    <t>Enter the performance credit serial number start range on row 346 of the table.</t>
  </si>
  <si>
    <t>Enter the performance credit serial number start range on row 347 of the table.</t>
  </si>
  <si>
    <t>Enter the performance credit serial number start range on row 348 of the table.</t>
  </si>
  <si>
    <t>Enter the performance credit serial number start range on row 349 of the table.</t>
  </si>
  <si>
    <t>Enter the performance credit serial number start range on row 350 of the table.</t>
  </si>
  <si>
    <t>Enter the performance credit serial number start range on row 351 of the table.</t>
  </si>
  <si>
    <t>Enter the performance credit serial number start range on row 352 of the table.</t>
  </si>
  <si>
    <t>Enter the performance credit serial number start range on row 353 of the table.</t>
  </si>
  <si>
    <t>Enter the performance credit serial number start range on row 354 of the table.</t>
  </si>
  <si>
    <t>Enter the performance credit serial number start range on row 355 of the table.</t>
  </si>
  <si>
    <t>Enter the performance credit serial number start range on row 356 of the table.</t>
  </si>
  <si>
    <t>Enter the performance credit serial number start range on row 357 of the table.</t>
  </si>
  <si>
    <t>Enter the performance credit serial number start range on row 358 of the table.</t>
  </si>
  <si>
    <t>Enter the performance credit serial number start range on row 359 of the table.</t>
  </si>
  <si>
    <t>Enter the performance credit serial number start range on row 360 of the table.</t>
  </si>
  <si>
    <t>Enter the performance credit serial number start range on row 361 of the table.</t>
  </si>
  <si>
    <t>Enter the performance credit serial number start range on row 362 of the table.</t>
  </si>
  <si>
    <t>Enter the performance credit serial number start range on row 363 of the table.</t>
  </si>
  <si>
    <t>Enter the performance credit serial number start range on row 364 of the table.</t>
  </si>
  <si>
    <t>Enter the performance credit serial number start range on row 365 of the table.</t>
  </si>
  <si>
    <t>Enter the performance credit serial number start range on row 366 of the table.</t>
  </si>
  <si>
    <t>Enter the performance credit serial number start range on row 367 of the table.</t>
  </si>
  <si>
    <t>Enter the performance credit serial number start range on row 368 of the table.</t>
  </si>
  <si>
    <t>Enter the performance credit serial number start range on row 369 of the table.</t>
  </si>
  <si>
    <t>Enter the performance credit serial number start range on row 370 of the table.</t>
  </si>
  <si>
    <t>Enter the performance credit serial number start range on row 371 of the table.</t>
  </si>
  <si>
    <t>Enter the performance credit serial number start range on row 372 of the table.</t>
  </si>
  <si>
    <t>Enter the performance credit serial number start range on row 373 of the table.</t>
  </si>
  <si>
    <t>Enter the performance credit serial number start range on row 374 of the table.</t>
  </si>
  <si>
    <t>Enter the performance credit serial number start range on row 375 of the table.</t>
  </si>
  <si>
    <t>Enter the performance credit serial number start range on row 376 of the table.</t>
  </si>
  <si>
    <t>Enter the performance credit serial number start range on row 377 of the table.</t>
  </si>
  <si>
    <t>Enter the performance credit serial number start range on row 378 of the table.</t>
  </si>
  <si>
    <t>Enter the performance credit serial number start range on row 379 of the table.</t>
  </si>
  <si>
    <t>Enter the performance credit serial number start range on row 380 of the table.</t>
  </si>
  <si>
    <t>Enter the performance credit serial number start range on row 381 of the table.</t>
  </si>
  <si>
    <t>Enter the performance credit serial number start range on row 382 of the table.</t>
  </si>
  <si>
    <t>Enter the performance credit serial number start range on row 383 of the table.</t>
  </si>
  <si>
    <t>Enter the performance credit serial number start range on row 384 of the table.</t>
  </si>
  <si>
    <t>Enter the performance credit serial number start range on row 385 of the table.</t>
  </si>
  <si>
    <t>Enter the performance credit serial number start range on row 386 of the table.</t>
  </si>
  <si>
    <t>Enter the performance credit serial number start range on row 387 of the table.</t>
  </si>
  <si>
    <t>Enter the performance credit serial number start range on row 388 of the table.</t>
  </si>
  <si>
    <t>Enter the performance credit serial number start range on row 389 of the table.</t>
  </si>
  <si>
    <t>Enter the performance credit serial number start range on row 390 of the table.</t>
  </si>
  <si>
    <t>Enter the performance credit serial number start range on row 391 of the table.</t>
  </si>
  <si>
    <t>Enter the performance credit serial number start range on row 392 of the table.</t>
  </si>
  <si>
    <t>Enter the performance credit serial number start range on row 393 of the table.</t>
  </si>
  <si>
    <t>Enter the performance credit serial number start range on row 394 of the table.</t>
  </si>
  <si>
    <t>Enter the performance credit serial number start range on row 395 of the table.</t>
  </si>
  <si>
    <t>Enter the performance credit serial number start range on row 396 of the table.</t>
  </si>
  <si>
    <t>Enter the performance credit serial number start range on row 397 of the table.</t>
  </si>
  <si>
    <t>Enter the performance credit serial number start range on row 398 of the table.</t>
  </si>
  <si>
    <t>Enter the performance credit serial number start range on row 399 of the table.</t>
  </si>
  <si>
    <t>Enter the performance credit serial number start range on row 400 of the table.</t>
  </si>
  <si>
    <t>Enter the performance credit serial number start range on row 401 of the table.</t>
  </si>
  <si>
    <t>Enter the performance credit serial number start range on row 402 of the table.</t>
  </si>
  <si>
    <t>Enter the performance credit serial number start range on row 403 of the table.</t>
  </si>
  <si>
    <t>Enter the performance credit serial number start range on row 404 of the table.</t>
  </si>
  <si>
    <t>Enter the performance credit serial number start range on row 405 of the table.</t>
  </si>
  <si>
    <t>Enter the performance credit serial number start range on row 406 of the table.</t>
  </si>
  <si>
    <t>Enter the performance credit serial number start range on row 407 of the table.</t>
  </si>
  <si>
    <t>Enter the performance credit serial number start range on row 408 of the table.</t>
  </si>
  <si>
    <t>Enter the performance credit serial number start range on row 409 of the table.</t>
  </si>
  <si>
    <t>Enter the performance credit serial number start range on row 410 of the table.</t>
  </si>
  <si>
    <t>Enter the performance credit serial number start range on row 411 of the table.</t>
  </si>
  <si>
    <t>Enter the performance credit serial number start range on row 412 of the table.</t>
  </si>
  <si>
    <t>Enter the performance credit serial number start range on row 413 of the table.</t>
  </si>
  <si>
    <t>Enter the performance credit serial number start range on row 414 of the table.</t>
  </si>
  <si>
    <t>Enter the performance credit serial number start range on row 415 of the table.</t>
  </si>
  <si>
    <t>Enter the performance credit serial number start range on row 416 of the table.</t>
  </si>
  <si>
    <t>Enter the performance credit serial number start range on row 417 of the table.</t>
  </si>
  <si>
    <t>Enter the performance credit serial number start range on row 418 of the table.</t>
  </si>
  <si>
    <t>Enter the performance credit serial number start range on row 419 of the table.</t>
  </si>
  <si>
    <t>Enter the performance credit serial number start range on row 420 of the table.</t>
  </si>
  <si>
    <t>Enter the performance credit serial number start range on row 421 of the table.</t>
  </si>
  <si>
    <t>Enter the performance credit serial number start range on row 422 of the table.</t>
  </si>
  <si>
    <t>Enter the performance credit serial number start range on row 423 of the table.</t>
  </si>
  <si>
    <t>Enter the performance credit serial number start range on row 424 of the table.</t>
  </si>
  <si>
    <t>Enter the performance credit serial number start range on row 425 of the table.</t>
  </si>
  <si>
    <t>Enter the performance credit serial number start range on row 426 of the table.</t>
  </si>
  <si>
    <t>Enter the performance credit serial number start range on row 427 of the table.</t>
  </si>
  <si>
    <t>Enter the performance credit serial number start range on row 428 of the table.</t>
  </si>
  <si>
    <t>Enter the performance credit serial number start range on row 429 of the table.</t>
  </si>
  <si>
    <t>Enter the performance credit serial number start range on row 430 of the table.</t>
  </si>
  <si>
    <t>Enter the performance credit serial number start range on row 431 of the table.</t>
  </si>
  <si>
    <t>Enter the performance credit serial number start range on row 432 of the table.</t>
  </si>
  <si>
    <t>Enter the performance credit serial number start range on row 433 of the table.</t>
  </si>
  <si>
    <t>Enter the performance credit serial number start range on row 434 of the table.</t>
  </si>
  <si>
    <t>Enter the performance credit serial number start range on row 435 of the table.</t>
  </si>
  <si>
    <t>Enter the performance credit serial number start range on row 436 of the table.</t>
  </si>
  <si>
    <t>Enter the performance credit serial number start range on row 437 of the table.</t>
  </si>
  <si>
    <t>Enter the performance credit serial number start range on row 438 of the table.</t>
  </si>
  <si>
    <t>Enter the performance credit serial number start range on row 439 of the table.</t>
  </si>
  <si>
    <t>Enter the performance credit serial number start range on row 440 of the table.</t>
  </si>
  <si>
    <t>Enter the performance credit serial number start range on row 441 of the table.</t>
  </si>
  <si>
    <t>Enter the performance credit serial number start range on row 442 of the table.</t>
  </si>
  <si>
    <t>Enter the performance credit serial number start range on row 443 of the table.</t>
  </si>
  <si>
    <t>Enter the performance credit serial number start range on row 444 of the table.</t>
  </si>
  <si>
    <t>Enter the performance credit serial number start range on row 445 of the table.</t>
  </si>
  <si>
    <t>Enter the performance credit serial number start range on row 446 of the table.</t>
  </si>
  <si>
    <t>Enter the performance credit serial number start range on row 447 of the table.</t>
  </si>
  <si>
    <t>Enter the performance credit serial number start range on row 448 of the table.</t>
  </si>
  <si>
    <t>Enter the performance credit serial number start range on row 449 of the table.</t>
  </si>
  <si>
    <t>Enter the performance credit serial number start range on row 450 of the table.</t>
  </si>
  <si>
    <t>Enter the performance credit serial number start range on row 451 of the table.</t>
  </si>
  <si>
    <t>Enter the performance credit serial number start range on row 452 of the table.</t>
  </si>
  <si>
    <t>Enter the performance credit serial number start range on row 453 of the table.</t>
  </si>
  <si>
    <t>Enter the performance credit serial number start range on row 454 of the table.</t>
  </si>
  <si>
    <t>Enter the performance credit serial number start range on row 455 of the table.</t>
  </si>
  <si>
    <t>Enter the performance credit serial number start range on row 456 of the table.</t>
  </si>
  <si>
    <t>Enter the performance credit serial number start range on row 457 of the table.</t>
  </si>
  <si>
    <t>Enter the performance credit serial number start range on row 458 of the table.</t>
  </si>
  <si>
    <t>Enter the performance credit serial number start range on row 459 of the table.</t>
  </si>
  <si>
    <t>Enter the performance credit serial number start range on row 460 of the table.</t>
  </si>
  <si>
    <t>Enter the performance credit serial number start range on row 461 of the table.</t>
  </si>
  <si>
    <t>Enter the performance credit serial number start range on row 462 of the table.</t>
  </si>
  <si>
    <t>Enter the performance credit serial number start range on row 463 of the table.</t>
  </si>
  <si>
    <t>Enter the performance credit serial number start range on row 464 of the table.</t>
  </si>
  <si>
    <t>Enter the performance credit serial number start range on row 465 of the table.</t>
  </si>
  <si>
    <t>Enter the performance credit serial number start range on row 466 of the table.</t>
  </si>
  <si>
    <t>Enter the performance credit serial number start range on row 467 of the table.</t>
  </si>
  <si>
    <t>Enter the performance credit serial number start range on row 468 of the table.</t>
  </si>
  <si>
    <t>Enter the performance credit serial number start range on row 469 of the table.</t>
  </si>
  <si>
    <t>Enter the performance credit serial number start range on row 470 of the table.</t>
  </si>
  <si>
    <t>Enter the performance credit serial number start range on row 471 of the table.</t>
  </si>
  <si>
    <t>Enter the performance credit serial number start range on row 472 of the table.</t>
  </si>
  <si>
    <t>Enter the performance credit serial number start range on row 473 of the table.</t>
  </si>
  <si>
    <t>Enter the performance credit serial number start range on row 474 of the table.</t>
  </si>
  <si>
    <t>Enter the performance credit serial number start range on row 475 of the table.</t>
  </si>
  <si>
    <t>Enter the performance credit serial number start range on row 476 of the table.</t>
  </si>
  <si>
    <t>Enter the performance credit serial number start range on row 477 of the table.</t>
  </si>
  <si>
    <t>Enter the performance credit serial number start range on row 478 of the table.</t>
  </si>
  <si>
    <t>Enter the performance credit serial number start range on row 479 of the table.</t>
  </si>
  <si>
    <t>Enter the performance credit serial number start range on row 480 of the table.</t>
  </si>
  <si>
    <t>Enter the performance credit serial number start range on row 481 of the table.</t>
  </si>
  <si>
    <t>Enter the performance credit serial number start range on row 482 of the table.</t>
  </si>
  <si>
    <t>Enter the performance credit serial number start range on row 483 of the table.</t>
  </si>
  <si>
    <t>Enter the performance credit serial number start range on row 484 of the table.</t>
  </si>
  <si>
    <t>Enter the performance credit serial number start range on row 485 of the table.</t>
  </si>
  <si>
    <t>Enter the performance credit serial number start range on row 486 of the table.</t>
  </si>
  <si>
    <t>Enter the performance credit serial number start range on row 487 of the table.</t>
  </si>
  <si>
    <t>Enter the performance credit serial number start range on row 488 of the table.</t>
  </si>
  <si>
    <t>Enter the performance credit serial number start range on row 489 of the table.</t>
  </si>
  <si>
    <t>Enter the performance credit serial number start range on row 490 of the table.</t>
  </si>
  <si>
    <t>Enter the performance credit serial number start range on row 491 of the table.</t>
  </si>
  <si>
    <t>Enter the performance credit serial number start range on row 492 of the table.</t>
  </si>
  <si>
    <t>Enter the performance credit serial number start range on row 493 of the table.</t>
  </si>
  <si>
    <t>Enter the performance credit serial number start range on row 494 of the table.</t>
  </si>
  <si>
    <t>Enter the performance credit serial number start range on row 495 of the table.</t>
  </si>
  <si>
    <t>Enter the performance credit serial number start range on row 496 of the table.</t>
  </si>
  <si>
    <t>Enter the performance credit serial number start range on row 497 of the table.</t>
  </si>
  <si>
    <t>Enter the performance credit serial number start range on row 498 of the table.</t>
  </si>
  <si>
    <t>Enter the performance credit serial number start range on row 499 of the table.</t>
  </si>
  <si>
    <t>Enter the performance credit serial number start range on row 500 of the table.</t>
  </si>
  <si>
    <t>Enter the performance credit serial number start range on row 501 of the table.</t>
  </si>
  <si>
    <t>Enter the performance credit serial number start range on row 502 of the table.</t>
  </si>
  <si>
    <t>Enter the performance credit serial number start range on row 503 of the table.</t>
  </si>
  <si>
    <t>Enter the performance credit serial number start range on row 504 of the table.</t>
  </si>
  <si>
    <t>Enter the performance credit serial number start range on row 505 of the table.</t>
  </si>
  <si>
    <t>Enter the performance credit serial number start range on row 506 of the table.</t>
  </si>
  <si>
    <t>Enter the performance credit serial number start range on row 507 of the table.</t>
  </si>
  <si>
    <t>Enter the performance credit serial number start range on row 508 of the table.</t>
  </si>
  <si>
    <t>Enter the performance credit serial number start range on row 509 of the table.</t>
  </si>
  <si>
    <t>Enter the performance credit serial number start range on row 510 of the table.</t>
  </si>
  <si>
    <t>Enter the performance credit serial number start range on row 511 of the table.</t>
  </si>
  <si>
    <t>Enter the performance credit serial number start range on row 512 of the table.</t>
  </si>
  <si>
    <t>Enter the performance credit serial number start range on row 513 of the table.</t>
  </si>
  <si>
    <t>Enter the performance credit serial number start range on row 514 of the table.</t>
  </si>
  <si>
    <t>Enter the performance credit serial number start range on row 515 of the table.</t>
  </si>
  <si>
    <t>Enter the performance credit serial number start range on row 516 of the table.</t>
  </si>
  <si>
    <t>Enter the performance credit serial number start range on row 517 of the table.</t>
  </si>
  <si>
    <t>Enter the performance credit serial number start range on row 518 of the table.</t>
  </si>
  <si>
    <t>Enter the performance credit serial number start range on row 519 of the table.</t>
  </si>
  <si>
    <t>Enter the performance credit serial number start range on row 520 of the table.</t>
  </si>
  <si>
    <t>Enter the performance credit serial number start range on row 521 of the table.</t>
  </si>
  <si>
    <t>Enter the performance credit serial number start range on row 522 of the table.</t>
  </si>
  <si>
    <t>Enter the performance credit serial number start range on row 523 of the table.</t>
  </si>
  <si>
    <t>Enter the performance credit serial number start range on row 524 of the table.</t>
  </si>
  <si>
    <t>Enter the performance credit serial number start range on row 525 of the table.</t>
  </si>
  <si>
    <t>Enter the performance credit serial number start range on row 526 of the table.</t>
  </si>
  <si>
    <t>Enter the performance credit serial number start range on row 527 of the table.</t>
  </si>
  <si>
    <t>Enter the performance credit serial number start range on row 528 of the table.</t>
  </si>
  <si>
    <t>Enter the performance credit serial number start range on row 529 of the table.</t>
  </si>
  <si>
    <t>Enter the performance credit serial number start range on row 530 of the table.</t>
  </si>
  <si>
    <t>Enter the performance credit serial number start range on row 531 of the table.</t>
  </si>
  <si>
    <t>Enter the performance credit serial number start range on row 532 of the table.</t>
  </si>
  <si>
    <t>Enter the performance credit serial number start range on row 533 of the table.</t>
  </si>
  <si>
    <t>Enter the performance credit serial number start range on row 534 of the table.</t>
  </si>
  <si>
    <t>Enter the performance credit serial number start range on row 535 of the table.</t>
  </si>
  <si>
    <t>Enter the performance credit serial number start range on row 536 of the table.</t>
  </si>
  <si>
    <t>Enter the performance credit serial number start range on row 537 of the table.</t>
  </si>
  <si>
    <t>Enter the performance credit serial number start range on row 538 of the table.</t>
  </si>
  <si>
    <t>Enter the performance credit serial number start range on row 539 of the table.</t>
  </si>
  <si>
    <t>Enter the performance credit serial number start range on row 540 of the table.</t>
  </si>
  <si>
    <t>Enter the performance credit serial number start range on row 541 of the table.</t>
  </si>
  <si>
    <t>Enter the performance credit serial number start range on row 542 of the table.</t>
  </si>
  <si>
    <t>Enter the performance credit serial number start range on row 543 of the table.</t>
  </si>
  <si>
    <t>Enter the performance credit serial number start range on row 544 of the table.</t>
  </si>
  <si>
    <t>Enter the performance credit serial number start range on row 545 of the table.</t>
  </si>
  <si>
    <t>Enter the performance credit serial number start range on row 546 of the table.</t>
  </si>
  <si>
    <t>Enter the performance credit serial number start range on row 547 of the table.</t>
  </si>
  <si>
    <t>Enter the performance credit serial number start range on row 548 of the table.</t>
  </si>
  <si>
    <t>Enter the performance credit serial number start range on row 549 of the table.</t>
  </si>
  <si>
    <t>Enter the performance credit serial number start range on row 550 of the table.</t>
  </si>
  <si>
    <t>Enter the performance credit serial number start range on row 551 of the table.</t>
  </si>
  <si>
    <t>Enter the performance credit serial number start range on row 552 of the table.</t>
  </si>
  <si>
    <t>Enter the performance credit serial number start range on row 553 of the table.</t>
  </si>
  <si>
    <t>Enter the performance credit serial number start range on row 554 of the table.</t>
  </si>
  <si>
    <t>Enter the performance credit serial number start range on row 555 of the table.</t>
  </si>
  <si>
    <t>Enter the performance credit serial number start range on row 556 of the table.</t>
  </si>
  <si>
    <t>Enter the performance credit serial number start range on row 557 of the table.</t>
  </si>
  <si>
    <t>Enter the performance credit serial number start range on row 558 of the table.</t>
  </si>
  <si>
    <t>Enter the performance credit serial number start range on row 559 of the table.</t>
  </si>
  <si>
    <t>Enter the performance credit serial number start range on row 560 of the table.</t>
  </si>
  <si>
    <t>Enter the performance credit serial number start range on row 561 of the table.</t>
  </si>
  <si>
    <t>Enter the performance credit serial number start range on row 562 of the table.</t>
  </si>
  <si>
    <t>Enter the performance credit serial number start range on row 563 of the table.</t>
  </si>
  <si>
    <t>Enter the performance credit serial number start range on row 564 of the table.</t>
  </si>
  <si>
    <t>Enter the performance credit serial number start range on row 565 of the table.</t>
  </si>
  <si>
    <t>Enter the performance credit serial number start range on row 566 of the table.</t>
  </si>
  <si>
    <t>Enter the performance credit serial number start range on row 567 of the table.</t>
  </si>
  <si>
    <t>Enter the performance credit serial number start range on row 568 of the table.</t>
  </si>
  <si>
    <t>Enter the performance credit serial number start range on row 569 of the table.</t>
  </si>
  <si>
    <t>Enter the performance credit serial number start range on row 570 of the table.</t>
  </si>
  <si>
    <t>Enter the performance credit serial number start range on row 571 of the table.</t>
  </si>
  <si>
    <t>Enter the performance credit serial number start range on row 572 of the table.</t>
  </si>
  <si>
    <t>Enter the performance credit serial number start range on row 573 of the table.</t>
  </si>
  <si>
    <t>Enter the performance credit serial number start range on row 574 of the table.</t>
  </si>
  <si>
    <t>Enter the performance credit serial number start range on row 575 of the table.</t>
  </si>
  <si>
    <t>Enter the performance credit serial number start range on row 576 of the table.</t>
  </si>
  <si>
    <t>Enter the performance credit serial number start range on row 577 of the table.</t>
  </si>
  <si>
    <t>Enter the performance credit serial number start range on row 578 of the table.</t>
  </si>
  <si>
    <t>Enter the performance credit serial number start range on row 579 of the table.</t>
  </si>
  <si>
    <t>Enter the performance credit serial number start range on row 580 of the table.</t>
  </si>
  <si>
    <t>Enter the performance credit serial number start range on row 581 of the table.</t>
  </si>
  <si>
    <t>Enter the performance credit serial number start range on row 582 of the table.</t>
  </si>
  <si>
    <t>Enter the performance credit serial number start range on row 583 of the table.</t>
  </si>
  <si>
    <t>Enter the performance credit serial number start range on row 584 of the table.</t>
  </si>
  <si>
    <t>Enter the performance credit serial number start range on row 585 of the table.</t>
  </si>
  <si>
    <t>Enter the performance credit serial number start range on row 586 of the table.</t>
  </si>
  <si>
    <t>Enter the performance credit serial number start range on row 587 of the table.</t>
  </si>
  <si>
    <t>Enter the performance credit serial number start range on row 588 of the table.</t>
  </si>
  <si>
    <t>Enter the performance credit serial number start range on row 589 of the table.</t>
  </si>
  <si>
    <t>Enter the performance credit serial number start range on row 590 of the table.</t>
  </si>
  <si>
    <t>Enter the performance credit serial number start range on row 591 of the table.</t>
  </si>
  <si>
    <t>Enter the performance credit serial number start range on row 592 of the table.</t>
  </si>
  <si>
    <t>Enter the performance credit serial number start range on row 593 of the table.</t>
  </si>
  <si>
    <t>Enter the performance credit serial number start range on row 594 of the table.</t>
  </si>
  <si>
    <t>Enter the performance credit serial number start range on row 595 of the table.</t>
  </si>
  <si>
    <t>Enter the performance credit serial number start range on row 596 of the table.</t>
  </si>
  <si>
    <t>Enter the performance credit serial number start range on row 597 of the table.</t>
  </si>
  <si>
    <t>Enter the performance credit serial number start range on row 598 of the table.</t>
  </si>
  <si>
    <t>Enter the performance credit serial number start range on row 599 of the table.</t>
  </si>
  <si>
    <t>Enter the performance credit serial number start range on row 600 of the table.</t>
  </si>
  <si>
    <t>Enter the performance credit serial number start range on row 601 of the table.</t>
  </si>
  <si>
    <t>Enter the performance credit serial number start range on row 602 of the table.</t>
  </si>
  <si>
    <t>Enter the performance credit serial number start range on row 603 of the table.</t>
  </si>
  <si>
    <t>Enter the performance credit serial number start range on row 604 of the table.</t>
  </si>
  <si>
    <t>Enter the performance credit serial number start range on row 605 of the table.</t>
  </si>
  <si>
    <t>Enter the performance credit serial number start range on row 606 of the table.</t>
  </si>
  <si>
    <t>Enter the performance credit serial number start range on row 607 of the table.</t>
  </si>
  <si>
    <t>Enter the performance credit serial number start range on row 608 of the table.</t>
  </si>
  <si>
    <t>Enter the performance credit serial number start range on row 609 of the table.</t>
  </si>
  <si>
    <t>Enter the performance credit serial number start range on row 610 of the table.</t>
  </si>
  <si>
    <t>Enter the performance credit serial number start range on row 611 of the table.</t>
  </si>
  <si>
    <t>Enter the performance credit serial number start range on row 612 of the table.</t>
  </si>
  <si>
    <t>Enter the performance credit serial number start range on row 613 of the table.</t>
  </si>
  <si>
    <t>Enter the performance credit serial number start range on row 614 of the table.</t>
  </si>
  <si>
    <t>Enter the performance credit serial number start range on row 615 of the table.</t>
  </si>
  <si>
    <t>Enter the performance credit serial number start range on row 616 of the table.</t>
  </si>
  <si>
    <t>Enter the performance credit serial number start range on row 617 of the table.</t>
  </si>
  <si>
    <t>Enter the performance credit serial number start range on row 618 of the table.</t>
  </si>
  <si>
    <t>Enter the performance credit serial number start range on row 619 of the table.</t>
  </si>
  <si>
    <t>Enter the performance credit serial number start range on row 620 of the table.</t>
  </si>
  <si>
    <t>Enter the performance credit serial number start range on row 621 of the table.</t>
  </si>
  <si>
    <t>Enter the performance credit serial number start range on row 622 of the table.</t>
  </si>
  <si>
    <t>Enter the performance credit serial number start range on row 623 of the table.</t>
  </si>
  <si>
    <t>Enter the performance credit serial number start range on row 624 of the table.</t>
  </si>
  <si>
    <t>Enter the performance credit serial number start range on row 625 of the table.</t>
  </si>
  <si>
    <t>Enter the performance credit serial number start range on row 626 of the table.</t>
  </si>
  <si>
    <t>Enter the performance credit serial number start range on row 627 of the table.</t>
  </si>
  <si>
    <t>Enter the performance credit serial number start range on row 628 of the table.</t>
  </si>
  <si>
    <t>Enter the performance credit serial number start range on row 629 of the table.</t>
  </si>
  <si>
    <t>Enter the performance credit serial number start range on row 630 of the table.</t>
  </si>
  <si>
    <t>Enter the performance credit serial number start range on row 631 of the table.</t>
  </si>
  <si>
    <t>Enter the performance credit serial number start range on row 632 of the table.</t>
  </si>
  <si>
    <t>Enter the performance credit serial number start range on row 633 of the table.</t>
  </si>
  <si>
    <t>Enter the performance credit serial number start range on row 634 of the table.</t>
  </si>
  <si>
    <t>Enter the performance credit serial number start range on row 635 of the table.</t>
  </si>
  <si>
    <t>Enter the performance credit serial number start range on row 636 of the table.</t>
  </si>
  <si>
    <t>Enter the performance credit serial number start range on row 637 of the table.</t>
  </si>
  <si>
    <t>Enter the performance credit serial number start range on row 638 of the table.</t>
  </si>
  <si>
    <t>Enter the performance credit serial number start range on row 639 of the table.</t>
  </si>
  <si>
    <t>Enter the performance credit serial number start range on row 640 of the table.</t>
  </si>
  <si>
    <t>Enter the performance credit serial number start range on row 641 of the table.</t>
  </si>
  <si>
    <t>Enter the performance credit serial number start range on row 642 of the table.</t>
  </si>
  <si>
    <t>Enter the performance credit serial number start range on row 643 of the table.</t>
  </si>
  <si>
    <t>Enter the performance credit serial number start range on row 644 of the table.</t>
  </si>
  <si>
    <t>Enter the performance credit serial number start range on row 645 of the table.</t>
  </si>
  <si>
    <t>Enter the performance credit serial number start range on row 646 of the table.</t>
  </si>
  <si>
    <t>Enter the performance credit serial number start range on row 647 of the table.</t>
  </si>
  <si>
    <t>Enter the performance credit serial number start range on row 648 of the table.</t>
  </si>
  <si>
    <t>Enter the performance credit serial number start range on row 649 of the table.</t>
  </si>
  <si>
    <t>Enter the performance credit serial number start range on row 650 of the table.</t>
  </si>
  <si>
    <t>Enter the performance credit serial number start range on row 651 of the table.</t>
  </si>
  <si>
    <t>Enter the performance credit serial number start range on row 652 of the table.</t>
  </si>
  <si>
    <t>Enter the performance credit serial number start range on row 653 of the table.</t>
  </si>
  <si>
    <t>Enter the performance credit serial number start range on row 654 of the table.</t>
  </si>
  <si>
    <t>Enter the performance credit serial number start range on row 655 of the table.</t>
  </si>
  <si>
    <t>Enter the performance credit serial number start range on row 656 of the table.</t>
  </si>
  <si>
    <t>Enter the performance credit serial number start range on row 657 of the table.</t>
  </si>
  <si>
    <t>Enter the performance credit serial number start range on row 658 of the table.</t>
  </si>
  <si>
    <t>Enter the performance credit serial number start range on row 659 of the table.</t>
  </si>
  <si>
    <t>Enter the performance credit serial number start range on row 660 of the table.</t>
  </si>
  <si>
    <t>Enter the performance credit serial number start range on row 661 of the table.</t>
  </si>
  <si>
    <t>Enter the performance credit serial number start range on row 662 of the table.</t>
  </si>
  <si>
    <t>Enter the performance credit serial number start range on row 663 of the table.</t>
  </si>
  <si>
    <t>Enter the performance credit serial number start range on row 664 of the table.</t>
  </si>
  <si>
    <t>Enter the performance credit serial number start range on row 665 of the table.</t>
  </si>
  <si>
    <t>Enter the performance credit serial number start range on row 666 of the table.</t>
  </si>
  <si>
    <t>Enter the performance credit serial number start range on row 667 of the table.</t>
  </si>
  <si>
    <t>Enter the performance credit serial number start range on row 668 of the table.</t>
  </si>
  <si>
    <t>Enter the performance credit serial number start range on row 669 of the table.</t>
  </si>
  <si>
    <t>Enter the performance credit serial number start range on row 670 of the table.</t>
  </si>
  <si>
    <t>Enter the performance credit serial number start range on row 671 of the table.</t>
  </si>
  <si>
    <t>Enter the performance credit serial number start range on row 672 of the table.</t>
  </si>
  <si>
    <t>Enter the performance credit serial number start range on row 673 of the table.</t>
  </si>
  <si>
    <t>Enter the performance credit serial number start range on row 674 of the table.</t>
  </si>
  <si>
    <t>Enter the performance credit serial number start range on row 675 of the table.</t>
  </si>
  <si>
    <t>Enter the performance credit serial number start range on row 676 of the table.</t>
  </si>
  <si>
    <t>Enter the performance credit serial number start range on row 677 of the table.</t>
  </si>
  <si>
    <t>Enter the performance credit serial number start range on row 678 of the table.</t>
  </si>
  <si>
    <t>Enter the performance credit serial number start range on row 679 of the table.</t>
  </si>
  <si>
    <t>Enter the performance credit serial number start range on row 680 of the table.</t>
  </si>
  <si>
    <t>Enter the performance credit serial number start range on row 681 of the table.</t>
  </si>
  <si>
    <t>Enter the performance credit serial number start range on row 682 of the table.</t>
  </si>
  <si>
    <t>Enter the performance credit serial number start range on row 683 of the table.</t>
  </si>
  <si>
    <t>Enter the performance credit serial number start range on row 684 of the table.</t>
  </si>
  <si>
    <t>Enter the performance credit serial number start range on row 685 of the table.</t>
  </si>
  <si>
    <t>Enter the performance credit serial number start range on row 686 of the table.</t>
  </si>
  <si>
    <t>Enter the performance credit serial number start range on row 687 of the table.</t>
  </si>
  <si>
    <t>Enter the performance credit serial number start range on row 688 of the table.</t>
  </si>
  <si>
    <t>Enter the performance credit serial number start range on row 689 of the table.</t>
  </si>
  <si>
    <t>Enter the performance credit serial number start range on row 690 of the table.</t>
  </si>
  <si>
    <t>Enter the performance credit serial number start range on row 691 of the table.</t>
  </si>
  <si>
    <t>Enter the performance credit serial number start range on row 692 of the table.</t>
  </si>
  <si>
    <t>Enter the performance credit serial number start range on row 693 of the table.</t>
  </si>
  <si>
    <t>Enter the performance credit serial number start range on row 694 of the table.</t>
  </si>
  <si>
    <t>Enter the performance credit serial number start range on row 695 of the table.</t>
  </si>
  <si>
    <t>Enter the performance credit serial number start range on row 696 of the table.</t>
  </si>
  <si>
    <t>Enter the performance credit serial number start range on row 697 of the table.</t>
  </si>
  <si>
    <t>Enter the performance credit serial number start range on row 698 of the table.</t>
  </si>
  <si>
    <t>Enter the performance credit serial number start range on row 699 of the table.</t>
  </si>
  <si>
    <t>Enter the performance credit serial number start range on row 700 of the table.</t>
  </si>
  <si>
    <t>Enter the performance credit serial number start range on row 701 of the table.</t>
  </si>
  <si>
    <t>Enter the performance credit serial number start range on row 702 of the table.</t>
  </si>
  <si>
    <t>Enter the performance credit serial number start range on row 703 of the table.</t>
  </si>
  <si>
    <t>Enter the performance credit serial number start range on row 704 of the table.</t>
  </si>
  <si>
    <t>Enter the performance credit serial number start range on row 705 of the table.</t>
  </si>
  <si>
    <t>Enter the performance credit serial number start range on row 706 of the table.</t>
  </si>
  <si>
    <t>Enter the performance credit serial number start range on row 707 of the table.</t>
  </si>
  <si>
    <t>Enter the performance credit serial number start range on row 708 of the table.</t>
  </si>
  <si>
    <t>Enter the performance credit serial number start range on row 709 of the table.</t>
  </si>
  <si>
    <t>Enter the performance credit serial number start range on row 710 of the table.</t>
  </si>
  <si>
    <t>Enter the performance credit serial number start range on row 711 of the table.</t>
  </si>
  <si>
    <t>Enter the performance credit serial number start range on row 712 of the table.</t>
  </si>
  <si>
    <t>Enter the performance credit serial number start range on row 713 of the table.</t>
  </si>
  <si>
    <t>Enter the performance credit serial number start range on row 714 of the table.</t>
  </si>
  <si>
    <t>Enter the performance credit serial number start range on row 715 of the table.</t>
  </si>
  <si>
    <t>Enter the performance credit serial number start range on row 716 of the table.</t>
  </si>
  <si>
    <t>Enter the performance credit serial number start range on row 717 of the table.</t>
  </si>
  <si>
    <t>Enter the performance credit serial number start range on row 718 of the table.</t>
  </si>
  <si>
    <t>Enter the performance credit serial number start range on row 719 of the table.</t>
  </si>
  <si>
    <t>Enter the performance credit serial number start range on row 720 of the table.</t>
  </si>
  <si>
    <t>Enter the performance credit serial number start range on row 721 of the table.</t>
  </si>
  <si>
    <t>Enter the performance credit serial number start range on row 722 of the table.</t>
  </si>
  <si>
    <t>Enter the performance credit serial number start range on row 723 of the table.</t>
  </si>
  <si>
    <t>Enter the performance credit serial number start range on row 724 of the table.</t>
  </si>
  <si>
    <t>Enter the performance credit serial number start range on row 725 of the table.</t>
  </si>
  <si>
    <t>Enter the performance credit serial number start range on row 726 of the table.</t>
  </si>
  <si>
    <t>Enter the performance credit serial number start range on row 727 of the table.</t>
  </si>
  <si>
    <t>Enter the performance credit serial number start range on row 728 of the table.</t>
  </si>
  <si>
    <t>Enter the performance credit serial number start range on row 729 of the table.</t>
  </si>
  <si>
    <t>Enter the performance credit serial number start range on row 730 of the table.</t>
  </si>
  <si>
    <t>Enter the performance credit serial number start range on row 731 of the table.</t>
  </si>
  <si>
    <t>Enter the performance credit serial number start range on row 732 of the table.</t>
  </si>
  <si>
    <t>Enter the performance credit serial number start range on row 733 of the table.</t>
  </si>
  <si>
    <t>Enter the performance credit serial number start range on row 734 of the table.</t>
  </si>
  <si>
    <t>Enter the performance credit serial number start range on row 735 of the table.</t>
  </si>
  <si>
    <t>Enter the performance credit serial number start range on row 736 of the table.</t>
  </si>
  <si>
    <t>Enter the performance credit serial number start range on row 737 of the table.</t>
  </si>
  <si>
    <t>Enter the performance credit serial number start range on row 738 of the table.</t>
  </si>
  <si>
    <t>Enter the performance credit serial number start range on row 739 of the table.</t>
  </si>
  <si>
    <t>Enter the performance credit serial number start range on row 740 of the table.</t>
  </si>
  <si>
    <t>Enter the performance credit serial number start range on row 741 of the table.</t>
  </si>
  <si>
    <t>Enter the performance credit serial number start range on row 742 of the table.</t>
  </si>
  <si>
    <t>Enter the performance credit serial number start range on row 743 of the table.</t>
  </si>
  <si>
    <t>Enter the performance credit serial number start range on row 744 of the table.</t>
  </si>
  <si>
    <t>Enter the performance credit serial number start range on row 745 of the table.</t>
  </si>
  <si>
    <t>Enter the performance credit serial number start range on row 746 of the table.</t>
  </si>
  <si>
    <t>Enter the performance credit serial number start range on row 747 of the table.</t>
  </si>
  <si>
    <t>Enter the performance credit serial number start range on row 748 of the table.</t>
  </si>
  <si>
    <t>Enter the performance credit serial number start range on row 749 of the table.</t>
  </si>
  <si>
    <t>Enter the performance credit serial number start range on row 750 of the table.</t>
  </si>
  <si>
    <t>Enter the performance credit serial number start range on row 751 of the table.</t>
  </si>
  <si>
    <t>Enter the performance credit serial number start range on row 752 of the table.</t>
  </si>
  <si>
    <t>Enter the performance credit serial number start range on row 753 of the table.</t>
  </si>
  <si>
    <t>Enter the performance credit serial number start range on row 754 of the table.</t>
  </si>
  <si>
    <t>Enter the performance credit serial number start range on row 755 of the table.</t>
  </si>
  <si>
    <t>Enter the performance credit serial number start range on row 756 of the table.</t>
  </si>
  <si>
    <t>Enter the performance credit serial number start range on row 757 of the table.</t>
  </si>
  <si>
    <t>Enter the performance credit serial number start range on row 758 of the table.</t>
  </si>
  <si>
    <t>Enter the performance credit serial number start range on row 759 of the table.</t>
  </si>
  <si>
    <t>Enter the performance credit serial number start range on row 760 of the table.</t>
  </si>
  <si>
    <t>Enter the performance credit serial number start range on row 761 of the table.</t>
  </si>
  <si>
    <t>Enter the performance credit serial number start range on row 762 of the table.</t>
  </si>
  <si>
    <t>Enter the performance credit serial number start range on row 763 of the table.</t>
  </si>
  <si>
    <t>Enter the performance credit serial number start range on row 764 of the table.</t>
  </si>
  <si>
    <t>Enter the performance credit serial number start range on row 765 of the table.</t>
  </si>
  <si>
    <t>Enter the performance credit serial number start range on row 766 of the table.</t>
  </si>
  <si>
    <t>Enter the performance credit serial number start range on row 767 of the table.</t>
  </si>
  <si>
    <t>Enter the performance credit serial number start range on row 768 of the table.</t>
  </si>
  <si>
    <t>Enter the performance credit serial number start range on row 769 of the table.</t>
  </si>
  <si>
    <t>Enter the performance credit serial number start range on row 770 of the table.</t>
  </si>
  <si>
    <t>Enter the performance credit serial number start range on row 771 of the table.</t>
  </si>
  <si>
    <t>Enter the performance credit serial number start range on row 772 of the table.</t>
  </si>
  <si>
    <t>Enter the performance credit serial number start range on row 773 of the table.</t>
  </si>
  <si>
    <t>Enter the performance credit serial number start range on row 774 of the table.</t>
  </si>
  <si>
    <t>Enter the performance credit serial number start range on row 775 of the table.</t>
  </si>
  <si>
    <t>Enter the performance credit serial number start range on row 776 of the table.</t>
  </si>
  <si>
    <t>Enter the performance credit serial number start range on row 777 of the table.</t>
  </si>
  <si>
    <t>Enter the performance credit serial number start range on row 778 of the table.</t>
  </si>
  <si>
    <t>Enter the performance credit serial number start range on row 779 of the table.</t>
  </si>
  <si>
    <t>Enter the performance credit serial number start range on row 780 of the table.</t>
  </si>
  <si>
    <t>Enter the performance credit serial number start range on row 781 of the table.</t>
  </si>
  <si>
    <t>Enter the performance credit serial number start range on row 782 of the table.</t>
  </si>
  <si>
    <t>Enter the performance credit serial number start range on row 783 of the table.</t>
  </si>
  <si>
    <t>Enter the performance credit serial number start range on row 784 of the table.</t>
  </si>
  <si>
    <t>Enter the performance credit serial number start range on row 785 of the table.</t>
  </si>
  <si>
    <t>Enter the performance credit serial number start range on row 786 of the table.</t>
  </si>
  <si>
    <t>Enter the performance credit serial number start range on row 787 of the table.</t>
  </si>
  <si>
    <t>Enter the performance credit serial number start range on row 788 of the table.</t>
  </si>
  <si>
    <t>Enter the performance credit serial number start range on row 789 of the table.</t>
  </si>
  <si>
    <t>Enter the performance credit serial number start range on row 790 of the table.</t>
  </si>
  <si>
    <t>Enter the performance credit serial number start range on row 791 of the table.</t>
  </si>
  <si>
    <t>Enter the performance credit serial number start range on row 792 of the table.</t>
  </si>
  <si>
    <t>Enter the performance credit serial number start range on row 793 of the table.</t>
  </si>
  <si>
    <t>Enter the performance credit serial number start range on row 794 of the table.</t>
  </si>
  <si>
    <t>Enter the performance credit serial number start range on row 795 of the table.</t>
  </si>
  <si>
    <t>Enter the performance credit serial number start range on row 796 of the table.</t>
  </si>
  <si>
    <t>Enter the performance credit serial number start range on row 797 of the table.</t>
  </si>
  <si>
    <t>Enter the performance credit serial number start range on row 798 of the table.</t>
  </si>
  <si>
    <t>Enter the performance credit serial number start range on row 799 of the table.</t>
  </si>
  <si>
    <t>Enter the performance credit serial number start range on row 800 of the table.</t>
  </si>
  <si>
    <t>Enter the performance credit serial number start range on row 801 of the table.</t>
  </si>
  <si>
    <t>Enter the performance credit serial number start range on row 802 of the table.</t>
  </si>
  <si>
    <t>Enter the performance credit serial number start range on row 803 of the table.</t>
  </si>
  <si>
    <t>Enter the performance credit serial number start range on row 804 of the table.</t>
  </si>
  <si>
    <t>Enter the performance credit serial number start range on row 805 of the table.</t>
  </si>
  <si>
    <t>Enter the performance credit serial number start range on row 806 of the table.</t>
  </si>
  <si>
    <t>Enter the performance credit serial number start range on row 807 of the table.</t>
  </si>
  <si>
    <t>Enter the performance credit serial number start range on row 808 of the table.</t>
  </si>
  <si>
    <t>Enter the performance credit serial number start range on row 809 of the table.</t>
  </si>
  <si>
    <t>Enter the performance credit serial number start range on row 810 of the table.</t>
  </si>
  <si>
    <t>Enter the performance credit serial number start range on row 811 of the table.</t>
  </si>
  <si>
    <t>Enter the performance credit serial number start range on row 812 of the table.</t>
  </si>
  <si>
    <t>Enter the performance credit serial number start range on row 813 of the table.</t>
  </si>
  <si>
    <t>Enter the performance credit serial number start range on row 814 of the table.</t>
  </si>
  <si>
    <t>Enter the performance credit serial number start range on row 815 of the table.</t>
  </si>
  <si>
    <t>Enter the performance credit serial number start range on row 816 of the table.</t>
  </si>
  <si>
    <t>Enter the performance credit serial number start range on row 817 of the table.</t>
  </si>
  <si>
    <t>Enter the performance credit serial number start range on row 818 of the table.</t>
  </si>
  <si>
    <t>Enter the performance credit serial number start range on row 819 of the table.</t>
  </si>
  <si>
    <t>Enter the performance credit serial number start range on row 820 of the table.</t>
  </si>
  <si>
    <t>Enter the performance credit serial number start range on row 821 of the table.</t>
  </si>
  <si>
    <t>Enter the performance credit serial number start range on row 822 of the table.</t>
  </si>
  <si>
    <t>Enter the performance credit serial number start range on row 823 of the table.</t>
  </si>
  <si>
    <t>Enter the performance credit serial number start range on row 824 of the table.</t>
  </si>
  <si>
    <t>Enter the performance credit serial number start range on row 825 of the table.</t>
  </si>
  <si>
    <t>Enter the performance credit serial number start range on row 826 of the table.</t>
  </si>
  <si>
    <t>Enter the performance credit serial number start range on row 827 of the table.</t>
  </si>
  <si>
    <t>Enter the performance credit serial number start range on row 828 of the table.</t>
  </si>
  <si>
    <t>Enter the performance credit serial number start range on row 829 of the table.</t>
  </si>
  <si>
    <t>Enter the performance credit serial number start range on row 830 of the table.</t>
  </si>
  <si>
    <t>Enter the performance credit serial number start range on row 831 of the table.</t>
  </si>
  <si>
    <t>Enter the performance credit serial number start range on row 832 of the table.</t>
  </si>
  <si>
    <t>Enter the performance credit serial number start range on row 833 of the table.</t>
  </si>
  <si>
    <t>Enter the performance credit serial number start range on row 834 of the table.</t>
  </si>
  <si>
    <t>Enter the performance credit serial number start range on row 835 of the table.</t>
  </si>
  <si>
    <t>Enter the performance credit serial number start range on row 836 of the table.</t>
  </si>
  <si>
    <t>Enter the performance credit serial number start range on row 837 of the table.</t>
  </si>
  <si>
    <t>Enter the performance credit serial number start range on row 838 of the table.</t>
  </si>
  <si>
    <t>Enter the performance credit serial number start range on row 839 of the table.</t>
  </si>
  <si>
    <t>Enter the performance credit serial number start range on row 840 of the table.</t>
  </si>
  <si>
    <t>Enter the performance credit serial number start range on row 841 of the table.</t>
  </si>
  <si>
    <t>Enter the performance credit serial number start range on row 842 of the table.</t>
  </si>
  <si>
    <t>Enter the performance credit serial number start range on row 843 of the table.</t>
  </si>
  <si>
    <t>Enter the performance credit serial number start range on row 844 of the table.</t>
  </si>
  <si>
    <t>Enter the performance credit serial number start range on row 845 of the table.</t>
  </si>
  <si>
    <t>Enter the performance credit serial number start range on row 846 of the table.</t>
  </si>
  <si>
    <t>Enter the performance credit serial number start range on row 847 of the table.</t>
  </si>
  <si>
    <t>Enter the performance credit serial number start range on row 848 of the table.</t>
  </si>
  <si>
    <t>Enter the performance credit serial number start range on row 849 of the table.</t>
  </si>
  <si>
    <t>Enter the performance credit serial number start range on row 850 of the table.</t>
  </si>
  <si>
    <t>Enter the performance credit serial number start range on row 851 of the table.</t>
  </si>
  <si>
    <t>Enter the performance credit serial number start range on row 852 of the table.</t>
  </si>
  <si>
    <t>Enter the performance credit serial number start range on row 853 of the table.</t>
  </si>
  <si>
    <t>Enter the performance credit serial number start range on row 854 of the table.</t>
  </si>
  <si>
    <t>Enter the performance credit serial number start range on row 855 of the table.</t>
  </si>
  <si>
    <t>Enter the performance credit serial number start range on row 856 of the table.</t>
  </si>
  <si>
    <t>Enter the performance credit serial number start range on row 857 of the table.</t>
  </si>
  <si>
    <t>Enter the performance credit serial number start range on row 858 of the table.</t>
  </si>
  <si>
    <t>Enter the performance credit serial number start range on row 859 of the table.</t>
  </si>
  <si>
    <t>Enter the performance credit serial number start range on row 860 of the table.</t>
  </si>
  <si>
    <t>Enter the performance credit serial number start range on row 861 of the table.</t>
  </si>
  <si>
    <t>Enter the performance credit serial number start range on row 862 of the table.</t>
  </si>
  <si>
    <t>Enter the performance credit serial number start range on row 863 of the table.</t>
  </si>
  <si>
    <t>Enter the performance credit serial number start range on row 864 of the table.</t>
  </si>
  <si>
    <t>Enter the performance credit serial number start range on row 865 of the table.</t>
  </si>
  <si>
    <t>Enter the performance credit serial number start range on row 866 of the table.</t>
  </si>
  <si>
    <t>Enter the performance credit serial number start range on row 867 of the table.</t>
  </si>
  <si>
    <t>Enter the performance credit serial number start range on row 868 of the table.</t>
  </si>
  <si>
    <t>Enter the performance credit serial number start range on row 869 of the table.</t>
  </si>
  <si>
    <t>Enter the performance credit serial number start range on row 870 of the table.</t>
  </si>
  <si>
    <t>Enter the performance credit serial number start range on row 871 of the table.</t>
  </si>
  <si>
    <t>Enter the performance credit serial number start range on row 872 of the table.</t>
  </si>
  <si>
    <t>Enter the performance credit serial number start range on row 873 of the table.</t>
  </si>
  <si>
    <t>Enter the performance credit serial number start range on row 874 of the table.</t>
  </si>
  <si>
    <t>Enter the performance credit serial number start range on row 875 of the table.</t>
  </si>
  <si>
    <t>Enter the performance credit serial number start range on row 876 of the table.</t>
  </si>
  <si>
    <t>Enter the performance credit serial number start range on row 877 of the table.</t>
  </si>
  <si>
    <t>Enter the performance credit serial number start range on row 878 of the table.</t>
  </si>
  <si>
    <t>Enter the performance credit serial number start range on row 879 of the table.</t>
  </si>
  <si>
    <t>Enter the performance credit serial number start range on row 880 of the table.</t>
  </si>
  <si>
    <t>Enter the performance credit serial number start range on row 881 of the table.</t>
  </si>
  <si>
    <t>Enter the performance credit serial number start range on row 882 of the table.</t>
  </si>
  <si>
    <t>Enter the performance credit serial number start range on row 883 of the table.</t>
  </si>
  <si>
    <t>Enter the performance credit serial number start range on row 884 of the table.</t>
  </si>
  <si>
    <t>Enter the performance credit serial number start range on row 885 of the table.</t>
  </si>
  <si>
    <t>Enter the performance credit serial number start range on row 886 of the table.</t>
  </si>
  <si>
    <t>Enter the performance credit serial number start range on row 887 of the table.</t>
  </si>
  <si>
    <t>Enter the performance credit serial number start range on row 888 of the table.</t>
  </si>
  <si>
    <t>Enter the performance credit serial number start range on row 889 of the table.</t>
  </si>
  <si>
    <t>Enter the performance credit serial number start range on row 890 of the table.</t>
  </si>
  <si>
    <t>Enter the performance credit serial number start range on row 891 of the table.</t>
  </si>
  <si>
    <t>Enter the performance credit serial number start range on row 892 of the table.</t>
  </si>
  <si>
    <t>Enter the performance credit serial number start range on row 893 of the table.</t>
  </si>
  <si>
    <t>Enter the performance credit serial number start range on row 894 of the table.</t>
  </si>
  <si>
    <t>Enter the performance credit serial number start range on row 895 of the table.</t>
  </si>
  <si>
    <t>Enter the performance credit serial number start range on row 896 of the table.</t>
  </si>
  <si>
    <t>Enter the performance credit serial number start range on row 897 of the table.</t>
  </si>
  <si>
    <t>Enter the performance credit serial number start range on row 898 of the table.</t>
  </si>
  <si>
    <t>Enter the performance credit serial number start range on row 899 of the table.</t>
  </si>
  <si>
    <t>Enter the performance credit serial number start range on row 900 of the table.</t>
  </si>
  <si>
    <t>Enter the performance credit serial number start range on row 901 of the table.</t>
  </si>
  <si>
    <t>Enter the performance credit serial number start range on row 902 of the table.</t>
  </si>
  <si>
    <t>Enter the performance credit serial number start range on row 903 of the table.</t>
  </si>
  <si>
    <t>Enter the performance credit serial number start range on row 904 of the table.</t>
  </si>
  <si>
    <t>Enter the performance credit serial number start range on row 905 of the table.</t>
  </si>
  <si>
    <t>Enter the performance credit serial number start range on row 906 of the table.</t>
  </si>
  <si>
    <t>Enter the performance credit serial number start range on row 907 of the table.</t>
  </si>
  <si>
    <t>Enter the performance credit serial number start range on row 908 of the table.</t>
  </si>
  <si>
    <t>Enter the performance credit serial number start range on row 909 of the table.</t>
  </si>
  <si>
    <t>Enter the performance credit serial number start range on row 910 of the table.</t>
  </si>
  <si>
    <t>Enter the performance credit serial number start range on row 911 of the table.</t>
  </si>
  <si>
    <t>Enter the performance credit serial number start range on row 912 of the table.</t>
  </si>
  <si>
    <t>Enter the performance credit serial number start range on row 913 of the table.</t>
  </si>
  <si>
    <t>Enter the performance credit serial number start range on row 914 of the table.</t>
  </si>
  <si>
    <t>Enter the performance credit serial number start range on row 915 of the table.</t>
  </si>
  <si>
    <t>Enter the performance credit serial number start range on row 916 of the table.</t>
  </si>
  <si>
    <t>Enter the performance credit serial number start range on row 917 of the table.</t>
  </si>
  <si>
    <t>Enter the performance credit serial number start range on row 918 of the table.</t>
  </si>
  <si>
    <t>Enter the performance credit serial number start range on row 919 of the table.</t>
  </si>
  <si>
    <t>Enter the performance credit serial number start range on row 920 of the table.</t>
  </si>
  <si>
    <t>Enter the performance credit serial number start range on row 921 of the table.</t>
  </si>
  <si>
    <t>Enter the performance credit serial number start range on row 922 of the table.</t>
  </si>
  <si>
    <t>Enter the performance credit serial number start range on row 923 of the table.</t>
  </si>
  <si>
    <t>Enter the performance credit serial number start range on row 924 of the table.</t>
  </si>
  <si>
    <t>Enter the performance credit serial number start range on row 925 of the table.</t>
  </si>
  <si>
    <t>Enter the performance credit serial number start range on row 926 of the table.</t>
  </si>
  <si>
    <t>Enter the performance credit serial number start range on row 927 of the table.</t>
  </si>
  <si>
    <t>Enter the performance credit serial number start range on row 928 of the table.</t>
  </si>
  <si>
    <t>Enter the performance credit serial number start range on row 929 of the table.</t>
  </si>
  <si>
    <t>Enter the performance credit serial number start range on row 930 of the table.</t>
  </si>
  <si>
    <t>Enter the performance credit serial number start range on row 931 of the table.</t>
  </si>
  <si>
    <t>Enter the performance credit serial number start range on row 932 of the table.</t>
  </si>
  <si>
    <t>Enter the performance credit serial number start range on row 933 of the table.</t>
  </si>
  <si>
    <t>Enter the performance credit serial number start range on row 934 of the table.</t>
  </si>
  <si>
    <t>Enter the performance credit serial number start range on row 935 of the table.</t>
  </si>
  <si>
    <t>Enter the performance credit serial number start range on row 936 of the table.</t>
  </si>
  <si>
    <t>Enter the performance credit serial number start range on row 937 of the table.</t>
  </si>
  <si>
    <t>Enter the performance credit serial number start range on row 938 of the table.</t>
  </si>
  <si>
    <t>Enter the performance credit serial number start range on row 939 of the table.</t>
  </si>
  <si>
    <t>Enter the performance credit serial number start range on row 940 of the table.</t>
  </si>
  <si>
    <t>Enter the performance credit serial number start range on row 941 of the table.</t>
  </si>
  <si>
    <t>Enter the performance credit serial number start range on row 942 of the table.</t>
  </si>
  <si>
    <t>Enter the performance credit serial number start range on row 943 of the table.</t>
  </si>
  <si>
    <t>Enter the performance credit serial number start range on row 944 of the table.</t>
  </si>
  <si>
    <t>Enter the performance credit serial number start range on row 945 of the table.</t>
  </si>
  <si>
    <t>Enter the performance credit serial number start range on row 946 of the table.</t>
  </si>
  <si>
    <t>Enter the performance credit serial number start range on row 947 of the table.</t>
  </si>
  <si>
    <t>Enter the performance credit serial number start range on row 948 of the table.</t>
  </si>
  <si>
    <t>Enter the performance credit serial number start range on row 949 of the table.</t>
  </si>
  <si>
    <t>Enter the performance credit serial number start range on row 950 of the table.</t>
  </si>
  <si>
    <t>Enter the performance credit serial number start range on row 951 of the table.</t>
  </si>
  <si>
    <t>Enter the performance credit serial number start range on row 952 of the table.</t>
  </si>
  <si>
    <t>Enter the performance credit serial number start range on row 953 of the table.</t>
  </si>
  <si>
    <t>Enter the performance credit serial number start range on row 954 of the table.</t>
  </si>
  <si>
    <t>Enter the performance credit serial number start range on row 955 of the table.</t>
  </si>
  <si>
    <t>Enter the performance credit serial number start range on row 956 of the table.</t>
  </si>
  <si>
    <t>Enter the performance credit serial number start range on row 957 of the table.</t>
  </si>
  <si>
    <t>Enter the performance credit serial number start range on row 958 of the table.</t>
  </si>
  <si>
    <t>Enter the performance credit serial number start range on row 959 of the table.</t>
  </si>
  <si>
    <t>Enter the performance credit serial number start range on row 960 of the table.</t>
  </si>
  <si>
    <t>Enter the performance credit serial number start range on row 961 of the table.</t>
  </si>
  <si>
    <t>Enter the performance credit serial number start range on row 962 of the table.</t>
  </si>
  <si>
    <t>Enter the performance credit serial number start range on row 963 of the table.</t>
  </si>
  <si>
    <t>Enter the performance credit serial number start range on row 964 of the table.</t>
  </si>
  <si>
    <t>Enter the performance credit serial number start range on row 965 of the table.</t>
  </si>
  <si>
    <t>Enter the performance credit serial number start range on row 966 of the table.</t>
  </si>
  <si>
    <t>Enter the performance credit serial number start range on row 967 of the table.</t>
  </si>
  <si>
    <t>Enter the performance credit serial number start range on row 968 of the table.</t>
  </si>
  <si>
    <t>Enter the performance credit serial number start range on row 969 of the table.</t>
  </si>
  <si>
    <t>Enter the performance credit serial number start range on row 970 of the table.</t>
  </si>
  <si>
    <t>Enter the performance credit serial number start range on row 971 of the table.</t>
  </si>
  <si>
    <t>Enter the performance credit serial number start range on row 972 of the table.</t>
  </si>
  <si>
    <t>Enter the performance credit serial number start range on row 973 of the table.</t>
  </si>
  <si>
    <t>Enter the performance credit serial number start range on row 974 of the table.</t>
  </si>
  <si>
    <t>Enter the performance credit serial number start range on row 975 of the table.</t>
  </si>
  <si>
    <t>Enter the performance credit serial number start range on row 976 of the table.</t>
  </si>
  <si>
    <t>Enter the performance credit serial number start range on row 977 of the table.</t>
  </si>
  <si>
    <t>Enter the performance credit serial number start range on row 978 of the table.</t>
  </si>
  <si>
    <t>Enter the performance credit serial number start range on row 979 of the table.</t>
  </si>
  <si>
    <t>Enter the performance credit serial number start range on row 980 of the table.</t>
  </si>
  <si>
    <t>Enter the performance credit serial number start range on row 981 of the table.</t>
  </si>
  <si>
    <t>Enter the performance credit serial number start range on row 982 of the table.</t>
  </si>
  <si>
    <t>Enter the performance credit serial number start range on row 983 of the table.</t>
  </si>
  <si>
    <t>Enter the performance credit serial number start range on row 984 of the table.</t>
  </si>
  <si>
    <t>Enter the performance credit serial number start range on row 985 of the table.</t>
  </si>
  <si>
    <t>Enter the performance credit serial number start range on row 986 of the table.</t>
  </si>
  <si>
    <t>Enter the performance credit serial number start range on row 987 of the table.</t>
  </si>
  <si>
    <t>Enter the performance credit serial number start range on row 988 of the table.</t>
  </si>
  <si>
    <t>Enter the performance credit serial number start range on row 989 of the table.</t>
  </si>
  <si>
    <t>Enter the performance credit serial number start range on row 990 of the table.</t>
  </si>
  <si>
    <t>Enter the performance credit serial number start range on row 991 of the table.</t>
  </si>
  <si>
    <t>Enter the performance credit serial number start range on row 992 of the table.</t>
  </si>
  <si>
    <t>Enter the performance credit serial number start range on row 993 of the table.</t>
  </si>
  <si>
    <t>Enter the performance credit serial number start range on row 994 of the table.</t>
  </si>
  <si>
    <t>Enter the performance credit serial number start range on row 995 of the table.</t>
  </si>
  <si>
    <t>Enter the performance credit serial number start range on row 996 of the table.</t>
  </si>
  <si>
    <t>Enter the performance credit serial number start range on row 997 of the table.</t>
  </si>
  <si>
    <t>Enter the performance credit serial number start range on row 998 of the table.</t>
  </si>
  <si>
    <t>Enter the performance credit serial number start range on row 999 of the table.</t>
  </si>
  <si>
    <t>Enter the performance credit serial number start range on row 1000 of the table.</t>
  </si>
  <si>
    <t>Enter the performance credit serial number end range on row 1 of the table.</t>
  </si>
  <si>
    <t>Enter the performance credit serial number end range on row 2 of the table.</t>
  </si>
  <si>
    <t>Enter the performance credit serial number end range on row 3 of the table.</t>
  </si>
  <si>
    <t>Enter the performance credit serial number end range on row 4 of the table.</t>
  </si>
  <si>
    <t>Enter the performance credit serial number end range on row 5 of the table.</t>
  </si>
  <si>
    <t>Enter the performance credit serial number end range on row 6 of the table.</t>
  </si>
  <si>
    <t>Enter the performance credit serial number end range on row 7 of the table.</t>
  </si>
  <si>
    <t>Enter the performance credit serial number end range on row 8 of the table.</t>
  </si>
  <si>
    <t>Enter the performance credit serial number end range on row 9 of the table.</t>
  </si>
  <si>
    <t>Enter the performance credit serial number end range on row 10 of the table.</t>
  </si>
  <si>
    <t>Enter the performance credit serial number end range on row 11 of the table.</t>
  </si>
  <si>
    <t>Enter the performance credit serial number end range on row 12 of the table.</t>
  </si>
  <si>
    <t>Enter the performance credit serial number end range on row 13 of the table.</t>
  </si>
  <si>
    <t>Enter the performance credit serial number end range on row 14 of the table.</t>
  </si>
  <si>
    <t>Enter the performance credit serial number end range on row 15 of the table.</t>
  </si>
  <si>
    <t>Enter the performance credit serial number end range on row 16 of the table.</t>
  </si>
  <si>
    <t>Enter the performance credit serial number end range on row 17 of the table.</t>
  </si>
  <si>
    <t>Enter the performance credit serial number end range on row 18 of the table.</t>
  </si>
  <si>
    <t>Enter the performance credit serial number end range on row 19 of the table.</t>
  </si>
  <si>
    <t>Enter the performance credit serial number end range on row 20 of the table.</t>
  </si>
  <si>
    <t>Enter the performance credit serial number end range on row 21 of the table.</t>
  </si>
  <si>
    <t>Enter the performance credit serial number end range on row 22 of the table.</t>
  </si>
  <si>
    <t>Enter the performance credit serial number end range on row 23 of the table.</t>
  </si>
  <si>
    <t>Enter the performance credit serial number end range on row 24 of the table.</t>
  </si>
  <si>
    <t>Enter the performance credit serial number end range on row 25 of the table.</t>
  </si>
  <si>
    <t>Enter the performance credit serial number end range on row 26 of the table.</t>
  </si>
  <si>
    <t>Enter the performance credit serial number end range on row 27 of the table.</t>
  </si>
  <si>
    <t>Enter the performance credit serial number end range on row 28 of the table.</t>
  </si>
  <si>
    <t>Enter the performance credit serial number end range on row 29 of the table.</t>
  </si>
  <si>
    <t>Enter the performance credit serial number end range on row 30 of the table.</t>
  </si>
  <si>
    <t>Enter the performance credit serial number end range on row 31 of the table.</t>
  </si>
  <si>
    <t>Enter the performance credit serial number end range on row 32 of the table.</t>
  </si>
  <si>
    <t>Enter the performance credit serial number end range on row 33 of the table.</t>
  </si>
  <si>
    <t>Enter the performance credit serial number end range on row 34 of the table.</t>
  </si>
  <si>
    <t>Enter the performance credit serial number end range on row 35 of the table.</t>
  </si>
  <si>
    <t>Enter the performance credit serial number end range on row 36 of the table.</t>
  </si>
  <si>
    <t>Enter the performance credit serial number end range on row 37 of the table.</t>
  </si>
  <si>
    <t>Enter the performance credit serial number end range on row 38 of the table.</t>
  </si>
  <si>
    <t>Enter the performance credit serial number end range on row 39 of the table.</t>
  </si>
  <si>
    <t>Enter the performance credit serial number end range on row 40 of the table.</t>
  </si>
  <si>
    <t>Enter the performance credit serial number end range on row 41 of the table.</t>
  </si>
  <si>
    <t>Enter the performance credit serial number end range on row 42 of the table.</t>
  </si>
  <si>
    <t>Enter the performance credit serial number end range on row 43 of the table.</t>
  </si>
  <si>
    <t>Enter the performance credit serial number end range on row 44 of the table.</t>
  </si>
  <si>
    <t>Enter the performance credit serial number end range on row 45 of the table.</t>
  </si>
  <si>
    <t>Enter the performance credit serial number end range on row 46 of the table.</t>
  </si>
  <si>
    <t>Enter the performance credit serial number end range on row 47 of the table.</t>
  </si>
  <si>
    <t>Enter the performance credit serial number end range on row 48 of the table.</t>
  </si>
  <si>
    <t>Enter the performance credit serial number end range on row 49 of the table.</t>
  </si>
  <si>
    <t>Enter the performance credit serial number end range on row 50 of the table.</t>
  </si>
  <si>
    <t>Enter the performance credit serial number end range on row 51 of the table.</t>
  </si>
  <si>
    <t>Enter the performance credit serial number end range on row 52 of the table.</t>
  </si>
  <si>
    <t>Enter the performance credit serial number end range on row 53 of the table.</t>
  </si>
  <si>
    <t>Enter the performance credit serial number end range on row 54 of the table.</t>
  </si>
  <si>
    <t>Enter the performance credit serial number end range on row 55 of the table.</t>
  </si>
  <si>
    <t>Enter the performance credit serial number end range on row 56 of the table.</t>
  </si>
  <si>
    <t>Enter the performance credit serial number end range on row 57 of the table.</t>
  </si>
  <si>
    <t>Enter the performance credit serial number end range on row 58 of the table.</t>
  </si>
  <si>
    <t>Enter the performance credit serial number end range on row 59 of the table.</t>
  </si>
  <si>
    <t>Enter the performance credit serial number end range on row 60 of the table.</t>
  </si>
  <si>
    <t>Enter the performance credit serial number end range on row 61 of the table.</t>
  </si>
  <si>
    <t>Enter the performance credit serial number end range on row 62 of the table.</t>
  </si>
  <si>
    <t>Enter the performance credit serial number end range on row 63 of the table.</t>
  </si>
  <si>
    <t>Enter the performance credit serial number end range on row 64 of the table.</t>
  </si>
  <si>
    <t>Enter the performance credit serial number end range on row 65 of the table.</t>
  </si>
  <si>
    <t>Enter the performance credit serial number end range on row 66 of the table.</t>
  </si>
  <si>
    <t>Enter the performance credit serial number end range on row 67 of the table.</t>
  </si>
  <si>
    <t>Enter the performance credit serial number end range on row 68 of the table.</t>
  </si>
  <si>
    <t>Enter the performance credit serial number end range on row 69 of the table.</t>
  </si>
  <si>
    <t>Enter the performance credit serial number end range on row 70 of the table.</t>
  </si>
  <si>
    <t>Enter the performance credit serial number end range on row 71 of the table.</t>
  </si>
  <si>
    <t>Enter the performance credit serial number end range on row 72 of the table.</t>
  </si>
  <si>
    <t>Enter the performance credit serial number end range on row 73 of the table.</t>
  </si>
  <si>
    <t>Enter the performance credit serial number end range on row 74 of the table.</t>
  </si>
  <si>
    <t>Enter the performance credit serial number end range on row 75 of the table.</t>
  </si>
  <si>
    <t>Enter the performance credit serial number end range on row 76 of the table.</t>
  </si>
  <si>
    <t>Enter the performance credit serial number end range on row 77 of the table.</t>
  </si>
  <si>
    <t>Enter the performance credit serial number end range on row 78 of the table.</t>
  </si>
  <si>
    <t>Enter the performance credit serial number end range on row 79 of the table.</t>
  </si>
  <si>
    <t>Enter the performance credit serial number end range on row 80 of the table.</t>
  </si>
  <si>
    <t>Enter the performance credit serial number end range on row 81 of the table.</t>
  </si>
  <si>
    <t>Enter the performance credit serial number end range on row 82 of the table.</t>
  </si>
  <si>
    <t>Enter the performance credit serial number end range on row 83 of the table.</t>
  </si>
  <si>
    <t>Enter the performance credit serial number end range on row 84 of the table.</t>
  </si>
  <si>
    <t>Enter the performance credit serial number end range on row 85 of the table.</t>
  </si>
  <si>
    <t>Enter the performance credit serial number end range on row 86 of the table.</t>
  </si>
  <si>
    <t>Enter the performance credit serial number end range on row 87 of the table.</t>
  </si>
  <si>
    <t>Enter the performance credit serial number end range on row 88 of the table.</t>
  </si>
  <si>
    <t>Enter the performance credit serial number end range on row 89 of the table.</t>
  </si>
  <si>
    <t>Enter the performance credit serial number end range on row 90 of the table.</t>
  </si>
  <si>
    <t>Enter the performance credit serial number end range on row 91 of the table.</t>
  </si>
  <si>
    <t>Enter the performance credit serial number end range on row 92 of the table.</t>
  </si>
  <si>
    <t>Enter the performance credit serial number end range on row 93 of the table.</t>
  </si>
  <si>
    <t>Enter the performance credit serial number end range on row 94 of the table.</t>
  </si>
  <si>
    <t>Enter the performance credit serial number end range on row 95 of the table.</t>
  </si>
  <si>
    <t>Enter the performance credit serial number end range on row 96 of the table.</t>
  </si>
  <si>
    <t>Enter the performance credit serial number end range on row 97 of the table.</t>
  </si>
  <si>
    <t>Enter the performance credit serial number end range on row 98 of the table.</t>
  </si>
  <si>
    <t>Enter the performance credit serial number end range on row 99 of the table.</t>
  </si>
  <si>
    <t>Enter the performance credit serial number end range on row 100 of the table.</t>
  </si>
  <si>
    <t>Enter the performance credit serial number end range on row 101 of the table.</t>
  </si>
  <si>
    <t>Enter the performance credit serial number end range on row 102 of the table.</t>
  </si>
  <si>
    <t>Enter the performance credit serial number end range on row 103 of the table.</t>
  </si>
  <si>
    <t>Enter the performance credit serial number end range on row 104 of the table.</t>
  </si>
  <si>
    <t>Enter the performance credit serial number end range on row 105 of the table.</t>
  </si>
  <si>
    <t>Enter the performance credit serial number end range on row 106 of the table.</t>
  </si>
  <si>
    <t>Enter the performance credit serial number end range on row 107 of the table.</t>
  </si>
  <si>
    <t>Enter the performance credit serial number end range on row 108 of the table.</t>
  </si>
  <si>
    <t>Enter the performance credit serial number end range on row 109 of the table.</t>
  </si>
  <si>
    <t>Enter the performance credit serial number end range on row 110 of the table.</t>
  </si>
  <si>
    <t>Enter the performance credit serial number end range on row 111 of the table.</t>
  </si>
  <si>
    <t>Enter the performance credit serial number end range on row 112 of the table.</t>
  </si>
  <si>
    <t>Enter the performance credit serial number end range on row 113 of the table.</t>
  </si>
  <si>
    <t>Enter the performance credit serial number end range on row 114 of the table.</t>
  </si>
  <si>
    <t>Enter the performance credit serial number end range on row 115 of the table.</t>
  </si>
  <si>
    <t>Enter the performance credit serial number end range on row 116 of the table.</t>
  </si>
  <si>
    <t>Enter the performance credit serial number end range on row 117 of the table.</t>
  </si>
  <si>
    <t>Enter the performance credit serial number end range on row 118 of the table.</t>
  </si>
  <si>
    <t>Enter the performance credit serial number end range on row 119 of the table.</t>
  </si>
  <si>
    <t>Enter the performance credit serial number end range on row 120 of the table.</t>
  </si>
  <si>
    <t>Enter the performance credit serial number end range on row 121 of the table.</t>
  </si>
  <si>
    <t>Enter the performance credit serial number end range on row 122 of the table.</t>
  </si>
  <si>
    <t>Enter the performance credit serial number end range on row 123 of the table.</t>
  </si>
  <si>
    <t>Enter the performance credit serial number end range on row 124 of the table.</t>
  </si>
  <si>
    <t>Enter the performance credit serial number end range on row 125 of the table.</t>
  </si>
  <si>
    <t>Enter the performance credit serial number end range on row 126 of the table.</t>
  </si>
  <si>
    <t>Enter the performance credit serial number end range on row 127 of the table.</t>
  </si>
  <si>
    <t>Enter the performance credit serial number end range on row 128 of the table.</t>
  </si>
  <si>
    <t>Enter the performance credit serial number end range on row 129 of the table.</t>
  </si>
  <si>
    <t>Enter the performance credit serial number end range on row 130 of the table.</t>
  </si>
  <si>
    <t>Enter the performance credit serial number end range on row 131 of the table.</t>
  </si>
  <si>
    <t>Enter the performance credit serial number end range on row 132 of the table.</t>
  </si>
  <si>
    <t>Enter the performance credit serial number end range on row 133 of the table.</t>
  </si>
  <si>
    <t>Enter the performance credit serial number end range on row 134 of the table.</t>
  </si>
  <si>
    <t>Enter the performance credit serial number end range on row 135 of the table.</t>
  </si>
  <si>
    <t>Enter the performance credit serial number end range on row 136 of the table.</t>
  </si>
  <si>
    <t>Enter the performance credit serial number end range on row 137 of the table.</t>
  </si>
  <si>
    <t>Enter the performance credit serial number end range on row 138 of the table.</t>
  </si>
  <si>
    <t>Enter the performance credit serial number end range on row 139 of the table.</t>
  </si>
  <si>
    <t>Enter the performance credit serial number end range on row 140 of the table.</t>
  </si>
  <si>
    <t>Enter the performance credit serial number end range on row 141 of the table.</t>
  </si>
  <si>
    <t>Enter the performance credit serial number end range on row 142 of the table.</t>
  </si>
  <si>
    <t>Enter the performance credit serial number end range on row 143 of the table.</t>
  </si>
  <si>
    <t>Enter the performance credit serial number end range on row 144 of the table.</t>
  </si>
  <si>
    <t>Enter the performance credit serial number end range on row 145 of the table.</t>
  </si>
  <si>
    <t>Enter the performance credit serial number end range on row 146 of the table.</t>
  </si>
  <si>
    <t>Enter the performance credit serial number end range on row 147 of the table.</t>
  </si>
  <si>
    <t>Enter the performance credit serial number end range on row 148 of the table.</t>
  </si>
  <si>
    <t>Enter the performance credit serial number end range on row 149 of the table.</t>
  </si>
  <si>
    <t>Enter the performance credit serial number end range on row 150 of the table.</t>
  </si>
  <si>
    <t>Enter the performance credit serial number end range on row 151 of the table.</t>
  </si>
  <si>
    <t>Enter the performance credit serial number end range on row 152 of the table.</t>
  </si>
  <si>
    <t>Enter the performance credit serial number end range on row 153 of the table.</t>
  </si>
  <si>
    <t>Enter the performance credit serial number end range on row 154 of the table.</t>
  </si>
  <si>
    <t>Enter the performance credit serial number end range on row 155 of the table.</t>
  </si>
  <si>
    <t>Enter the performance credit serial number end range on row 156 of the table.</t>
  </si>
  <si>
    <t>Enter the performance credit serial number end range on row 157 of the table.</t>
  </si>
  <si>
    <t>Enter the performance credit serial number end range on row 158 of the table.</t>
  </si>
  <si>
    <t>Enter the performance credit serial number end range on row 159 of the table.</t>
  </si>
  <si>
    <t>Enter the performance credit serial number end range on row 160 of the table.</t>
  </si>
  <si>
    <t>Enter the performance credit serial number end range on row 161 of the table.</t>
  </si>
  <si>
    <t>Enter the performance credit serial number end range on row 162 of the table.</t>
  </si>
  <si>
    <t>Enter the performance credit serial number end range on row 163 of the table.</t>
  </si>
  <si>
    <t>Enter the performance credit serial number end range on row 164 of the table.</t>
  </si>
  <si>
    <t>Enter the performance credit serial number end range on row 165 of the table.</t>
  </si>
  <si>
    <t>Enter the performance credit serial number end range on row 166 of the table.</t>
  </si>
  <si>
    <t>Enter the performance credit serial number end range on row 167 of the table.</t>
  </si>
  <si>
    <t>Enter the performance credit serial number end range on row 168 of the table.</t>
  </si>
  <si>
    <t>Enter the performance credit serial number end range on row 169 of the table.</t>
  </si>
  <si>
    <t>Enter the performance credit serial number end range on row 170 of the table.</t>
  </si>
  <si>
    <t>Enter the performance credit serial number end range on row 171 of the table.</t>
  </si>
  <si>
    <t>Enter the performance credit serial number end range on row 172 of the table.</t>
  </si>
  <si>
    <t>Enter the performance credit serial number end range on row 173 of the table.</t>
  </si>
  <si>
    <t>Enter the performance credit serial number end range on row 174 of the table.</t>
  </si>
  <si>
    <t>Enter the performance credit serial number end range on row 175 of the table.</t>
  </si>
  <si>
    <t>Enter the performance credit serial number end range on row 176 of the table.</t>
  </si>
  <si>
    <t>Enter the performance credit serial number end range on row 177 of the table.</t>
  </si>
  <si>
    <t>Enter the performance credit serial number end range on row 178 of the table.</t>
  </si>
  <si>
    <t>Enter the performance credit serial number end range on row 179 of the table.</t>
  </si>
  <si>
    <t>Enter the performance credit serial number end range on row 180 of the table.</t>
  </si>
  <si>
    <t>Enter the performance credit serial number end range on row 181 of the table.</t>
  </si>
  <si>
    <t>Enter the performance credit serial number end range on row 182 of the table.</t>
  </si>
  <si>
    <t>Enter the performance credit serial number end range on row 183 of the table.</t>
  </si>
  <si>
    <t>Enter the performance credit serial number end range on row 184 of the table.</t>
  </si>
  <si>
    <t>Enter the performance credit serial number end range on row 185 of the table.</t>
  </si>
  <si>
    <t>Enter the performance credit serial number end range on row 186 of the table.</t>
  </si>
  <si>
    <t>Enter the performance credit serial number end range on row 187 of the table.</t>
  </si>
  <si>
    <t>Enter the performance credit serial number end range on row 188 of the table.</t>
  </si>
  <si>
    <t>Enter the performance credit serial number end range on row 189 of the table.</t>
  </si>
  <si>
    <t>Enter the performance credit serial number end range on row 190 of the table.</t>
  </si>
  <si>
    <t>Enter the performance credit serial number end range on row 191 of the table.</t>
  </si>
  <si>
    <t>Enter the performance credit serial number end range on row 192 of the table.</t>
  </si>
  <si>
    <t>Enter the performance credit serial number end range on row 193 of the table.</t>
  </si>
  <si>
    <t>Enter the performance credit serial number end range on row 194 of the table.</t>
  </si>
  <si>
    <t>Enter the performance credit serial number end range on row 195 of the table.</t>
  </si>
  <si>
    <t>Enter the performance credit serial number end range on row 196 of the table.</t>
  </si>
  <si>
    <t>Enter the performance credit serial number end range on row 197 of the table.</t>
  </si>
  <si>
    <t>Enter the performance credit serial number end range on row 198 of the table.</t>
  </si>
  <si>
    <t>Enter the performance credit serial number end range on row 199 of the table.</t>
  </si>
  <si>
    <t>Enter the performance credit serial number end range on row 200 of the table.</t>
  </si>
  <si>
    <t>Enter the performance credit serial number end range on row 201 of the table.</t>
  </si>
  <si>
    <t>Enter the performance credit serial number end range on row 202 of the table.</t>
  </si>
  <si>
    <t>Enter the performance credit serial number end range on row 203 of the table.</t>
  </si>
  <si>
    <t>Enter the performance credit serial number end range on row 204 of the table.</t>
  </si>
  <si>
    <t>Enter the performance credit serial number end range on row 205 of the table.</t>
  </si>
  <si>
    <t>Enter the performance credit serial number end range on row 206 of the table.</t>
  </si>
  <si>
    <t>Enter the performance credit serial number end range on row 207 of the table.</t>
  </si>
  <si>
    <t>Enter the performance credit serial number end range on row 208 of the table.</t>
  </si>
  <si>
    <t>Enter the performance credit serial number end range on row 209 of the table.</t>
  </si>
  <si>
    <t>Enter the performance credit serial number end range on row 210 of the table.</t>
  </si>
  <si>
    <t>Enter the performance credit serial number end range on row 211 of the table.</t>
  </si>
  <si>
    <t>Enter the performance credit serial number end range on row 212 of the table.</t>
  </si>
  <si>
    <t>Enter the performance credit serial number end range on row 213 of the table.</t>
  </si>
  <si>
    <t>Enter the performance credit serial number end range on row 214 of the table.</t>
  </si>
  <si>
    <t>Enter the performance credit serial number end range on row 215 of the table.</t>
  </si>
  <si>
    <t>Enter the performance credit serial number end range on row 216 of the table.</t>
  </si>
  <si>
    <t>Enter the performance credit serial number end range on row 217 of the table.</t>
  </si>
  <si>
    <t>Enter the performance credit serial number end range on row 218 of the table.</t>
  </si>
  <si>
    <t>Enter the performance credit serial number end range on row 219 of the table.</t>
  </si>
  <si>
    <t>Enter the performance credit serial number end range on row 220 of the table.</t>
  </si>
  <si>
    <t>Enter the performance credit serial number end range on row 221 of the table.</t>
  </si>
  <si>
    <t>Enter the performance credit serial number end range on row 222 of the table.</t>
  </si>
  <si>
    <t>Enter the performance credit serial number end range on row 223 of the table.</t>
  </si>
  <si>
    <t>Enter the performance credit serial number end range on row 224 of the table.</t>
  </si>
  <si>
    <t>Enter the performance credit serial number end range on row 225 of the table.</t>
  </si>
  <si>
    <t>Enter the performance credit serial number end range on row 226 of the table.</t>
  </si>
  <si>
    <t>Enter the performance credit serial number end range on row 227 of the table.</t>
  </si>
  <si>
    <t>Enter the performance credit serial number end range on row 228 of the table.</t>
  </si>
  <si>
    <t>Enter the performance credit serial number end range on row 229 of the table.</t>
  </si>
  <si>
    <t>Enter the performance credit serial number end range on row 230 of the table.</t>
  </si>
  <si>
    <t>Enter the performance credit serial number end range on row 231 of the table.</t>
  </si>
  <si>
    <t>Enter the performance credit serial number end range on row 232 of the table.</t>
  </si>
  <si>
    <t>Enter the performance credit serial number end range on row 233 of the table.</t>
  </si>
  <si>
    <t>Enter the performance credit serial number end range on row 234 of the table.</t>
  </si>
  <si>
    <t>Enter the performance credit serial number end range on row 235 of the table.</t>
  </si>
  <si>
    <t>Enter the performance credit serial number end range on row 236 of the table.</t>
  </si>
  <si>
    <t>Enter the performance credit serial number end range on row 237 of the table.</t>
  </si>
  <si>
    <t>Enter the performance credit serial number end range on row 238 of the table.</t>
  </si>
  <si>
    <t>Enter the performance credit serial number end range on row 239 of the table.</t>
  </si>
  <si>
    <t>Enter the performance credit serial number end range on row 240 of the table.</t>
  </si>
  <si>
    <t>Enter the performance credit serial number end range on row 241 of the table.</t>
  </si>
  <si>
    <t>Enter the performance credit serial number end range on row 242 of the table.</t>
  </si>
  <si>
    <t>Enter the performance credit serial number end range on row 243 of the table.</t>
  </si>
  <si>
    <t>Enter the performance credit serial number end range on row 244 of the table.</t>
  </si>
  <si>
    <t>Enter the performance credit serial number end range on row 245 of the table.</t>
  </si>
  <si>
    <t>Enter the performance credit serial number end range on row 246 of the table.</t>
  </si>
  <si>
    <t>Enter the performance credit serial number end range on row 247 of the table.</t>
  </si>
  <si>
    <t>Enter the performance credit serial number end range on row 248 of the table.</t>
  </si>
  <si>
    <t>Enter the performance credit serial number end range on row 249 of the table.</t>
  </si>
  <si>
    <t>Enter the performance credit serial number end range on row 250 of the table.</t>
  </si>
  <si>
    <t>Enter the performance credit serial number end range on row 251 of the table.</t>
  </si>
  <si>
    <t>Enter the performance credit serial number end range on row 252 of the table.</t>
  </si>
  <si>
    <t>Enter the performance credit serial number end range on row 253 of the table.</t>
  </si>
  <si>
    <t>Enter the performance credit serial number end range on row 254 of the table.</t>
  </si>
  <si>
    <t>Enter the performance credit serial number end range on row 255 of the table.</t>
  </si>
  <si>
    <t>Enter the performance credit serial number end range on row 256 of the table.</t>
  </si>
  <si>
    <t>Enter the performance credit serial number end range on row 257 of the table.</t>
  </si>
  <si>
    <t>Enter the performance credit serial number end range on row 258 of the table.</t>
  </si>
  <si>
    <t>Enter the performance credit serial number end range on row 259 of the table.</t>
  </si>
  <si>
    <t>Enter the performance credit serial number end range on row 260 of the table.</t>
  </si>
  <si>
    <t>Enter the performance credit serial number end range on row 261 of the table.</t>
  </si>
  <si>
    <t>Enter the performance credit serial number end range on row 262 of the table.</t>
  </si>
  <si>
    <t>Enter the performance credit serial number end range on row 263 of the table.</t>
  </si>
  <si>
    <t>Enter the performance credit serial number end range on row 264 of the table.</t>
  </si>
  <si>
    <t>Enter the performance credit serial number end range on row 265 of the table.</t>
  </si>
  <si>
    <t>Enter the performance credit serial number end range on row 266 of the table.</t>
  </si>
  <si>
    <t>Enter the performance credit serial number end range on row 267 of the table.</t>
  </si>
  <si>
    <t>Enter the performance credit serial number end range on row 268 of the table.</t>
  </si>
  <si>
    <t>Enter the performance credit serial number end range on row 269 of the table.</t>
  </si>
  <si>
    <t>Enter the performance credit serial number end range on row 270 of the table.</t>
  </si>
  <si>
    <t>Enter the performance credit serial number end range on row 271 of the table.</t>
  </si>
  <si>
    <t>Enter the performance credit serial number end range on row 272 of the table.</t>
  </si>
  <si>
    <t>Enter the performance credit serial number end range on row 273 of the table.</t>
  </si>
  <si>
    <t>Enter the performance credit serial number end range on row 274 of the table.</t>
  </si>
  <si>
    <t>Enter the performance credit serial number end range on row 275 of the table.</t>
  </si>
  <si>
    <t>Enter the performance credit serial number end range on row 276 of the table.</t>
  </si>
  <si>
    <t>Enter the performance credit serial number end range on row 277 of the table.</t>
  </si>
  <si>
    <t>Enter the performance credit serial number end range on row 278 of the table.</t>
  </si>
  <si>
    <t>Enter the performance credit serial number end range on row 279 of the table.</t>
  </si>
  <si>
    <t>Enter the performance credit serial number end range on row 280 of the table.</t>
  </si>
  <si>
    <t>Enter the performance credit serial number end range on row 281 of the table.</t>
  </si>
  <si>
    <t>Enter the performance credit serial number end range on row 282 of the table.</t>
  </si>
  <si>
    <t>Enter the performance credit serial number end range on row 283 of the table.</t>
  </si>
  <si>
    <t>Enter the performance credit serial number end range on row 284 of the table.</t>
  </si>
  <si>
    <t>Enter the performance credit serial number end range on row 285 of the table.</t>
  </si>
  <si>
    <t>Enter the performance credit serial number end range on row 286 of the table.</t>
  </si>
  <si>
    <t>Enter the performance credit serial number end range on row 287 of the table.</t>
  </si>
  <si>
    <t>Enter the performance credit serial number end range on row 288 of the table.</t>
  </si>
  <si>
    <t>Enter the performance credit serial number end range on row 289 of the table.</t>
  </si>
  <si>
    <t>Enter the performance credit serial number end range on row 290 of the table.</t>
  </si>
  <si>
    <t>Enter the performance credit serial number end range on row 291 of the table.</t>
  </si>
  <si>
    <t>Enter the performance credit serial number end range on row 292 of the table.</t>
  </si>
  <si>
    <t>Enter the performance credit serial number end range on row 293 of the table.</t>
  </si>
  <si>
    <t>Enter the performance credit serial number end range on row 294 of the table.</t>
  </si>
  <si>
    <t>Enter the performance credit serial number end range on row 295 of the table.</t>
  </si>
  <si>
    <t>Enter the performance credit serial number end range on row 296 of the table.</t>
  </si>
  <si>
    <t>Enter the performance credit serial number end range on row 297 of the table.</t>
  </si>
  <si>
    <t>Enter the performance credit serial number end range on row 298 of the table.</t>
  </si>
  <si>
    <t>Enter the performance credit serial number end range on row 299 of the table.</t>
  </si>
  <si>
    <t>Enter the performance credit serial number end range on row 300 of the table.</t>
  </si>
  <si>
    <t>Enter the performance credit serial number end range on row 301 of the table.</t>
  </si>
  <si>
    <t>Enter the performance credit serial number end range on row 302 of the table.</t>
  </si>
  <si>
    <t>Enter the performance credit serial number end range on row 303 of the table.</t>
  </si>
  <si>
    <t>Enter the performance credit serial number end range on row 304 of the table.</t>
  </si>
  <si>
    <t>Enter the performance credit serial number end range on row 305 of the table.</t>
  </si>
  <si>
    <t>Enter the performance credit serial number end range on row 306 of the table.</t>
  </si>
  <si>
    <t>Enter the performance credit serial number end range on row 307 of the table.</t>
  </si>
  <si>
    <t>Enter the performance credit serial number end range on row 308 of the table.</t>
  </si>
  <si>
    <t>Enter the performance credit serial number end range on row 309 of the table.</t>
  </si>
  <si>
    <t>Enter the performance credit serial number end range on row 310 of the table.</t>
  </si>
  <si>
    <t>Enter the performance credit serial number end range on row 311 of the table.</t>
  </si>
  <si>
    <t>Enter the performance credit serial number end range on row 312 of the table.</t>
  </si>
  <si>
    <t>Enter the performance credit serial number end range on row 313 of the table.</t>
  </si>
  <si>
    <t>Enter the performance credit serial number end range on row 314 of the table.</t>
  </si>
  <si>
    <t>Enter the performance credit serial number end range on row 315 of the table.</t>
  </si>
  <si>
    <t>Enter the performance credit serial number end range on row 316 of the table.</t>
  </si>
  <si>
    <t>Enter the performance credit serial number end range on row 317 of the table.</t>
  </si>
  <si>
    <t>Enter the performance credit serial number end range on row 318 of the table.</t>
  </si>
  <si>
    <t>Enter the performance credit serial number end range on row 319 of the table.</t>
  </si>
  <si>
    <t>Enter the performance credit serial number end range on row 320 of the table.</t>
  </si>
  <si>
    <t>Enter the performance credit serial number end range on row 321 of the table.</t>
  </si>
  <si>
    <t>Enter the performance credit serial number end range on row 322 of the table.</t>
  </si>
  <si>
    <t>Enter the performance credit serial number end range on row 323 of the table.</t>
  </si>
  <si>
    <t>Enter the performance credit serial number end range on row 324 of the table.</t>
  </si>
  <si>
    <t>Enter the performance credit serial number end range on row 325 of the table.</t>
  </si>
  <si>
    <t>Enter the performance credit serial number end range on row 326 of the table.</t>
  </si>
  <si>
    <t>Enter the performance credit serial number end range on row 327 of the table.</t>
  </si>
  <si>
    <t>Enter the performance credit serial number end range on row 328 of the table.</t>
  </si>
  <si>
    <t>Enter the performance credit serial number end range on row 329 of the table.</t>
  </si>
  <si>
    <t>Enter the performance credit serial number end range on row 330 of the table.</t>
  </si>
  <si>
    <t>Enter the performance credit serial number end range on row 331 of the table.</t>
  </si>
  <si>
    <t>Enter the performance credit serial number end range on row 332 of the table.</t>
  </si>
  <si>
    <t>Enter the performance credit serial number end range on row 333 of the table.</t>
  </si>
  <si>
    <t>Enter the performance credit serial number end range on row 334 of the table.</t>
  </si>
  <si>
    <t>Enter the performance credit serial number end range on row 335 of the table.</t>
  </si>
  <si>
    <t>Enter the performance credit serial number end range on row 336 of the table.</t>
  </si>
  <si>
    <t>Enter the performance credit serial number end range on row 337 of the table.</t>
  </si>
  <si>
    <t>Enter the performance credit serial number end range on row 338 of the table.</t>
  </si>
  <si>
    <t>Enter the performance credit serial number end range on row 339 of the table.</t>
  </si>
  <si>
    <t>Enter the performance credit serial number end range on row 340 of the table.</t>
  </si>
  <si>
    <t>Enter the performance credit serial number end range on row 341 of the table.</t>
  </si>
  <si>
    <t>Enter the performance credit serial number end range on row 342 of the table.</t>
  </si>
  <si>
    <t>Enter the performance credit serial number end range on row 343 of the table.</t>
  </si>
  <si>
    <t>Enter the performance credit serial number end range on row 344 of the table.</t>
  </si>
  <si>
    <t>Enter the performance credit serial number end range on row 345 of the table.</t>
  </si>
  <si>
    <t>Enter the performance credit serial number end range on row 346 of the table.</t>
  </si>
  <si>
    <t>Enter the performance credit serial number end range on row 347 of the table.</t>
  </si>
  <si>
    <t>Enter the performance credit serial number end range on row 348 of the table.</t>
  </si>
  <si>
    <t>Enter the performance credit serial number end range on row 349 of the table.</t>
  </si>
  <si>
    <t>Enter the performance credit serial number end range on row 350 of the table.</t>
  </si>
  <si>
    <t>Enter the performance credit serial number end range on row 351 of the table.</t>
  </si>
  <si>
    <t>Enter the performance credit serial number end range on row 352 of the table.</t>
  </si>
  <si>
    <t>Enter the performance credit serial number end range on row 353 of the table.</t>
  </si>
  <si>
    <t>Enter the performance credit serial number end range on row 354 of the table.</t>
  </si>
  <si>
    <t>Enter the performance credit serial number end range on row 355 of the table.</t>
  </si>
  <si>
    <t>Enter the performance credit serial number end range on row 356 of the table.</t>
  </si>
  <si>
    <t>Enter the performance credit serial number end range on row 357 of the table.</t>
  </si>
  <si>
    <t>Enter the performance credit serial number end range on row 358 of the table.</t>
  </si>
  <si>
    <t>Enter the performance credit serial number end range on row 359 of the table.</t>
  </si>
  <si>
    <t>Enter the performance credit serial number end range on row 360 of the table.</t>
  </si>
  <si>
    <t>Enter the performance credit serial number end range on row 361 of the table.</t>
  </si>
  <si>
    <t>Enter the performance credit serial number end range on row 362 of the table.</t>
  </si>
  <si>
    <t>Enter the performance credit serial number end range on row 363 of the table.</t>
  </si>
  <si>
    <t>Enter the performance credit serial number end range on row 364 of the table.</t>
  </si>
  <si>
    <t>Enter the performance credit serial number end range on row 365 of the table.</t>
  </si>
  <si>
    <t>Enter the performance credit serial number end range on row 366 of the table.</t>
  </si>
  <si>
    <t>Enter the performance credit serial number end range on row 367 of the table.</t>
  </si>
  <si>
    <t>Enter the performance credit serial number end range on row 368 of the table.</t>
  </si>
  <si>
    <t>Enter the performance credit serial number end range on row 369 of the table.</t>
  </si>
  <si>
    <t>Enter the performance credit serial number end range on row 370 of the table.</t>
  </si>
  <si>
    <t>Enter the performance credit serial number end range on row 371 of the table.</t>
  </si>
  <si>
    <t>Enter the performance credit serial number end range on row 372 of the table.</t>
  </si>
  <si>
    <t>Enter the performance credit serial number end range on row 373 of the table.</t>
  </si>
  <si>
    <t>Enter the performance credit serial number end range on row 374 of the table.</t>
  </si>
  <si>
    <t>Enter the performance credit serial number end range on row 375 of the table.</t>
  </si>
  <si>
    <t>Enter the performance credit serial number end range on row 376 of the table.</t>
  </si>
  <si>
    <t>Enter the performance credit serial number end range on row 377 of the table.</t>
  </si>
  <si>
    <t>Enter the performance credit serial number end range on row 378 of the table.</t>
  </si>
  <si>
    <t>Enter the performance credit serial number end range on row 379 of the table.</t>
  </si>
  <si>
    <t>Enter the performance credit serial number end range on row 380 of the table.</t>
  </si>
  <si>
    <t>Enter the performance credit serial number end range on row 381 of the table.</t>
  </si>
  <si>
    <t>Enter the performance credit serial number end range on row 382 of the table.</t>
  </si>
  <si>
    <t>Enter the performance credit serial number end range on row 383 of the table.</t>
  </si>
  <si>
    <t>Enter the performance credit serial number end range on row 384 of the table.</t>
  </si>
  <si>
    <t>Enter the performance credit serial number end range on row 385 of the table.</t>
  </si>
  <si>
    <t>Enter the performance credit serial number end range on row 386 of the table.</t>
  </si>
  <si>
    <t>Enter the performance credit serial number end range on row 387 of the table.</t>
  </si>
  <si>
    <t>Enter the performance credit serial number end range on row 388 of the table.</t>
  </si>
  <si>
    <t>Enter the performance credit serial number end range on row 389 of the table.</t>
  </si>
  <si>
    <t>Enter the performance credit serial number end range on row 390 of the table.</t>
  </si>
  <si>
    <t>Enter the performance credit serial number end range on row 391 of the table.</t>
  </si>
  <si>
    <t>Enter the performance credit serial number end range on row 392 of the table.</t>
  </si>
  <si>
    <t>Enter the performance credit serial number end range on row 393 of the table.</t>
  </si>
  <si>
    <t>Enter the performance credit serial number end range on row 394 of the table.</t>
  </si>
  <si>
    <t>Enter the performance credit serial number end range on row 395 of the table.</t>
  </si>
  <si>
    <t>Enter the performance credit serial number end range on row 396 of the table.</t>
  </si>
  <si>
    <t>Enter the performance credit serial number end range on row 397 of the table.</t>
  </si>
  <si>
    <t>Enter the performance credit serial number end range on row 398 of the table.</t>
  </si>
  <si>
    <t>Enter the performance credit serial number end range on row 399 of the table.</t>
  </si>
  <si>
    <t>Enter the performance credit serial number end range on row 400 of the table.</t>
  </si>
  <si>
    <t>Enter the performance credit serial number end range on row 401 of the table.</t>
  </si>
  <si>
    <t>Enter the performance credit serial number end range on row 402 of the table.</t>
  </si>
  <si>
    <t>Enter the performance credit serial number end range on row 403 of the table.</t>
  </si>
  <si>
    <t>Enter the performance credit serial number end range on row 404 of the table.</t>
  </si>
  <si>
    <t>Enter the performance credit serial number end range on row 405 of the table.</t>
  </si>
  <si>
    <t>Enter the performance credit serial number end range on row 406 of the table.</t>
  </si>
  <si>
    <t>Enter the performance credit serial number end range on row 407 of the table.</t>
  </si>
  <si>
    <t>Enter the performance credit serial number end range on row 408 of the table.</t>
  </si>
  <si>
    <t>Enter the performance credit serial number end range on row 409 of the table.</t>
  </si>
  <si>
    <t>Enter the performance credit serial number end range on row 410 of the table.</t>
  </si>
  <si>
    <t>Enter the performance credit serial number end range on row 411 of the table.</t>
  </si>
  <si>
    <t>Enter the performance credit serial number end range on row 412 of the table.</t>
  </si>
  <si>
    <t>Enter the performance credit serial number end range on row 413 of the table.</t>
  </si>
  <si>
    <t>Enter the performance credit serial number end range on row 414 of the table.</t>
  </si>
  <si>
    <t>Enter the performance credit serial number end range on row 415 of the table.</t>
  </si>
  <si>
    <t>Enter the performance credit serial number end range on row 416 of the table.</t>
  </si>
  <si>
    <t>Enter the performance credit serial number end range on row 417 of the table.</t>
  </si>
  <si>
    <t>Enter the performance credit serial number end range on row 418 of the table.</t>
  </si>
  <si>
    <t>Enter the performance credit serial number end range on row 419 of the table.</t>
  </si>
  <si>
    <t>Enter the performance credit serial number end range on row 420 of the table.</t>
  </si>
  <si>
    <t>Enter the performance credit serial number end range on row 421 of the table.</t>
  </si>
  <si>
    <t>Enter the performance credit serial number end range on row 422 of the table.</t>
  </si>
  <si>
    <t>Enter the performance credit serial number end range on row 423 of the table.</t>
  </si>
  <si>
    <t>Enter the performance credit serial number end range on row 424 of the table.</t>
  </si>
  <si>
    <t>Enter the performance credit serial number end range on row 425 of the table.</t>
  </si>
  <si>
    <t>Enter the performance credit serial number end range on row 426 of the table.</t>
  </si>
  <si>
    <t>Enter the performance credit serial number end range on row 427 of the table.</t>
  </si>
  <si>
    <t>Enter the performance credit serial number end range on row 428 of the table.</t>
  </si>
  <si>
    <t>Enter the performance credit serial number end range on row 429 of the table.</t>
  </si>
  <si>
    <t>Enter the performance credit serial number end range on row 430 of the table.</t>
  </si>
  <si>
    <t>Enter the performance credit serial number end range on row 431 of the table.</t>
  </si>
  <si>
    <t>Enter the performance credit serial number end range on row 432 of the table.</t>
  </si>
  <si>
    <t>Enter the performance credit serial number end range on row 433 of the table.</t>
  </si>
  <si>
    <t>Enter the performance credit serial number end range on row 434 of the table.</t>
  </si>
  <si>
    <t>Enter the performance credit serial number end range on row 435 of the table.</t>
  </si>
  <si>
    <t>Enter the performance credit serial number end range on row 436 of the table.</t>
  </si>
  <si>
    <t>Enter the performance credit serial number end range on row 437 of the table.</t>
  </si>
  <si>
    <t>Enter the performance credit serial number end range on row 438 of the table.</t>
  </si>
  <si>
    <t>Enter the performance credit serial number end range on row 439 of the table.</t>
  </si>
  <si>
    <t>Enter the performance credit serial number end range on row 440 of the table.</t>
  </si>
  <si>
    <t>Enter the performance credit serial number end range on row 441 of the table.</t>
  </si>
  <si>
    <t>Enter the performance credit serial number end range on row 442 of the table.</t>
  </si>
  <si>
    <t>Enter the performance credit serial number end range on row 443 of the table.</t>
  </si>
  <si>
    <t>Enter the performance credit serial number end range on row 444 of the table.</t>
  </si>
  <si>
    <t>Enter the performance credit serial number end range on row 445 of the table.</t>
  </si>
  <si>
    <t>Enter the performance credit serial number end range on row 446 of the table.</t>
  </si>
  <si>
    <t>Enter the performance credit serial number end range on row 447 of the table.</t>
  </si>
  <si>
    <t>Enter the performance credit serial number end range on row 448 of the table.</t>
  </si>
  <si>
    <t>Enter the performance credit serial number end range on row 449 of the table.</t>
  </si>
  <si>
    <t>Enter the performance credit serial number end range on row 450 of the table.</t>
  </si>
  <si>
    <t>Enter the performance credit serial number end range on row 451 of the table.</t>
  </si>
  <si>
    <t>Enter the performance credit serial number end range on row 452 of the table.</t>
  </si>
  <si>
    <t>Enter the performance credit serial number end range on row 453 of the table.</t>
  </si>
  <si>
    <t>Enter the performance credit serial number end range on row 454 of the table.</t>
  </si>
  <si>
    <t>Enter the performance credit serial number end range on row 455 of the table.</t>
  </si>
  <si>
    <t>Enter the performance credit serial number end range on row 456 of the table.</t>
  </si>
  <si>
    <t>Enter the performance credit serial number end range on row 457 of the table.</t>
  </si>
  <si>
    <t>Enter the performance credit serial number end range on row 458 of the table.</t>
  </si>
  <si>
    <t>Enter the performance credit serial number end range on row 459 of the table.</t>
  </si>
  <si>
    <t>Enter the performance credit serial number end range on row 460 of the table.</t>
  </si>
  <si>
    <t>Enter the performance credit serial number end range on row 461 of the table.</t>
  </si>
  <si>
    <t>Enter the performance credit serial number end range on row 462 of the table.</t>
  </si>
  <si>
    <t>Enter the performance credit serial number end range on row 463 of the table.</t>
  </si>
  <si>
    <t>Enter the performance credit serial number end range on row 464 of the table.</t>
  </si>
  <si>
    <t>Enter the performance credit serial number end range on row 465 of the table.</t>
  </si>
  <si>
    <t>Enter the performance credit serial number end range on row 466 of the table.</t>
  </si>
  <si>
    <t>Enter the performance credit serial number end range on row 467 of the table.</t>
  </si>
  <si>
    <t>Enter the performance credit serial number end range on row 468 of the table.</t>
  </si>
  <si>
    <t>Enter the performance credit serial number end range on row 469 of the table.</t>
  </si>
  <si>
    <t>Enter the performance credit serial number end range on row 470 of the table.</t>
  </si>
  <si>
    <t>Enter the performance credit serial number end range on row 471 of the table.</t>
  </si>
  <si>
    <t>Enter the performance credit serial number end range on row 472 of the table.</t>
  </si>
  <si>
    <t>Enter the performance credit serial number end range on row 473 of the table.</t>
  </si>
  <si>
    <t>Enter the performance credit serial number end range on row 474 of the table.</t>
  </si>
  <si>
    <t>Enter the performance credit serial number end range on row 475 of the table.</t>
  </si>
  <si>
    <t>Enter the performance credit serial number end range on row 476 of the table.</t>
  </si>
  <si>
    <t>Enter the performance credit serial number end range on row 477 of the table.</t>
  </si>
  <si>
    <t>Enter the performance credit serial number end range on row 478 of the table.</t>
  </si>
  <si>
    <t>Enter the performance credit serial number end range on row 479 of the table.</t>
  </si>
  <si>
    <t>Enter the performance credit serial number end range on row 480 of the table.</t>
  </si>
  <si>
    <t>Enter the performance credit serial number end range on row 481 of the table.</t>
  </si>
  <si>
    <t>Enter the performance credit serial number end range on row 482 of the table.</t>
  </si>
  <si>
    <t>Enter the performance credit serial number end range on row 483 of the table.</t>
  </si>
  <si>
    <t>Enter the performance credit serial number end range on row 484 of the table.</t>
  </si>
  <si>
    <t>Enter the performance credit serial number end range on row 485 of the table.</t>
  </si>
  <si>
    <t>Enter the performance credit serial number end range on row 486 of the table.</t>
  </si>
  <si>
    <t>Enter the performance credit serial number end range on row 487 of the table.</t>
  </si>
  <si>
    <t>Enter the performance credit serial number end range on row 488 of the table.</t>
  </si>
  <si>
    <t>Enter the performance credit serial number end range on row 489 of the table.</t>
  </si>
  <si>
    <t>Enter the performance credit serial number end range on row 490 of the table.</t>
  </si>
  <si>
    <t>Enter the performance credit serial number end range on row 491 of the table.</t>
  </si>
  <si>
    <t>Enter the performance credit serial number end range on row 492 of the table.</t>
  </si>
  <si>
    <t>Enter the performance credit serial number end range on row 493 of the table.</t>
  </si>
  <si>
    <t>Enter the performance credit serial number end range on row 494 of the table.</t>
  </si>
  <si>
    <t>Enter the performance credit serial number end range on row 495 of the table.</t>
  </si>
  <si>
    <t>Enter the performance credit serial number end range on row 496 of the table.</t>
  </si>
  <si>
    <t>Enter the performance credit serial number end range on row 497 of the table.</t>
  </si>
  <si>
    <t>Enter the performance credit serial number end range on row 498 of the table.</t>
  </si>
  <si>
    <t>Enter the performance credit serial number end range on row 499 of the table.</t>
  </si>
  <si>
    <t>Enter the performance credit serial number end range on row 500 of the table.</t>
  </si>
  <si>
    <t>Enter the performance credit serial number end range on row 501 of the table.</t>
  </si>
  <si>
    <t>Enter the performance credit serial number end range on row 502 of the table.</t>
  </si>
  <si>
    <t>Enter the performance credit serial number end range on row 503 of the table.</t>
  </si>
  <si>
    <t>Enter the performance credit serial number end range on row 504 of the table.</t>
  </si>
  <si>
    <t>Enter the performance credit serial number end range on row 505 of the table.</t>
  </si>
  <si>
    <t>Enter the performance credit serial number end range on row 506 of the table.</t>
  </si>
  <si>
    <t>Enter the performance credit serial number end range on row 507 of the table.</t>
  </si>
  <si>
    <t>Enter the performance credit serial number end range on row 508 of the table.</t>
  </si>
  <si>
    <t>Enter the performance credit serial number end range on row 509 of the table.</t>
  </si>
  <si>
    <t>Enter the performance credit serial number end range on row 510 of the table.</t>
  </si>
  <si>
    <t>Enter the performance credit serial number end range on row 511 of the table.</t>
  </si>
  <si>
    <t>Enter the performance credit serial number end range on row 512 of the table.</t>
  </si>
  <si>
    <t>Enter the performance credit serial number end range on row 513 of the table.</t>
  </si>
  <si>
    <t>Enter the performance credit serial number end range on row 514 of the table.</t>
  </si>
  <si>
    <t>Enter the performance credit serial number end range on row 515 of the table.</t>
  </si>
  <si>
    <t>Enter the performance credit serial number end range on row 516 of the table.</t>
  </si>
  <si>
    <t>Enter the performance credit serial number end range on row 517 of the table.</t>
  </si>
  <si>
    <t>Enter the performance credit serial number end range on row 518 of the table.</t>
  </si>
  <si>
    <t>Enter the performance credit serial number end range on row 519 of the table.</t>
  </si>
  <si>
    <t>Enter the performance credit serial number end range on row 520 of the table.</t>
  </si>
  <si>
    <t>Enter the performance credit serial number end range on row 521 of the table.</t>
  </si>
  <si>
    <t>Enter the performance credit serial number end range on row 522 of the table.</t>
  </si>
  <si>
    <t>Enter the performance credit serial number end range on row 523 of the table.</t>
  </si>
  <si>
    <t>Enter the performance credit serial number end range on row 524 of the table.</t>
  </si>
  <si>
    <t>Enter the performance credit serial number end range on row 525 of the table.</t>
  </si>
  <si>
    <t>Enter the performance credit serial number end range on row 526 of the table.</t>
  </si>
  <si>
    <t>Enter the performance credit serial number end range on row 527 of the table.</t>
  </si>
  <si>
    <t>Enter the performance credit serial number end range on row 528 of the table.</t>
  </si>
  <si>
    <t>Enter the performance credit serial number end range on row 529 of the table.</t>
  </si>
  <si>
    <t>Enter the performance credit serial number end range on row 530 of the table.</t>
  </si>
  <si>
    <t>Enter the performance credit serial number end range on row 531 of the table.</t>
  </si>
  <si>
    <t>Enter the performance credit serial number end range on row 532 of the table.</t>
  </si>
  <si>
    <t>Enter the performance credit serial number end range on row 533 of the table.</t>
  </si>
  <si>
    <t>Enter the performance credit serial number end range on row 534 of the table.</t>
  </si>
  <si>
    <t>Enter the performance credit serial number end range on row 535 of the table.</t>
  </si>
  <si>
    <t>Enter the performance credit serial number end range on row 536 of the table.</t>
  </si>
  <si>
    <t>Enter the performance credit serial number end range on row 537 of the table.</t>
  </si>
  <si>
    <t>Enter the performance credit serial number end range on row 538 of the table.</t>
  </si>
  <si>
    <t>Enter the performance credit serial number end range on row 539 of the table.</t>
  </si>
  <si>
    <t>Enter the performance credit serial number end range on row 540 of the table.</t>
  </si>
  <si>
    <t>Enter the performance credit serial number end range on row 541 of the table.</t>
  </si>
  <si>
    <t>Enter the performance credit serial number end range on row 542 of the table.</t>
  </si>
  <si>
    <t>Enter the performance credit serial number end range on row 543 of the table.</t>
  </si>
  <si>
    <t>Enter the performance credit serial number end range on row 544 of the table.</t>
  </si>
  <si>
    <t>Enter the performance credit serial number end range on row 545 of the table.</t>
  </si>
  <si>
    <t>Enter the performance credit serial number end range on row 546 of the table.</t>
  </si>
  <si>
    <t>Enter the performance credit serial number end range on row 547 of the table.</t>
  </si>
  <si>
    <t>Enter the performance credit serial number end range on row 548 of the table.</t>
  </si>
  <si>
    <t>Enter the performance credit serial number end range on row 549 of the table.</t>
  </si>
  <si>
    <t>Enter the performance credit serial number end range on row 550 of the table.</t>
  </si>
  <si>
    <t>Enter the performance credit serial number end range on row 551 of the table.</t>
  </si>
  <si>
    <t>Enter the performance credit serial number end range on row 552 of the table.</t>
  </si>
  <si>
    <t>Enter the performance credit serial number end range on row 553 of the table.</t>
  </si>
  <si>
    <t>Enter the performance credit serial number end range on row 554 of the table.</t>
  </si>
  <si>
    <t>Enter the performance credit serial number end range on row 555 of the table.</t>
  </si>
  <si>
    <t>Enter the performance credit serial number end range on row 556 of the table.</t>
  </si>
  <si>
    <t>Enter the performance credit serial number end range on row 557 of the table.</t>
  </si>
  <si>
    <t>Enter the performance credit serial number end range on row 558 of the table.</t>
  </si>
  <si>
    <t>Enter the performance credit serial number end range on row 559 of the table.</t>
  </si>
  <si>
    <t>Enter the performance credit serial number end range on row 560 of the table.</t>
  </si>
  <si>
    <t>Enter the performance credit serial number end range on row 561 of the table.</t>
  </si>
  <si>
    <t>Enter the performance credit serial number end range on row 562 of the table.</t>
  </si>
  <si>
    <t>Enter the performance credit serial number end range on row 563 of the table.</t>
  </si>
  <si>
    <t>Enter the performance credit serial number end range on row 564 of the table.</t>
  </si>
  <si>
    <t>Enter the performance credit serial number end range on row 565 of the table.</t>
  </si>
  <si>
    <t>Enter the performance credit serial number end range on row 566 of the table.</t>
  </si>
  <si>
    <t>Enter the performance credit serial number end range on row 567 of the table.</t>
  </si>
  <si>
    <t>Enter the performance credit serial number end range on row 568 of the table.</t>
  </si>
  <si>
    <t>Enter the performance credit serial number end range on row 569 of the table.</t>
  </si>
  <si>
    <t>Enter the performance credit serial number end range on row 570 of the table.</t>
  </si>
  <si>
    <t>Enter the performance credit serial number end range on row 571 of the table.</t>
  </si>
  <si>
    <t>Enter the performance credit serial number end range on row 572 of the table.</t>
  </si>
  <si>
    <t>Enter the performance credit serial number end range on row 573 of the table.</t>
  </si>
  <si>
    <t>Enter the performance credit serial number end range on row 574 of the table.</t>
  </si>
  <si>
    <t>Enter the performance credit serial number end range on row 575 of the table.</t>
  </si>
  <si>
    <t>Enter the performance credit serial number end range on row 576 of the table.</t>
  </si>
  <si>
    <t>Enter the performance credit serial number end range on row 577 of the table.</t>
  </si>
  <si>
    <t>Enter the performance credit serial number end range on row 578 of the table.</t>
  </si>
  <si>
    <t>Enter the performance credit serial number end range on row 579 of the table.</t>
  </si>
  <si>
    <t>Enter the performance credit serial number end range on row 580 of the table.</t>
  </si>
  <si>
    <t>Enter the performance credit serial number end range on row 581 of the table.</t>
  </si>
  <si>
    <t>Enter the performance credit serial number end range on row 582 of the table.</t>
  </si>
  <si>
    <t>Enter the performance credit serial number end range on row 583 of the table.</t>
  </si>
  <si>
    <t>Enter the performance credit serial number end range on row 584 of the table.</t>
  </si>
  <si>
    <t>Enter the performance credit serial number end range on row 585 of the table.</t>
  </si>
  <si>
    <t>Enter the performance credit serial number end range on row 586 of the table.</t>
  </si>
  <si>
    <t>Enter the performance credit serial number end range on row 587 of the table.</t>
  </si>
  <si>
    <t>Enter the performance credit serial number end range on row 588 of the table.</t>
  </si>
  <si>
    <t>Enter the performance credit serial number end range on row 589 of the table.</t>
  </si>
  <si>
    <t>Enter the performance credit serial number end range on row 590 of the table.</t>
  </si>
  <si>
    <t>Enter the performance credit serial number end range on row 591 of the table.</t>
  </si>
  <si>
    <t>Enter the performance credit serial number end range on row 592 of the table.</t>
  </si>
  <si>
    <t>Enter the performance credit serial number end range on row 593 of the table.</t>
  </si>
  <si>
    <t>Enter the performance credit serial number end range on row 594 of the table.</t>
  </si>
  <si>
    <t>Enter the performance credit serial number end range on row 595 of the table.</t>
  </si>
  <si>
    <t>Enter the performance credit serial number end range on row 596 of the table.</t>
  </si>
  <si>
    <t>Enter the performance credit serial number end range on row 597 of the table.</t>
  </si>
  <si>
    <t>Enter the performance credit serial number end range on row 598 of the table.</t>
  </si>
  <si>
    <t>Enter the performance credit serial number end range on row 599 of the table.</t>
  </si>
  <si>
    <t>Enter the performance credit serial number end range on row 600 of the table.</t>
  </si>
  <si>
    <t>Enter the performance credit serial number end range on row 601 of the table.</t>
  </si>
  <si>
    <t>Enter the performance credit serial number end range on row 602 of the table.</t>
  </si>
  <si>
    <t>Enter the performance credit serial number end range on row 603 of the table.</t>
  </si>
  <si>
    <t>Enter the performance credit serial number end range on row 604 of the table.</t>
  </si>
  <si>
    <t>Enter the performance credit serial number end range on row 605 of the table.</t>
  </si>
  <si>
    <t>Enter the performance credit serial number end range on row 606 of the table.</t>
  </si>
  <si>
    <t>Enter the performance credit serial number end range on row 607 of the table.</t>
  </si>
  <si>
    <t>Enter the performance credit serial number end range on row 608 of the table.</t>
  </si>
  <si>
    <t>Enter the performance credit serial number end range on row 609 of the table.</t>
  </si>
  <si>
    <t>Enter the performance credit serial number end range on row 610 of the table.</t>
  </si>
  <si>
    <t>Enter the performance credit serial number end range on row 611 of the table.</t>
  </si>
  <si>
    <t>Enter the performance credit serial number end range on row 612 of the table.</t>
  </si>
  <si>
    <t>Enter the performance credit serial number end range on row 613 of the table.</t>
  </si>
  <si>
    <t>Enter the performance credit serial number end range on row 614 of the table.</t>
  </si>
  <si>
    <t>Enter the performance credit serial number end range on row 615 of the table.</t>
  </si>
  <si>
    <t>Enter the performance credit serial number end range on row 616 of the table.</t>
  </si>
  <si>
    <t>Enter the performance credit serial number end range on row 617 of the table.</t>
  </si>
  <si>
    <t>Enter the performance credit serial number end range on row 618 of the table.</t>
  </si>
  <si>
    <t>Enter the performance credit serial number end range on row 619 of the table.</t>
  </si>
  <si>
    <t>Enter the performance credit serial number end range on row 620 of the table.</t>
  </si>
  <si>
    <t>Enter the performance credit serial number end range on row 621 of the table.</t>
  </si>
  <si>
    <t>Enter the performance credit serial number end range on row 622 of the table.</t>
  </si>
  <si>
    <t>Enter the performance credit serial number end range on row 623 of the table.</t>
  </si>
  <si>
    <t>Enter the performance credit serial number end range on row 624 of the table.</t>
  </si>
  <si>
    <t>Enter the performance credit serial number end range on row 625 of the table.</t>
  </si>
  <si>
    <t>Enter the performance credit serial number end range on row 626 of the table.</t>
  </si>
  <si>
    <t>Enter the performance credit serial number end range on row 627 of the table.</t>
  </si>
  <si>
    <t>Enter the performance credit serial number end range on row 628 of the table.</t>
  </si>
  <si>
    <t>Enter the performance credit serial number end range on row 629 of the table.</t>
  </si>
  <si>
    <t>Enter the performance credit serial number end range on row 630 of the table.</t>
  </si>
  <si>
    <t>Enter the performance credit serial number end range on row 631 of the table.</t>
  </si>
  <si>
    <t>Enter the performance credit serial number end range on row 632 of the table.</t>
  </si>
  <si>
    <t>Enter the performance credit serial number end range on row 633 of the table.</t>
  </si>
  <si>
    <t>Enter the performance credit serial number end range on row 634 of the table.</t>
  </si>
  <si>
    <t>Enter the performance credit serial number end range on row 635 of the table.</t>
  </si>
  <si>
    <t>Enter the performance credit serial number end range on row 636 of the table.</t>
  </si>
  <si>
    <t>Enter the performance credit serial number end range on row 637 of the table.</t>
  </si>
  <si>
    <t>Enter the performance credit serial number end range on row 638 of the table.</t>
  </si>
  <si>
    <t>Enter the performance credit serial number end range on row 639 of the table.</t>
  </si>
  <si>
    <t>Enter the performance credit serial number end range on row 640 of the table.</t>
  </si>
  <si>
    <t>Enter the performance credit serial number end range on row 641 of the table.</t>
  </si>
  <si>
    <t>Enter the performance credit serial number end range on row 642 of the table.</t>
  </si>
  <si>
    <t>Enter the performance credit serial number end range on row 643 of the table.</t>
  </si>
  <si>
    <t>Enter the performance credit serial number end range on row 644 of the table.</t>
  </si>
  <si>
    <t>Enter the performance credit serial number end range on row 645 of the table.</t>
  </si>
  <si>
    <t>Enter the performance credit serial number end range on row 646 of the table.</t>
  </si>
  <si>
    <t>Enter the performance credit serial number end range on row 647 of the table.</t>
  </si>
  <si>
    <t>Enter the performance credit serial number end range on row 648 of the table.</t>
  </si>
  <si>
    <t>Enter the performance credit serial number end range on row 649 of the table.</t>
  </si>
  <si>
    <t>Enter the performance credit serial number end range on row 650 of the table.</t>
  </si>
  <si>
    <t>Enter the performance credit serial number end range on row 651 of the table.</t>
  </si>
  <si>
    <t>Enter the performance credit serial number end range on row 652 of the table.</t>
  </si>
  <si>
    <t>Enter the performance credit serial number end range on row 653 of the table.</t>
  </si>
  <si>
    <t>Enter the performance credit serial number end range on row 654 of the table.</t>
  </si>
  <si>
    <t>Enter the performance credit serial number end range on row 655 of the table.</t>
  </si>
  <si>
    <t>Enter the performance credit serial number end range on row 656 of the table.</t>
  </si>
  <si>
    <t>Enter the performance credit serial number end range on row 657 of the table.</t>
  </si>
  <si>
    <t>Enter the performance credit serial number end range on row 658 of the table.</t>
  </si>
  <si>
    <t>Enter the performance credit serial number end range on row 659 of the table.</t>
  </si>
  <si>
    <t>Enter the performance credit serial number end range on row 660 of the table.</t>
  </si>
  <si>
    <t>Enter the performance credit serial number end range on row 661 of the table.</t>
  </si>
  <si>
    <t>Enter the performance credit serial number end range on row 662 of the table.</t>
  </si>
  <si>
    <t>Enter the performance credit serial number end range on row 663 of the table.</t>
  </si>
  <si>
    <t>Enter the performance credit serial number end range on row 664 of the table.</t>
  </si>
  <si>
    <t>Enter the performance credit serial number end range on row 665 of the table.</t>
  </si>
  <si>
    <t>Enter the performance credit serial number end range on row 666 of the table.</t>
  </si>
  <si>
    <t>Enter the performance credit serial number end range on row 667 of the table.</t>
  </si>
  <si>
    <t>Enter the performance credit serial number end range on row 668 of the table.</t>
  </si>
  <si>
    <t>Enter the performance credit serial number end range on row 669 of the table.</t>
  </si>
  <si>
    <t>Enter the performance credit serial number end range on row 670 of the table.</t>
  </si>
  <si>
    <t>Enter the performance credit serial number end range on row 671 of the table.</t>
  </si>
  <si>
    <t>Enter the performance credit serial number end range on row 672 of the table.</t>
  </si>
  <si>
    <t>Enter the performance credit serial number end range on row 673 of the table.</t>
  </si>
  <si>
    <t>Enter the performance credit serial number end range on row 674 of the table.</t>
  </si>
  <si>
    <t>Enter the performance credit serial number end range on row 675 of the table.</t>
  </si>
  <si>
    <t>Enter the performance credit serial number end range on row 676 of the table.</t>
  </si>
  <si>
    <t>Enter the performance credit serial number end range on row 677 of the table.</t>
  </si>
  <si>
    <t>Enter the performance credit serial number end range on row 678 of the table.</t>
  </si>
  <si>
    <t>Enter the performance credit serial number end range on row 679 of the table.</t>
  </si>
  <si>
    <t>Enter the performance credit serial number end range on row 680 of the table.</t>
  </si>
  <si>
    <t>Enter the performance credit serial number end range on row 681 of the table.</t>
  </si>
  <si>
    <t>Enter the performance credit serial number end range on row 682 of the table.</t>
  </si>
  <si>
    <t>Enter the performance credit serial number end range on row 683 of the table.</t>
  </si>
  <si>
    <t>Enter the performance credit serial number end range on row 684 of the table.</t>
  </si>
  <si>
    <t>Enter the performance credit serial number end range on row 685 of the table.</t>
  </si>
  <si>
    <t>Enter the performance credit serial number end range on row 686 of the table.</t>
  </si>
  <si>
    <t>Enter the performance credit serial number end range on row 687 of the table.</t>
  </si>
  <si>
    <t>Enter the performance credit serial number end range on row 688 of the table.</t>
  </si>
  <si>
    <t>Enter the performance credit serial number end range on row 689 of the table.</t>
  </si>
  <si>
    <t>Enter the performance credit serial number end range on row 690 of the table.</t>
  </si>
  <si>
    <t>Enter the performance credit serial number end range on row 691 of the table.</t>
  </si>
  <si>
    <t>Enter the performance credit serial number end range on row 692 of the table.</t>
  </si>
  <si>
    <t>Enter the performance credit serial number end range on row 693 of the table.</t>
  </si>
  <si>
    <t>Enter the performance credit serial number end range on row 694 of the table.</t>
  </si>
  <si>
    <t>Enter the performance credit serial number end range on row 695 of the table.</t>
  </si>
  <si>
    <t>Enter the performance credit serial number end range on row 696 of the table.</t>
  </si>
  <si>
    <t>Enter the performance credit serial number end range on row 697 of the table.</t>
  </si>
  <si>
    <t>Enter the performance credit serial number end range on row 698 of the table.</t>
  </si>
  <si>
    <t>Enter the performance credit serial number end range on row 699 of the table.</t>
  </si>
  <si>
    <t>Enter the performance credit serial number end range on row 700 of the table.</t>
  </si>
  <si>
    <t>Enter the performance credit serial number end range on row 701 of the table.</t>
  </si>
  <si>
    <t>Enter the performance credit serial number end range on row 702 of the table.</t>
  </si>
  <si>
    <t>Enter the performance credit serial number end range on row 703 of the table.</t>
  </si>
  <si>
    <t>Enter the performance credit serial number end range on row 704 of the table.</t>
  </si>
  <si>
    <t>Enter the performance credit serial number end range on row 705 of the table.</t>
  </si>
  <si>
    <t>Enter the performance credit serial number end range on row 706 of the table.</t>
  </si>
  <si>
    <t>Enter the performance credit serial number end range on row 707 of the table.</t>
  </si>
  <si>
    <t>Enter the performance credit serial number end range on row 708 of the table.</t>
  </si>
  <si>
    <t>Enter the performance credit serial number end range on row 709 of the table.</t>
  </si>
  <si>
    <t>Enter the performance credit serial number end range on row 710 of the table.</t>
  </si>
  <si>
    <t>Enter the performance credit serial number end range on row 711 of the table.</t>
  </si>
  <si>
    <t>Enter the performance credit serial number end range on row 712 of the table.</t>
  </si>
  <si>
    <t>Enter the performance credit serial number end range on row 713 of the table.</t>
  </si>
  <si>
    <t>Enter the performance credit serial number end range on row 714 of the table.</t>
  </si>
  <si>
    <t>Enter the performance credit serial number end range on row 715 of the table.</t>
  </si>
  <si>
    <t>Enter the performance credit serial number end range on row 716 of the table.</t>
  </si>
  <si>
    <t>Enter the performance credit serial number end range on row 717 of the table.</t>
  </si>
  <si>
    <t>Enter the performance credit serial number end range on row 718 of the table.</t>
  </si>
  <si>
    <t>Enter the performance credit serial number end range on row 719 of the table.</t>
  </si>
  <si>
    <t>Enter the performance credit serial number end range on row 720 of the table.</t>
  </si>
  <si>
    <t>Enter the performance credit serial number end range on row 721 of the table.</t>
  </si>
  <si>
    <t>Enter the performance credit serial number end range on row 722 of the table.</t>
  </si>
  <si>
    <t>Enter the performance credit serial number end range on row 723 of the table.</t>
  </si>
  <si>
    <t>Enter the performance credit serial number end range on row 724 of the table.</t>
  </si>
  <si>
    <t>Enter the performance credit serial number end range on row 725 of the table.</t>
  </si>
  <si>
    <t>Enter the performance credit serial number end range on row 726 of the table.</t>
  </si>
  <si>
    <t>Enter the performance credit serial number end range on row 727 of the table.</t>
  </si>
  <si>
    <t>Enter the performance credit serial number end range on row 728 of the table.</t>
  </si>
  <si>
    <t>Enter the performance credit serial number end range on row 729 of the table.</t>
  </si>
  <si>
    <t>Enter the performance credit serial number end range on row 730 of the table.</t>
  </si>
  <si>
    <t>Enter the performance credit serial number end range on row 731 of the table.</t>
  </si>
  <si>
    <t>Enter the performance credit serial number end range on row 732 of the table.</t>
  </si>
  <si>
    <t>Enter the performance credit serial number end range on row 733 of the table.</t>
  </si>
  <si>
    <t>Enter the performance credit serial number end range on row 734 of the table.</t>
  </si>
  <si>
    <t>Enter the performance credit serial number end range on row 735 of the table.</t>
  </si>
  <si>
    <t>Enter the performance credit serial number end range on row 736 of the table.</t>
  </si>
  <si>
    <t>Enter the performance credit serial number end range on row 737 of the table.</t>
  </si>
  <si>
    <t>Enter the performance credit serial number end range on row 738 of the table.</t>
  </si>
  <si>
    <t>Enter the performance credit serial number end range on row 739 of the table.</t>
  </si>
  <si>
    <t>Enter the performance credit serial number end range on row 740 of the table.</t>
  </si>
  <si>
    <t>Enter the performance credit serial number end range on row 741 of the table.</t>
  </si>
  <si>
    <t>Enter the performance credit serial number end range on row 742 of the table.</t>
  </si>
  <si>
    <t>Enter the performance credit serial number end range on row 743 of the table.</t>
  </si>
  <si>
    <t>Enter the performance credit serial number end range on row 744 of the table.</t>
  </si>
  <si>
    <t>Enter the performance credit serial number end range on row 745 of the table.</t>
  </si>
  <si>
    <t>Enter the performance credit serial number end range on row 746 of the table.</t>
  </si>
  <si>
    <t>Enter the performance credit serial number end range on row 747 of the table.</t>
  </si>
  <si>
    <t>Enter the performance credit serial number end range on row 748 of the table.</t>
  </si>
  <si>
    <t>Enter the performance credit serial number end range on row 749 of the table.</t>
  </si>
  <si>
    <t>Enter the performance credit serial number end range on row 750 of the table.</t>
  </si>
  <si>
    <t>Enter the performance credit serial number end range on row 751 of the table.</t>
  </si>
  <si>
    <t>Enter the performance credit serial number end range on row 752 of the table.</t>
  </si>
  <si>
    <t>Enter the performance credit serial number end range on row 753 of the table.</t>
  </si>
  <si>
    <t>Enter the performance credit serial number end range on row 754 of the table.</t>
  </si>
  <si>
    <t>Enter the performance credit serial number end range on row 755 of the table.</t>
  </si>
  <si>
    <t>Enter the performance credit serial number end range on row 756 of the table.</t>
  </si>
  <si>
    <t>Enter the performance credit serial number end range on row 757 of the table.</t>
  </si>
  <si>
    <t>Enter the performance credit serial number end range on row 758 of the table.</t>
  </si>
  <si>
    <t>Enter the performance credit serial number end range on row 759 of the table.</t>
  </si>
  <si>
    <t>Enter the performance credit serial number end range on row 760 of the table.</t>
  </si>
  <si>
    <t>Enter the performance credit serial number end range on row 761 of the table.</t>
  </si>
  <si>
    <t>Enter the performance credit serial number end range on row 762 of the table.</t>
  </si>
  <si>
    <t>Enter the performance credit serial number end range on row 763 of the table.</t>
  </si>
  <si>
    <t>Enter the performance credit serial number end range on row 764 of the table.</t>
  </si>
  <si>
    <t>Enter the performance credit serial number end range on row 765 of the table.</t>
  </si>
  <si>
    <t>Enter the performance credit serial number end range on row 766 of the table.</t>
  </si>
  <si>
    <t>Enter the performance credit serial number end range on row 767 of the table.</t>
  </si>
  <si>
    <t>Enter the performance credit serial number end range on row 768 of the table.</t>
  </si>
  <si>
    <t>Enter the performance credit serial number end range on row 769 of the table.</t>
  </si>
  <si>
    <t>Enter the performance credit serial number end range on row 770 of the table.</t>
  </si>
  <si>
    <t>Enter the performance credit serial number end range on row 771 of the table.</t>
  </si>
  <si>
    <t>Enter the performance credit serial number end range on row 772 of the table.</t>
  </si>
  <si>
    <t>Enter the performance credit serial number end range on row 773 of the table.</t>
  </si>
  <si>
    <t>Enter the performance credit serial number end range on row 774 of the table.</t>
  </si>
  <si>
    <t>Enter the performance credit serial number end range on row 775 of the table.</t>
  </si>
  <si>
    <t>Enter the performance credit serial number end range on row 776 of the table.</t>
  </si>
  <si>
    <t>Enter the performance credit serial number end range on row 777 of the table.</t>
  </si>
  <si>
    <t>Enter the performance credit serial number end range on row 778 of the table.</t>
  </si>
  <si>
    <t>Enter the performance credit serial number end range on row 779 of the table.</t>
  </si>
  <si>
    <t>Enter the performance credit serial number end range on row 780 of the table.</t>
  </si>
  <si>
    <t>Enter the performance credit serial number end range on row 781 of the table.</t>
  </si>
  <si>
    <t>Enter the performance credit serial number end range on row 782 of the table.</t>
  </si>
  <si>
    <t>Enter the performance credit serial number end range on row 783 of the table.</t>
  </si>
  <si>
    <t>Enter the performance credit serial number end range on row 784 of the table.</t>
  </si>
  <si>
    <t>Enter the performance credit serial number end range on row 785 of the table.</t>
  </si>
  <si>
    <t>Enter the performance credit serial number end range on row 786 of the table.</t>
  </si>
  <si>
    <t>Enter the performance credit serial number end range on row 787 of the table.</t>
  </si>
  <si>
    <t>Enter the performance credit serial number end range on row 788 of the table.</t>
  </si>
  <si>
    <t>Enter the performance credit serial number end range on row 789 of the table.</t>
  </si>
  <si>
    <t>Enter the performance credit serial number end range on row 790 of the table.</t>
  </si>
  <si>
    <t>Enter the performance credit serial number end range on row 791 of the table.</t>
  </si>
  <si>
    <t>Enter the performance credit serial number end range on row 792 of the table.</t>
  </si>
  <si>
    <t>Enter the performance credit serial number end range on row 793 of the table.</t>
  </si>
  <si>
    <t>Enter the performance credit serial number end range on row 794 of the table.</t>
  </si>
  <si>
    <t>Enter the performance credit serial number end range on row 795 of the table.</t>
  </si>
  <si>
    <t>Enter the performance credit serial number end range on row 796 of the table.</t>
  </si>
  <si>
    <t>Enter the performance credit serial number end range on row 797 of the table.</t>
  </si>
  <si>
    <t>Enter the performance credit serial number end range on row 798 of the table.</t>
  </si>
  <si>
    <t>Enter the performance credit serial number end range on row 799 of the table.</t>
  </si>
  <si>
    <t>Enter the performance credit serial number end range on row 800 of the table.</t>
  </si>
  <si>
    <t>Enter the performance credit serial number end range on row 801 of the table.</t>
  </si>
  <si>
    <t>Enter the performance credit serial number end range on row 802 of the table.</t>
  </si>
  <si>
    <t>Enter the performance credit serial number end range on row 803 of the table.</t>
  </si>
  <si>
    <t>Enter the performance credit serial number end range on row 804 of the table.</t>
  </si>
  <si>
    <t>Enter the performance credit serial number end range on row 805 of the table.</t>
  </si>
  <si>
    <t>Enter the performance credit serial number end range on row 806 of the table.</t>
  </si>
  <si>
    <t>Enter the performance credit serial number end range on row 807 of the table.</t>
  </si>
  <si>
    <t>Enter the performance credit serial number end range on row 808 of the table.</t>
  </si>
  <si>
    <t>Enter the performance credit serial number end range on row 809 of the table.</t>
  </si>
  <si>
    <t>Enter the performance credit serial number end range on row 810 of the table.</t>
  </si>
  <si>
    <t>Enter the performance credit serial number end range on row 811 of the table.</t>
  </si>
  <si>
    <t>Enter the performance credit serial number end range on row 812 of the table.</t>
  </si>
  <si>
    <t>Enter the performance credit serial number end range on row 813 of the table.</t>
  </si>
  <si>
    <t>Enter the performance credit serial number end range on row 814 of the table.</t>
  </si>
  <si>
    <t>Enter the performance credit serial number end range on row 815 of the table.</t>
  </si>
  <si>
    <t>Enter the performance credit serial number end range on row 816 of the table.</t>
  </si>
  <si>
    <t>Enter the performance credit serial number end range on row 817 of the table.</t>
  </si>
  <si>
    <t>Enter the performance credit serial number end range on row 818 of the table.</t>
  </si>
  <si>
    <t>Enter the performance credit serial number end range on row 819 of the table.</t>
  </si>
  <si>
    <t>Enter the performance credit serial number end range on row 820 of the table.</t>
  </si>
  <si>
    <t>Enter the performance credit serial number end range on row 821 of the table.</t>
  </si>
  <si>
    <t>Enter the performance credit serial number end range on row 822 of the table.</t>
  </si>
  <si>
    <t>Enter the performance credit serial number end range on row 823 of the table.</t>
  </si>
  <si>
    <t>Enter the performance credit serial number end range on row 824 of the table.</t>
  </si>
  <si>
    <t>Enter the performance credit serial number end range on row 825 of the table.</t>
  </si>
  <si>
    <t>Enter the performance credit serial number end range on row 826 of the table.</t>
  </si>
  <si>
    <t>Enter the performance credit serial number end range on row 827 of the table.</t>
  </si>
  <si>
    <t>Enter the performance credit serial number end range on row 828 of the table.</t>
  </si>
  <si>
    <t>Enter the performance credit serial number end range on row 829 of the table.</t>
  </si>
  <si>
    <t>Enter the performance credit serial number end range on row 830 of the table.</t>
  </si>
  <si>
    <t>Enter the performance credit serial number end range on row 831 of the table.</t>
  </si>
  <si>
    <t>Enter the performance credit serial number end range on row 832 of the table.</t>
  </si>
  <si>
    <t>Enter the performance credit serial number end range on row 833 of the table.</t>
  </si>
  <si>
    <t>Enter the performance credit serial number end range on row 834 of the table.</t>
  </si>
  <si>
    <t>Enter the performance credit serial number end range on row 835 of the table.</t>
  </si>
  <si>
    <t>Enter the performance credit serial number end range on row 836 of the table.</t>
  </si>
  <si>
    <t>Enter the performance credit serial number end range on row 837 of the table.</t>
  </si>
  <si>
    <t>Enter the performance credit serial number end range on row 838 of the table.</t>
  </si>
  <si>
    <t>Enter the performance credit serial number end range on row 839 of the table.</t>
  </si>
  <si>
    <t>Enter the performance credit serial number end range on row 840 of the table.</t>
  </si>
  <si>
    <t>Enter the performance credit serial number end range on row 841 of the table.</t>
  </si>
  <si>
    <t>Enter the performance credit serial number end range on row 842 of the table.</t>
  </si>
  <si>
    <t>Enter the performance credit serial number end range on row 843 of the table.</t>
  </si>
  <si>
    <t>Enter the performance credit serial number end range on row 844 of the table.</t>
  </si>
  <si>
    <t>Enter the performance credit serial number end range on row 845 of the table.</t>
  </si>
  <si>
    <t>Enter the performance credit serial number end range on row 846 of the table.</t>
  </si>
  <si>
    <t>Enter the performance credit serial number end range on row 847 of the table.</t>
  </si>
  <si>
    <t>Enter the performance credit serial number end range on row 848 of the table.</t>
  </si>
  <si>
    <t>Enter the performance credit serial number end range on row 849 of the table.</t>
  </si>
  <si>
    <t>Enter the performance credit serial number end range on row 850 of the table.</t>
  </si>
  <si>
    <t>Enter the performance credit serial number end range on row 851 of the table.</t>
  </si>
  <si>
    <t>Enter the performance credit serial number end range on row 852 of the table.</t>
  </si>
  <si>
    <t>Enter the performance credit serial number end range on row 853 of the table.</t>
  </si>
  <si>
    <t>Enter the performance credit serial number end range on row 854 of the table.</t>
  </si>
  <si>
    <t>Enter the performance credit serial number end range on row 855 of the table.</t>
  </si>
  <si>
    <t>Enter the performance credit serial number end range on row 856 of the table.</t>
  </si>
  <si>
    <t>Enter the performance credit serial number end range on row 857 of the table.</t>
  </si>
  <si>
    <t>Enter the performance credit serial number end range on row 858 of the table.</t>
  </si>
  <si>
    <t>Enter the performance credit serial number end range on row 859 of the table.</t>
  </si>
  <si>
    <t>Enter the performance credit serial number end range on row 860 of the table.</t>
  </si>
  <si>
    <t>Enter the performance credit serial number end range on row 861 of the table.</t>
  </si>
  <si>
    <t>Enter the performance credit serial number end range on row 862 of the table.</t>
  </si>
  <si>
    <t>Enter the performance credit serial number end range on row 863 of the table.</t>
  </si>
  <si>
    <t>Enter the performance credit serial number end range on row 864 of the table.</t>
  </si>
  <si>
    <t>Enter the performance credit serial number end range on row 865 of the table.</t>
  </si>
  <si>
    <t>Enter the performance credit serial number end range on row 866 of the table.</t>
  </si>
  <si>
    <t>Enter the performance credit serial number end range on row 867 of the table.</t>
  </si>
  <si>
    <t>Enter the performance credit serial number end range on row 868 of the table.</t>
  </si>
  <si>
    <t>Enter the performance credit serial number end range on row 869 of the table.</t>
  </si>
  <si>
    <t>Enter the performance credit serial number end range on row 870 of the table.</t>
  </si>
  <si>
    <t>Enter the performance credit serial number end range on row 871 of the table.</t>
  </si>
  <si>
    <t>Enter the performance credit serial number end range on row 872 of the table.</t>
  </si>
  <si>
    <t>Enter the performance credit serial number end range on row 873 of the table.</t>
  </si>
  <si>
    <t>Enter the performance credit serial number end range on row 874 of the table.</t>
  </si>
  <si>
    <t>Enter the performance credit serial number end range on row 875 of the table.</t>
  </si>
  <si>
    <t>Enter the performance credit serial number end range on row 876 of the table.</t>
  </si>
  <si>
    <t>Enter the performance credit serial number end range on row 877 of the table.</t>
  </si>
  <si>
    <t>Enter the performance credit serial number end range on row 878 of the table.</t>
  </si>
  <si>
    <t>Enter the performance credit serial number end range on row 879 of the table.</t>
  </si>
  <si>
    <t>Enter the performance credit serial number end range on row 880 of the table.</t>
  </si>
  <si>
    <t>Enter the performance credit serial number end range on row 881 of the table.</t>
  </si>
  <si>
    <t>Enter the performance credit serial number end range on row 882 of the table.</t>
  </si>
  <si>
    <t>Enter the performance credit serial number end range on row 883 of the table.</t>
  </si>
  <si>
    <t>Enter the performance credit serial number end range on row 884 of the table.</t>
  </si>
  <si>
    <t>Enter the performance credit serial number end range on row 885 of the table.</t>
  </si>
  <si>
    <t>Enter the performance credit serial number end range on row 886 of the table.</t>
  </si>
  <si>
    <t>Enter the performance credit serial number end range on row 887 of the table.</t>
  </si>
  <si>
    <t>Enter the performance credit serial number end range on row 888 of the table.</t>
  </si>
  <si>
    <t>Enter the performance credit serial number end range on row 889 of the table.</t>
  </si>
  <si>
    <t>Enter the performance credit serial number end range on row 890 of the table.</t>
  </si>
  <si>
    <t>Enter the performance credit serial number end range on row 891 of the table.</t>
  </si>
  <si>
    <t>Enter the performance credit serial number end range on row 892 of the table.</t>
  </si>
  <si>
    <t>Enter the performance credit serial number end range on row 893 of the table.</t>
  </si>
  <si>
    <t>Enter the performance credit serial number end range on row 894 of the table.</t>
  </si>
  <si>
    <t>Enter the performance credit serial number end range on row 895 of the table.</t>
  </si>
  <si>
    <t>Enter the performance credit serial number end range on row 896 of the table.</t>
  </si>
  <si>
    <t>Enter the performance credit serial number end range on row 897 of the table.</t>
  </si>
  <si>
    <t>Enter the performance credit serial number end range on row 898 of the table.</t>
  </si>
  <si>
    <t>Enter the performance credit serial number end range on row 899 of the table.</t>
  </si>
  <si>
    <t>Enter the performance credit serial number end range on row 900 of the table.</t>
  </si>
  <si>
    <t>Enter the performance credit serial number end range on row 901 of the table.</t>
  </si>
  <si>
    <t>Enter the performance credit serial number end range on row 902 of the table.</t>
  </si>
  <si>
    <t>Enter the performance credit serial number end range on row 903 of the table.</t>
  </si>
  <si>
    <t>Enter the performance credit serial number end range on row 904 of the table.</t>
  </si>
  <si>
    <t>Enter the performance credit serial number end range on row 905 of the table.</t>
  </si>
  <si>
    <t>Enter the performance credit serial number end range on row 906 of the table.</t>
  </si>
  <si>
    <t>Enter the performance credit serial number end range on row 907 of the table.</t>
  </si>
  <si>
    <t>Enter the performance credit serial number end range on row 908 of the table.</t>
  </si>
  <si>
    <t>Enter the performance credit serial number end range on row 909 of the table.</t>
  </si>
  <si>
    <t>Enter the performance credit serial number end range on row 910 of the table.</t>
  </si>
  <si>
    <t>Enter the performance credit serial number end range on row 911 of the table.</t>
  </si>
  <si>
    <t>Enter the performance credit serial number end range on row 912 of the table.</t>
  </si>
  <si>
    <t>Enter the performance credit serial number end range on row 913 of the table.</t>
  </si>
  <si>
    <t>Enter the performance credit serial number end range on row 914 of the table.</t>
  </si>
  <si>
    <t>Enter the performance credit serial number end range on row 915 of the table.</t>
  </si>
  <si>
    <t>Enter the performance credit serial number end range on row 916 of the table.</t>
  </si>
  <si>
    <t>Enter the performance credit serial number end range on row 917 of the table.</t>
  </si>
  <si>
    <t>Enter the performance credit serial number end range on row 918 of the table.</t>
  </si>
  <si>
    <t>Enter the performance credit serial number end range on row 919 of the table.</t>
  </si>
  <si>
    <t>Enter the performance credit serial number end range on row 920 of the table.</t>
  </si>
  <si>
    <t>Enter the performance credit serial number end range on row 921 of the table.</t>
  </si>
  <si>
    <t>Enter the performance credit serial number end range on row 922 of the table.</t>
  </si>
  <si>
    <t>Enter the performance credit serial number end range on row 923 of the table.</t>
  </si>
  <si>
    <t>Enter the performance credit serial number end range on row 924 of the table.</t>
  </si>
  <si>
    <t>Enter the performance credit serial number end range on row 925 of the table.</t>
  </si>
  <si>
    <t>Enter the performance credit serial number end range on row 926 of the table.</t>
  </si>
  <si>
    <t>Enter the performance credit serial number end range on row 927 of the table.</t>
  </si>
  <si>
    <t>Enter the performance credit serial number end range on row 928 of the table.</t>
  </si>
  <si>
    <t>Enter the performance credit serial number end range on row 929 of the table.</t>
  </si>
  <si>
    <t>Enter the performance credit serial number end range on row 930 of the table.</t>
  </si>
  <si>
    <t>Enter the performance credit serial number end range on row 931 of the table.</t>
  </si>
  <si>
    <t>Enter the performance credit serial number end range on row 932 of the table.</t>
  </si>
  <si>
    <t>Enter the performance credit serial number end range on row 933 of the table.</t>
  </si>
  <si>
    <t>Enter the performance credit serial number end range on row 934 of the table.</t>
  </si>
  <si>
    <t>Enter the performance credit serial number end range on row 935 of the table.</t>
  </si>
  <si>
    <t>Enter the performance credit serial number end range on row 936 of the table.</t>
  </si>
  <si>
    <t>Enter the performance credit serial number end range on row 937 of the table.</t>
  </si>
  <si>
    <t>Enter the performance credit serial number end range on row 938 of the table.</t>
  </si>
  <si>
    <t>Enter the performance credit serial number end range on row 939 of the table.</t>
  </si>
  <si>
    <t>Enter the performance credit serial number end range on row 940 of the table.</t>
  </si>
  <si>
    <t>Enter the performance credit serial number end range on row 941 of the table.</t>
  </si>
  <si>
    <t>Enter the performance credit serial number end range on row 942 of the table.</t>
  </si>
  <si>
    <t>Enter the performance credit serial number end range on row 943 of the table.</t>
  </si>
  <si>
    <t>Enter the performance credit serial number end range on row 944 of the table.</t>
  </si>
  <si>
    <t>Enter the performance credit serial number end range on row 945 of the table.</t>
  </si>
  <si>
    <t>Enter the performance credit serial number end range on row 946 of the table.</t>
  </si>
  <si>
    <t>Enter the performance credit serial number end range on row 947 of the table.</t>
  </si>
  <si>
    <t>Enter the performance credit serial number end range on row 948 of the table.</t>
  </si>
  <si>
    <t>Enter the performance credit serial number end range on row 949 of the table.</t>
  </si>
  <si>
    <t>Enter the performance credit serial number end range on row 950 of the table.</t>
  </si>
  <si>
    <t>Enter the performance credit serial number end range on row 951 of the table.</t>
  </si>
  <si>
    <t>Enter the performance credit serial number end range on row 952 of the table.</t>
  </si>
  <si>
    <t>Enter the performance credit serial number end range on row 953 of the table.</t>
  </si>
  <si>
    <t>Enter the performance credit serial number end range on row 954 of the table.</t>
  </si>
  <si>
    <t>Enter the performance credit serial number end range on row 955 of the table.</t>
  </si>
  <si>
    <t>Enter the performance credit serial number end range on row 956 of the table.</t>
  </si>
  <si>
    <t>Enter the performance credit serial number end range on row 957 of the table.</t>
  </si>
  <si>
    <t>Enter the performance credit serial number end range on row 958 of the table.</t>
  </si>
  <si>
    <t>Enter the performance credit serial number end range on row 959 of the table.</t>
  </si>
  <si>
    <t>Enter the performance credit serial number end range on row 960 of the table.</t>
  </si>
  <si>
    <t>Enter the performance credit serial number end range on row 961 of the table.</t>
  </si>
  <si>
    <t>Enter the performance credit serial number end range on row 962 of the table.</t>
  </si>
  <si>
    <t>Enter the performance credit serial number end range on row 963 of the table.</t>
  </si>
  <si>
    <t>Enter the performance credit serial number end range on row 964 of the table.</t>
  </si>
  <si>
    <t>Enter the performance credit serial number end range on row 965 of the table.</t>
  </si>
  <si>
    <t>Enter the performance credit serial number end range on row 966 of the table.</t>
  </si>
  <si>
    <t>Enter the performance credit serial number end range on row 967 of the table.</t>
  </si>
  <si>
    <t>Enter the performance credit serial number end range on row 968 of the table.</t>
  </si>
  <si>
    <t>Enter the performance credit serial number end range on row 969 of the table.</t>
  </si>
  <si>
    <t>Enter the performance credit serial number end range on row 970 of the table.</t>
  </si>
  <si>
    <t>Enter the performance credit serial number end range on row 971 of the table.</t>
  </si>
  <si>
    <t>Enter the performance credit serial number end range on row 972 of the table.</t>
  </si>
  <si>
    <t>Enter the performance credit serial number end range on row 973 of the table.</t>
  </si>
  <si>
    <t>Enter the performance credit serial number end range on row 974 of the table.</t>
  </si>
  <si>
    <t>Enter the performance credit serial number end range on row 975 of the table.</t>
  </si>
  <si>
    <t>Enter the performance credit serial number end range on row 976 of the table.</t>
  </si>
  <si>
    <t>Enter the performance credit serial number end range on row 977 of the table.</t>
  </si>
  <si>
    <t>Enter the performance credit serial number end range on row 978 of the table.</t>
  </si>
  <si>
    <t>Enter the performance credit serial number end range on row 979 of the table.</t>
  </si>
  <si>
    <t>Enter the performance credit serial number end range on row 980 of the table.</t>
  </si>
  <si>
    <t>Enter the performance credit serial number end range on row 981 of the table.</t>
  </si>
  <si>
    <t>Enter the performance credit serial number end range on row 982 of the table.</t>
  </si>
  <si>
    <t>Enter the performance credit serial number end range on row 983 of the table.</t>
  </si>
  <si>
    <t>Enter the performance credit serial number end range on row 984 of the table.</t>
  </si>
  <si>
    <t>Enter the performance credit serial number end range on row 985 of the table.</t>
  </si>
  <si>
    <t>Enter the performance credit serial number end range on row 986 of the table.</t>
  </si>
  <si>
    <t>Enter the performance credit serial number end range on row 987 of the table.</t>
  </si>
  <si>
    <t>Enter the performance credit serial number end range on row 988 of the table.</t>
  </si>
  <si>
    <t>Enter the performance credit serial number end range on row 989 of the table.</t>
  </si>
  <si>
    <t>Enter the performance credit serial number end range on row 990 of the table.</t>
  </si>
  <si>
    <t>Enter the performance credit serial number end range on row 991 of the table.</t>
  </si>
  <si>
    <t>Enter the performance credit serial number end range on row 992 of the table.</t>
  </si>
  <si>
    <t>Enter the performance credit serial number end range on row 993 of the table.</t>
  </si>
  <si>
    <t>Enter the performance credit serial number end range on row 994 of the table.</t>
  </si>
  <si>
    <t>Enter the performance credit serial number end range on row 995 of the table.</t>
  </si>
  <si>
    <t>Enter the performance credit serial number end range on row 996 of the table.</t>
  </si>
  <si>
    <t>Enter the performance credit serial number end range on row 997 of the table.</t>
  </si>
  <si>
    <t>Enter the performance credit serial number end range on row 998 of the table.</t>
  </si>
  <si>
    <t>Enter the performance credit serial number end range on row 999 of the table.</t>
  </si>
  <si>
    <t>Enter the performance credit serial number end range on row 1000 of the table.</t>
  </si>
  <si>
    <t>Enter the number of CCUS credit serial number ranges that will be entered into the table.</t>
  </si>
  <si>
    <t>Enter the CCUS credit serial number start range on row 1 of the table.</t>
  </si>
  <si>
    <t>Enter the CCUS credit serial number start range on row 2 of the table.</t>
  </si>
  <si>
    <t>Enter the CCUS credit serial number start range on row 3 of the table.</t>
  </si>
  <si>
    <t>Enter the CCUS credit serial number start range on row 4 of the table.</t>
  </si>
  <si>
    <t>Enter the CCUS credit serial number start range on row 5 of the table.</t>
  </si>
  <si>
    <t>Enter the CCUS credit serial number start range on row 6 of the table.</t>
  </si>
  <si>
    <t>Enter the CCUS credit serial number start range on row 7 of the table.</t>
  </si>
  <si>
    <t>Enter the CCUS credit serial number start range on row 8 of the table.</t>
  </si>
  <si>
    <t>Enter the CCUS credit serial number start range on row 9 of the table.</t>
  </si>
  <si>
    <t>Enter the CCUS credit serial number start range on row 10 of the table.</t>
  </si>
  <si>
    <t>Enter the CCUS credit serial number start range on row 11 of the table.</t>
  </si>
  <si>
    <t>Enter the CCUS credit serial number start range on row 12 of the table.</t>
  </si>
  <si>
    <t>Enter the CCUS credit serial number start range on row 13 of the table.</t>
  </si>
  <si>
    <t>Enter the CCUS credit serial number start range on row 14 of the table.</t>
  </si>
  <si>
    <t>Enter the CCUS credit serial number start range on row 15 of the table.</t>
  </si>
  <si>
    <t>Enter the CCUS credit serial number start range on row 16 of the table.</t>
  </si>
  <si>
    <t>Enter the CCUS credit serial number start range on row 17 of the table.</t>
  </si>
  <si>
    <t>Enter the CCUS credit serial number start range on row 18 of the table.</t>
  </si>
  <si>
    <t>Enter the CCUS credit serial number start range on row 19 of the table.</t>
  </si>
  <si>
    <t>Enter the CCUS credit serial number start range on row 20 of the table.</t>
  </si>
  <si>
    <t>Enter the CCUS credit serial number start range on row 21 of the table.</t>
  </si>
  <si>
    <t>Enter the CCUS credit serial number start range on row 22 of the table.</t>
  </si>
  <si>
    <t>Enter the CCUS credit serial number start range on row 23 of the table.</t>
  </si>
  <si>
    <t>Enter the CCUS credit serial number start range on row 24 of the table.</t>
  </si>
  <si>
    <t>Enter the CCUS credit serial number start range on row 25 of the table.</t>
  </si>
  <si>
    <t>Enter the CCUS credit serial number start range on row 26 of the table.</t>
  </si>
  <si>
    <t>Enter the CCUS credit serial number start range on row 27 of the table.</t>
  </si>
  <si>
    <t>Enter the CCUS credit serial number start range on row 28 of the table.</t>
  </si>
  <si>
    <t>Enter the CCUS credit serial number start range on row 29 of the table.</t>
  </si>
  <si>
    <t>Enter the CCUS credit serial number start range on row 30 of the table.</t>
  </si>
  <si>
    <t>Enter the CCUS credit serial number start range on row 31 of the table.</t>
  </si>
  <si>
    <t>Enter the CCUS credit serial number start range on row 32 of the table.</t>
  </si>
  <si>
    <t>Enter the CCUS credit serial number start range on row 33 of the table.</t>
  </si>
  <si>
    <t>Enter the CCUS credit serial number start range on row 34 of the table.</t>
  </si>
  <si>
    <t>Enter the CCUS credit serial number start range on row 35 of the table.</t>
  </si>
  <si>
    <t>Enter the CCUS credit serial number start range on row 36 of the table.</t>
  </si>
  <si>
    <t>Enter the CCUS credit serial number start range on row 37 of the table.</t>
  </si>
  <si>
    <t>Enter the CCUS credit serial number start range on row 38 of the table.</t>
  </si>
  <si>
    <t>Enter the CCUS credit serial number start range on row 39 of the table.</t>
  </si>
  <si>
    <t>Enter the CCUS credit serial number start range on row 40 of the table.</t>
  </si>
  <si>
    <t>Enter the CCUS credit serial number start range on row 41 of the table.</t>
  </si>
  <si>
    <t>Enter the CCUS credit serial number start range on row 42 of the table.</t>
  </si>
  <si>
    <t>Enter the CCUS credit serial number start range on row 43 of the table.</t>
  </si>
  <si>
    <t>Enter the CCUS credit serial number start range on row 44 of the table.</t>
  </si>
  <si>
    <t>Enter the CCUS credit serial number start range on row 45 of the table.</t>
  </si>
  <si>
    <t>Enter the CCUS credit serial number start range on row 46 of the table.</t>
  </si>
  <si>
    <t>Enter the CCUS credit serial number start range on row 47 of the table.</t>
  </si>
  <si>
    <t>Enter the CCUS credit serial number start range on row 48 of the table.</t>
  </si>
  <si>
    <t>Enter the CCUS credit serial number start range on row 49 of the table.</t>
  </si>
  <si>
    <t>Enter the CCUS credit serial number start range on row 50 of the table.</t>
  </si>
  <si>
    <t>Enter the CCUS credit serial number start range on row 51 of the table.</t>
  </si>
  <si>
    <t>Enter the CCUS credit serial number start range on row 52 of the table.</t>
  </si>
  <si>
    <t>Enter the CCUS credit serial number start range on row 53 of the table.</t>
  </si>
  <si>
    <t>Enter the CCUS credit serial number start range on row 54 of the table.</t>
  </si>
  <si>
    <t>Enter the CCUS credit serial number start range on row 55 of the table.</t>
  </si>
  <si>
    <t>Enter the CCUS credit serial number start range on row 56 of the table.</t>
  </si>
  <si>
    <t>Enter the CCUS credit serial number start range on row 57 of the table.</t>
  </si>
  <si>
    <t>Enter the CCUS credit serial number start range on row 58 of the table.</t>
  </si>
  <si>
    <t>Enter the CCUS credit serial number start range on row 59 of the table.</t>
  </si>
  <si>
    <t>Enter the CCUS credit serial number start range on row 60 of the table.</t>
  </si>
  <si>
    <t>Enter the CCUS credit serial number start range on row 61 of the table.</t>
  </si>
  <si>
    <t>Enter the CCUS credit serial number start range on row 62 of the table.</t>
  </si>
  <si>
    <t>Enter the CCUS credit serial number start range on row 63 of the table.</t>
  </si>
  <si>
    <t>Enter the CCUS credit serial number start range on row 64 of the table.</t>
  </si>
  <si>
    <t>Enter the CCUS credit serial number start range on row 65 of the table.</t>
  </si>
  <si>
    <t>Enter the CCUS credit serial number start range on row 66 of the table.</t>
  </si>
  <si>
    <t>Enter the CCUS credit serial number start range on row 67 of the table.</t>
  </si>
  <si>
    <t>Enter the CCUS credit serial number start range on row 68 of the table.</t>
  </si>
  <si>
    <t>Enter the CCUS credit serial number start range on row 69 of the table.</t>
  </si>
  <si>
    <t>Enter the CCUS credit serial number start range on row 70 of the table.</t>
  </si>
  <si>
    <t>Enter the CCUS credit serial number start range on row 71 of the table.</t>
  </si>
  <si>
    <t>Enter the CCUS credit serial number start range on row 72 of the table.</t>
  </si>
  <si>
    <t>Enter the CCUS credit serial number start range on row 73 of the table.</t>
  </si>
  <si>
    <t>Enter the CCUS credit serial number start range on row 74 of the table.</t>
  </si>
  <si>
    <t>Enter the CCUS credit serial number start range on row 75 of the table.</t>
  </si>
  <si>
    <t>Enter the CCUS credit serial number start range on row 76 of the table.</t>
  </si>
  <si>
    <t>Enter the CCUS credit serial number start range on row 77 of the table.</t>
  </si>
  <si>
    <t>Enter the CCUS credit serial number start range on row 78 of the table.</t>
  </si>
  <si>
    <t>Enter the CCUS credit serial number start range on row 79 of the table.</t>
  </si>
  <si>
    <t>Enter the CCUS credit serial number start range on row 80 of the table.</t>
  </si>
  <si>
    <t>Enter the CCUS credit serial number start range on row 81 of the table.</t>
  </si>
  <si>
    <t>Enter the CCUS credit serial number start range on row 82 of the table.</t>
  </si>
  <si>
    <t>Enter the CCUS credit serial number start range on row 83 of the table.</t>
  </si>
  <si>
    <t>Enter the CCUS credit serial number start range on row 84 of the table.</t>
  </si>
  <si>
    <t>Enter the CCUS credit serial number start range on row 85 of the table.</t>
  </si>
  <si>
    <t>Enter the CCUS credit serial number start range on row 86 of the table.</t>
  </si>
  <si>
    <t>Enter the CCUS credit serial number start range on row 87 of the table.</t>
  </si>
  <si>
    <t>Enter the CCUS credit serial number start range on row 88 of the table.</t>
  </si>
  <si>
    <t>Enter the CCUS credit serial number start range on row 89 of the table.</t>
  </si>
  <si>
    <t>Enter the CCUS credit serial number start range on row 90 of the table.</t>
  </si>
  <si>
    <t>Enter the CCUS credit serial number start range on row 91 of the table.</t>
  </si>
  <si>
    <t>Enter the CCUS credit serial number start range on row 92 of the table.</t>
  </si>
  <si>
    <t>Enter the CCUS credit serial number start range on row 93 of the table.</t>
  </si>
  <si>
    <t>Enter the CCUS credit serial number start range on row 94 of the table.</t>
  </si>
  <si>
    <t>Enter the CCUS credit serial number start range on row 95 of the table.</t>
  </si>
  <si>
    <t>Enter the CCUS credit serial number start range on row 96 of the table.</t>
  </si>
  <si>
    <t>Enter the CCUS credit serial number start range on row 97 of the table.</t>
  </si>
  <si>
    <t>Enter the CCUS credit serial number start range on row 98 of the table.</t>
  </si>
  <si>
    <t>Enter the CCUS credit serial number start range on row 99 of the table.</t>
  </si>
  <si>
    <t>Enter the CCUS credit serial number start range on row 100 of the table.</t>
  </si>
  <si>
    <t>Enter the CCUS credit serial number start range on row 101 of the table.</t>
  </si>
  <si>
    <t>Enter the CCUS credit serial number start range on row 102 of the table.</t>
  </si>
  <si>
    <t>Enter the CCUS credit serial number start range on row 103 of the table.</t>
  </si>
  <si>
    <t>Enter the CCUS credit serial number start range on row 104 of the table.</t>
  </si>
  <si>
    <t>Enter the CCUS credit serial number start range on row 105 of the table.</t>
  </si>
  <si>
    <t>Enter the CCUS credit serial number start range on row 106 of the table.</t>
  </si>
  <si>
    <t>Enter the CCUS credit serial number start range on row 107 of the table.</t>
  </si>
  <si>
    <t>Enter the CCUS credit serial number start range on row 108 of the table.</t>
  </si>
  <si>
    <t>Enter the CCUS credit serial number start range on row 109 of the table.</t>
  </si>
  <si>
    <t>Enter the CCUS credit serial number start range on row 110 of the table.</t>
  </si>
  <si>
    <t>Enter the CCUS credit serial number start range on row 111 of the table.</t>
  </si>
  <si>
    <t>Enter the CCUS credit serial number start range on row 112 of the table.</t>
  </si>
  <si>
    <t>Enter the CCUS credit serial number start range on row 113 of the table.</t>
  </si>
  <si>
    <t>Enter the CCUS credit serial number start range on row 114 of the table.</t>
  </si>
  <si>
    <t>Enter the CCUS credit serial number start range on row 115 of the table.</t>
  </si>
  <si>
    <t>Enter the CCUS credit serial number start range on row 116 of the table.</t>
  </si>
  <si>
    <t>Enter the CCUS credit serial number start range on row 117 of the table.</t>
  </si>
  <si>
    <t>Enter the CCUS credit serial number start range on row 118 of the table.</t>
  </si>
  <si>
    <t>Enter the CCUS credit serial number start range on row 119 of the table.</t>
  </si>
  <si>
    <t>Enter the CCUS credit serial number start range on row 120 of the table.</t>
  </si>
  <si>
    <t>Enter the CCUS credit serial number start range on row 121 of the table.</t>
  </si>
  <si>
    <t>Enter the CCUS credit serial number start range on row 122 of the table.</t>
  </si>
  <si>
    <t>Enter the CCUS credit serial number start range on row 123 of the table.</t>
  </si>
  <si>
    <t>Enter the CCUS credit serial number start range on row 124 of the table.</t>
  </si>
  <si>
    <t>Enter the CCUS credit serial number start range on row 125 of the table.</t>
  </si>
  <si>
    <t>Enter the CCUS credit serial number start range on row 126 of the table.</t>
  </si>
  <si>
    <t>Enter the CCUS credit serial number start range on row 127 of the table.</t>
  </si>
  <si>
    <t>Enter the CCUS credit serial number start range on row 128 of the table.</t>
  </si>
  <si>
    <t>Enter the CCUS credit serial number start range on row 129 of the table.</t>
  </si>
  <si>
    <t>Enter the CCUS credit serial number start range on row 130 of the table.</t>
  </si>
  <si>
    <t>Enter the CCUS credit serial number start range on row 131 of the table.</t>
  </si>
  <si>
    <t>Enter the CCUS credit serial number start range on row 132 of the table.</t>
  </si>
  <si>
    <t>Enter the CCUS credit serial number start range on row 133 of the table.</t>
  </si>
  <si>
    <t>Enter the CCUS credit serial number start range on row 134 of the table.</t>
  </si>
  <si>
    <t>Enter the CCUS credit serial number start range on row 135 of the table.</t>
  </si>
  <si>
    <t>Enter the CCUS credit serial number start range on row 136 of the table.</t>
  </si>
  <si>
    <t>Enter the CCUS credit serial number start range on row 137 of the table.</t>
  </si>
  <si>
    <t>Enter the CCUS credit serial number start range on row 138 of the table.</t>
  </si>
  <si>
    <t>Enter the CCUS credit serial number start range on row 139 of the table.</t>
  </si>
  <si>
    <t>Enter the CCUS credit serial number start range on row 140 of the table.</t>
  </si>
  <si>
    <t>Enter the CCUS credit serial number start range on row 141 of the table.</t>
  </si>
  <si>
    <t>Enter the CCUS credit serial number start range on row 142 of the table.</t>
  </si>
  <si>
    <t>Enter the CCUS credit serial number start range on row 143 of the table.</t>
  </si>
  <si>
    <t>Enter the CCUS credit serial number start range on row 144 of the table.</t>
  </si>
  <si>
    <t>Enter the CCUS credit serial number start range on row 145 of the table.</t>
  </si>
  <si>
    <t>Enter the CCUS credit serial number start range on row 146 of the table.</t>
  </si>
  <si>
    <t>Enter the CCUS credit serial number start range on row 147 of the table.</t>
  </si>
  <si>
    <t>Enter the CCUS credit serial number start range on row 148 of the table.</t>
  </si>
  <si>
    <t>Enter the CCUS credit serial number start range on row 149 of the table.</t>
  </si>
  <si>
    <t>Enter the CCUS credit serial number start range on row 150 of the table.</t>
  </si>
  <si>
    <t>Enter the CCUS credit serial number start range on row 151 of the table.</t>
  </si>
  <si>
    <t>Enter the CCUS credit serial number start range on row 152 of the table.</t>
  </si>
  <si>
    <t>Enter the CCUS credit serial number start range on row 153 of the table.</t>
  </si>
  <si>
    <t>Enter the CCUS credit serial number start range on row 154 of the table.</t>
  </si>
  <si>
    <t>Enter the CCUS credit serial number start range on row 155 of the table.</t>
  </si>
  <si>
    <t>Enter the CCUS credit serial number start range on row 156 of the table.</t>
  </si>
  <si>
    <t>Enter the CCUS credit serial number start range on row 157 of the table.</t>
  </si>
  <si>
    <t>Enter the CCUS credit serial number start range on row 158 of the table.</t>
  </si>
  <si>
    <t>Enter the CCUS credit serial number start range on row 159 of the table.</t>
  </si>
  <si>
    <t>Enter the CCUS credit serial number start range on row 160 of the table.</t>
  </si>
  <si>
    <t>Enter the CCUS credit serial number start range on row 161 of the table.</t>
  </si>
  <si>
    <t>Enter the CCUS credit serial number start range on row 162 of the table.</t>
  </si>
  <si>
    <t>Enter the CCUS credit serial number start range on row 163 of the table.</t>
  </si>
  <si>
    <t>Enter the CCUS credit serial number start range on row 164 of the table.</t>
  </si>
  <si>
    <t>Enter the CCUS credit serial number start range on row 165 of the table.</t>
  </si>
  <si>
    <t>Enter the CCUS credit serial number start range on row 166 of the table.</t>
  </si>
  <si>
    <t>Enter the CCUS credit serial number start range on row 167 of the table.</t>
  </si>
  <si>
    <t>Enter the CCUS credit serial number start range on row 168 of the table.</t>
  </si>
  <si>
    <t>Enter the CCUS credit serial number start range on row 169 of the table.</t>
  </si>
  <si>
    <t>Enter the CCUS credit serial number start range on row 170 of the table.</t>
  </si>
  <si>
    <t>Enter the CCUS credit serial number start range on row 171 of the table.</t>
  </si>
  <si>
    <t>Enter the CCUS credit serial number start range on row 172 of the table.</t>
  </si>
  <si>
    <t>Enter the CCUS credit serial number start range on row 173 of the table.</t>
  </si>
  <si>
    <t>Enter the CCUS credit serial number start range on row 174 of the table.</t>
  </si>
  <si>
    <t>Enter the CCUS credit serial number start range on row 175 of the table.</t>
  </si>
  <si>
    <t>Enter the CCUS credit serial number start range on row 176 of the table.</t>
  </si>
  <si>
    <t>Enter the CCUS credit serial number start range on row 177 of the table.</t>
  </si>
  <si>
    <t>Enter the CCUS credit serial number start range on row 178 of the table.</t>
  </si>
  <si>
    <t>Enter the CCUS credit serial number start range on row 179 of the table.</t>
  </si>
  <si>
    <t>Enter the CCUS credit serial number start range on row 180 of the table.</t>
  </si>
  <si>
    <t>Enter the CCUS credit serial number start range on row 181 of the table.</t>
  </si>
  <si>
    <t>Enter the CCUS credit serial number start range on row 182 of the table.</t>
  </si>
  <si>
    <t>Enter the CCUS credit serial number start range on row 183 of the table.</t>
  </si>
  <si>
    <t>Enter the CCUS credit serial number start range on row 184 of the table.</t>
  </si>
  <si>
    <t>Enter the CCUS credit serial number start range on row 185 of the table.</t>
  </si>
  <si>
    <t>Enter the CCUS credit serial number start range on row 186 of the table.</t>
  </si>
  <si>
    <t>Enter the CCUS credit serial number start range on row 187 of the table.</t>
  </si>
  <si>
    <t>Enter the CCUS credit serial number start range on row 188 of the table.</t>
  </si>
  <si>
    <t>Enter the CCUS credit serial number start range on row 189 of the table.</t>
  </si>
  <si>
    <t>Enter the CCUS credit serial number start range on row 190 of the table.</t>
  </si>
  <si>
    <t>Enter the CCUS credit serial number start range on row 191 of the table.</t>
  </si>
  <si>
    <t>Enter the CCUS credit serial number start range on row 192 of the table.</t>
  </si>
  <si>
    <t>Enter the CCUS credit serial number start range on row 193 of the table.</t>
  </si>
  <si>
    <t>Enter the CCUS credit serial number start range on row 194 of the table.</t>
  </si>
  <si>
    <t>Enter the CCUS credit serial number start range on row 195 of the table.</t>
  </si>
  <si>
    <t>Enter the CCUS credit serial number start range on row 196 of the table.</t>
  </si>
  <si>
    <t>Enter the CCUS credit serial number start range on row 197 of the table.</t>
  </si>
  <si>
    <t>Enter the CCUS credit serial number start range on row 198 of the table.</t>
  </si>
  <si>
    <t>Enter the CCUS credit serial number start range on row 199 of the table.</t>
  </si>
  <si>
    <t>Enter the CCUS credit serial number start range on row 200 of the table.</t>
  </si>
  <si>
    <t>Enter the CCUS credit serial number start range on row 201 of the table.</t>
  </si>
  <si>
    <t>Enter the CCUS credit serial number start range on row 202 of the table.</t>
  </si>
  <si>
    <t>Enter the CCUS credit serial number start range on row 203 of the table.</t>
  </si>
  <si>
    <t>Enter the CCUS credit serial number start range on row 204 of the table.</t>
  </si>
  <si>
    <t>Enter the CCUS credit serial number start range on row 205 of the table.</t>
  </si>
  <si>
    <t>Enter the CCUS credit serial number start range on row 206 of the table.</t>
  </si>
  <si>
    <t>Enter the CCUS credit serial number start range on row 207 of the table.</t>
  </si>
  <si>
    <t>Enter the CCUS credit serial number start range on row 208 of the table.</t>
  </si>
  <si>
    <t>Enter the CCUS credit serial number start range on row 209 of the table.</t>
  </si>
  <si>
    <t>Enter the CCUS credit serial number start range on row 210 of the table.</t>
  </si>
  <si>
    <t>Enter the CCUS credit serial number start range on row 211 of the table.</t>
  </si>
  <si>
    <t>Enter the CCUS credit serial number start range on row 212 of the table.</t>
  </si>
  <si>
    <t>Enter the CCUS credit serial number start range on row 213 of the table.</t>
  </si>
  <si>
    <t>Enter the CCUS credit serial number start range on row 214 of the table.</t>
  </si>
  <si>
    <t>Enter the CCUS credit serial number start range on row 215 of the table.</t>
  </si>
  <si>
    <t>Enter the CCUS credit serial number start range on row 216 of the table.</t>
  </si>
  <si>
    <t>Enter the CCUS credit serial number start range on row 217 of the table.</t>
  </si>
  <si>
    <t>Enter the CCUS credit serial number start range on row 218 of the table.</t>
  </si>
  <si>
    <t>Enter the CCUS credit serial number start range on row 219 of the table.</t>
  </si>
  <si>
    <t>Enter the CCUS credit serial number start range on row 220 of the table.</t>
  </si>
  <si>
    <t>Enter the CCUS credit serial number start range on row 221 of the table.</t>
  </si>
  <si>
    <t>Enter the CCUS credit serial number start range on row 222 of the table.</t>
  </si>
  <si>
    <t>Enter the CCUS credit serial number start range on row 223 of the table.</t>
  </si>
  <si>
    <t>Enter the CCUS credit serial number start range on row 224 of the table.</t>
  </si>
  <si>
    <t>Enter the CCUS credit serial number start range on row 225 of the table.</t>
  </si>
  <si>
    <t>Enter the CCUS credit serial number start range on row 226 of the table.</t>
  </si>
  <si>
    <t>Enter the CCUS credit serial number start range on row 227 of the table.</t>
  </si>
  <si>
    <t>Enter the CCUS credit serial number start range on row 228 of the table.</t>
  </si>
  <si>
    <t>Enter the CCUS credit serial number start range on row 229 of the table.</t>
  </si>
  <si>
    <t>Enter the CCUS credit serial number start range on row 230 of the table.</t>
  </si>
  <si>
    <t>Enter the CCUS credit serial number start range on row 231 of the table.</t>
  </si>
  <si>
    <t>Enter the CCUS credit serial number start range on row 232 of the table.</t>
  </si>
  <si>
    <t>Enter the CCUS credit serial number start range on row 233 of the table.</t>
  </si>
  <si>
    <t>Enter the CCUS credit serial number start range on row 234 of the table.</t>
  </si>
  <si>
    <t>Enter the CCUS credit serial number start range on row 235 of the table.</t>
  </si>
  <si>
    <t>Enter the CCUS credit serial number start range on row 236 of the table.</t>
  </si>
  <si>
    <t>Enter the CCUS credit serial number start range on row 237 of the table.</t>
  </si>
  <si>
    <t>Enter the CCUS credit serial number start range on row 238 of the table.</t>
  </si>
  <si>
    <t>Enter the CCUS credit serial number start range on row 239 of the table.</t>
  </si>
  <si>
    <t>Enter the CCUS credit serial number start range on row 240 of the table.</t>
  </si>
  <si>
    <t>Enter the CCUS credit serial number start range on row 241 of the table.</t>
  </si>
  <si>
    <t>Enter the CCUS credit serial number start range on row 242 of the table.</t>
  </si>
  <si>
    <t>Enter the CCUS credit serial number start range on row 243 of the table.</t>
  </si>
  <si>
    <t>Enter the CCUS credit serial number start range on row 244 of the table.</t>
  </si>
  <si>
    <t>Enter the CCUS credit serial number start range on row 245 of the table.</t>
  </si>
  <si>
    <t>Enter the CCUS credit serial number start range on row 246 of the table.</t>
  </si>
  <si>
    <t>Enter the CCUS credit serial number start range on row 247 of the table.</t>
  </si>
  <si>
    <t>Enter the CCUS credit serial number start range on row 248 of the table.</t>
  </si>
  <si>
    <t>Enter the CCUS credit serial number start range on row 249 of the table.</t>
  </si>
  <si>
    <t>Enter the CCUS credit serial number start range on row 250 of the table.</t>
  </si>
  <si>
    <t>Enter the CCUS credit serial number start range on row 251 of the table.</t>
  </si>
  <si>
    <t>Enter the CCUS credit serial number start range on row 252 of the table.</t>
  </si>
  <si>
    <t>Enter the CCUS credit serial number start range on row 253 of the table.</t>
  </si>
  <si>
    <t>Enter the CCUS credit serial number start range on row 254 of the table.</t>
  </si>
  <si>
    <t>Enter the CCUS credit serial number start range on row 255 of the table.</t>
  </si>
  <si>
    <t>Enter the CCUS credit serial number start range on row 256 of the table.</t>
  </si>
  <si>
    <t>Enter the CCUS credit serial number start range on row 257 of the table.</t>
  </si>
  <si>
    <t>Enter the CCUS credit serial number start range on row 258 of the table.</t>
  </si>
  <si>
    <t>Enter the CCUS credit serial number start range on row 259 of the table.</t>
  </si>
  <si>
    <t>Enter the CCUS credit serial number start range on row 260 of the table.</t>
  </si>
  <si>
    <t>Enter the CCUS credit serial number start range on row 261 of the table.</t>
  </si>
  <si>
    <t>Enter the CCUS credit serial number start range on row 262 of the table.</t>
  </si>
  <si>
    <t>Enter the CCUS credit serial number start range on row 263 of the table.</t>
  </si>
  <si>
    <t>Enter the CCUS credit serial number start range on row 264 of the table.</t>
  </si>
  <si>
    <t>Enter the CCUS credit serial number start range on row 265 of the table.</t>
  </si>
  <si>
    <t>Enter the CCUS credit serial number start range on row 266 of the table.</t>
  </si>
  <si>
    <t>Enter the CCUS credit serial number start range on row 267 of the table.</t>
  </si>
  <si>
    <t>Enter the CCUS credit serial number start range on row 268 of the table.</t>
  </si>
  <si>
    <t>Enter the CCUS credit serial number start range on row 269 of the table.</t>
  </si>
  <si>
    <t>Enter the CCUS credit serial number start range on row 270 of the table.</t>
  </si>
  <si>
    <t>Enter the CCUS credit serial number start range on row 271 of the table.</t>
  </si>
  <si>
    <t>Enter the CCUS credit serial number start range on row 272 of the table.</t>
  </si>
  <si>
    <t>Enter the CCUS credit serial number start range on row 273 of the table.</t>
  </si>
  <si>
    <t>Enter the CCUS credit serial number start range on row 274 of the table.</t>
  </si>
  <si>
    <t>Enter the CCUS credit serial number start range on row 275 of the table.</t>
  </si>
  <si>
    <t>Enter the CCUS credit serial number start range on row 276 of the table.</t>
  </si>
  <si>
    <t>Enter the CCUS credit serial number start range on row 277 of the table.</t>
  </si>
  <si>
    <t>Enter the CCUS credit serial number start range on row 278 of the table.</t>
  </si>
  <si>
    <t>Enter the CCUS credit serial number start range on row 279 of the table.</t>
  </si>
  <si>
    <t>Enter the CCUS credit serial number start range on row 280 of the table.</t>
  </si>
  <si>
    <t>Enter the CCUS credit serial number start range on row 281 of the table.</t>
  </si>
  <si>
    <t>Enter the CCUS credit serial number start range on row 282 of the table.</t>
  </si>
  <si>
    <t>Enter the CCUS credit serial number start range on row 283 of the table.</t>
  </si>
  <si>
    <t>Enter the CCUS credit serial number start range on row 284 of the table.</t>
  </si>
  <si>
    <t>Enter the CCUS credit serial number start range on row 285 of the table.</t>
  </si>
  <si>
    <t>Enter the CCUS credit serial number start range on row 286 of the table.</t>
  </si>
  <si>
    <t>Enter the CCUS credit serial number start range on row 287 of the table.</t>
  </si>
  <si>
    <t>Enter the CCUS credit serial number start range on row 288 of the table.</t>
  </si>
  <si>
    <t>Enter the CCUS credit serial number start range on row 289 of the table.</t>
  </si>
  <si>
    <t>Enter the CCUS credit serial number start range on row 290 of the table.</t>
  </si>
  <si>
    <t>Enter the CCUS credit serial number start range on row 291 of the table.</t>
  </si>
  <si>
    <t>Enter the CCUS credit serial number start range on row 292 of the table.</t>
  </si>
  <si>
    <t>Enter the CCUS credit serial number start range on row 293 of the table.</t>
  </si>
  <si>
    <t>Enter the CCUS credit serial number start range on row 294 of the table.</t>
  </si>
  <si>
    <t>Enter the CCUS credit serial number start range on row 295 of the table.</t>
  </si>
  <si>
    <t>Enter the CCUS credit serial number start range on row 296 of the table.</t>
  </si>
  <si>
    <t>Enter the CCUS credit serial number start range on row 297 of the table.</t>
  </si>
  <si>
    <t>Enter the CCUS credit serial number start range on row 298 of the table.</t>
  </si>
  <si>
    <t>Enter the CCUS credit serial number start range on row 299 of the table.</t>
  </si>
  <si>
    <t>Enter the CCUS credit serial number start range on row 300 of the table.</t>
  </si>
  <si>
    <t>Enter the CCUS credit serial number start range on row 301 of the table.</t>
  </si>
  <si>
    <t>Enter the CCUS credit serial number start range on row 302 of the table.</t>
  </si>
  <si>
    <t>Enter the CCUS credit serial number start range on row 303 of the table.</t>
  </si>
  <si>
    <t>Enter the CCUS credit serial number start range on row 304 of the table.</t>
  </si>
  <si>
    <t>Enter the CCUS credit serial number start range on row 305 of the table.</t>
  </si>
  <si>
    <t>Enter the CCUS credit serial number start range on row 306 of the table.</t>
  </si>
  <si>
    <t>Enter the CCUS credit serial number start range on row 307 of the table.</t>
  </si>
  <si>
    <t>Enter the CCUS credit serial number start range on row 308 of the table.</t>
  </si>
  <si>
    <t>Enter the CCUS credit serial number start range on row 309 of the table.</t>
  </si>
  <si>
    <t>Enter the CCUS credit serial number start range on row 310 of the table.</t>
  </si>
  <si>
    <t>Enter the CCUS credit serial number start range on row 311 of the table.</t>
  </si>
  <si>
    <t>Enter the CCUS credit serial number start range on row 312 of the table.</t>
  </si>
  <si>
    <t>Enter the CCUS credit serial number start range on row 313 of the table.</t>
  </si>
  <si>
    <t>Enter the CCUS credit serial number start range on row 314 of the table.</t>
  </si>
  <si>
    <t>Enter the CCUS credit serial number start range on row 315 of the table.</t>
  </si>
  <si>
    <t>Enter the CCUS credit serial number start range on row 316 of the table.</t>
  </si>
  <si>
    <t>Enter the CCUS credit serial number start range on row 317 of the table.</t>
  </si>
  <si>
    <t>Enter the CCUS credit serial number start range on row 318 of the table.</t>
  </si>
  <si>
    <t>Enter the CCUS credit serial number start range on row 319 of the table.</t>
  </si>
  <si>
    <t>Enter the CCUS credit serial number start range on row 320 of the table.</t>
  </si>
  <si>
    <t>Enter the CCUS credit serial number start range on row 321 of the table.</t>
  </si>
  <si>
    <t>Enter the CCUS credit serial number start range on row 322 of the table.</t>
  </si>
  <si>
    <t>Enter the CCUS credit serial number start range on row 323 of the table.</t>
  </si>
  <si>
    <t>Enter the CCUS credit serial number start range on row 324 of the table.</t>
  </si>
  <si>
    <t>Enter the CCUS credit serial number start range on row 325 of the table.</t>
  </si>
  <si>
    <t>Enter the CCUS credit serial number start range on row 326 of the table.</t>
  </si>
  <si>
    <t>Enter the CCUS credit serial number start range on row 327 of the table.</t>
  </si>
  <si>
    <t>Enter the CCUS credit serial number start range on row 328 of the table.</t>
  </si>
  <si>
    <t>Enter the CCUS credit serial number start range on row 329 of the table.</t>
  </si>
  <si>
    <t>Enter the CCUS credit serial number start range on row 330 of the table.</t>
  </si>
  <si>
    <t>Enter the CCUS credit serial number start range on row 331 of the table.</t>
  </si>
  <si>
    <t>Enter the CCUS credit serial number start range on row 332 of the table.</t>
  </si>
  <si>
    <t>Enter the CCUS credit serial number start range on row 333 of the table.</t>
  </si>
  <si>
    <t>Enter the CCUS credit serial number start range on row 334 of the table.</t>
  </si>
  <si>
    <t>Enter the CCUS credit serial number start range on row 335 of the table.</t>
  </si>
  <si>
    <t>Enter the CCUS credit serial number start range on row 336 of the table.</t>
  </si>
  <si>
    <t>Enter the CCUS credit serial number start range on row 337 of the table.</t>
  </si>
  <si>
    <t>Enter the CCUS credit serial number start range on row 338 of the table.</t>
  </si>
  <si>
    <t>Enter the CCUS credit serial number start range on row 339 of the table.</t>
  </si>
  <si>
    <t>Enter the CCUS credit serial number start range on row 340 of the table.</t>
  </si>
  <si>
    <t>Enter the CCUS credit serial number start range on row 341 of the table.</t>
  </si>
  <si>
    <t>Enter the CCUS credit serial number start range on row 342 of the table.</t>
  </si>
  <si>
    <t>Enter the CCUS credit serial number start range on row 343 of the table.</t>
  </si>
  <si>
    <t>Enter the CCUS credit serial number start range on row 344 of the table.</t>
  </si>
  <si>
    <t>Enter the CCUS credit serial number start range on row 345 of the table.</t>
  </si>
  <si>
    <t>Enter the CCUS credit serial number start range on row 346 of the table.</t>
  </si>
  <si>
    <t>Enter the CCUS credit serial number start range on row 347 of the table.</t>
  </si>
  <si>
    <t>Enter the CCUS credit serial number start range on row 348 of the table.</t>
  </si>
  <si>
    <t>Enter the CCUS credit serial number start range on row 349 of the table.</t>
  </si>
  <si>
    <t>Enter the CCUS credit serial number start range on row 350 of the table.</t>
  </si>
  <si>
    <t>Enter the CCUS credit serial number start range on row 351 of the table.</t>
  </si>
  <si>
    <t>Enter the CCUS credit serial number start range on row 352 of the table.</t>
  </si>
  <si>
    <t>Enter the CCUS credit serial number start range on row 353 of the table.</t>
  </si>
  <si>
    <t>Enter the CCUS credit serial number start range on row 354 of the table.</t>
  </si>
  <si>
    <t>Enter the CCUS credit serial number start range on row 355 of the table.</t>
  </si>
  <si>
    <t>Enter the CCUS credit serial number start range on row 356 of the table.</t>
  </si>
  <si>
    <t>Enter the CCUS credit serial number start range on row 357 of the table.</t>
  </si>
  <si>
    <t>Enter the CCUS credit serial number start range on row 358 of the table.</t>
  </si>
  <si>
    <t>Enter the CCUS credit serial number start range on row 359 of the table.</t>
  </si>
  <si>
    <t>Enter the CCUS credit serial number start range on row 360 of the table.</t>
  </si>
  <si>
    <t>Enter the CCUS credit serial number start range on row 361 of the table.</t>
  </si>
  <si>
    <t>Enter the CCUS credit serial number start range on row 362 of the table.</t>
  </si>
  <si>
    <t>Enter the CCUS credit serial number start range on row 363 of the table.</t>
  </si>
  <si>
    <t>Enter the CCUS credit serial number start range on row 364 of the table.</t>
  </si>
  <si>
    <t>Enter the CCUS credit serial number start range on row 365 of the table.</t>
  </si>
  <si>
    <t>Enter the CCUS credit serial number start range on row 366 of the table.</t>
  </si>
  <si>
    <t>Enter the CCUS credit serial number start range on row 367 of the table.</t>
  </si>
  <si>
    <t>Enter the CCUS credit serial number start range on row 368 of the table.</t>
  </si>
  <si>
    <t>Enter the CCUS credit serial number start range on row 369 of the table.</t>
  </si>
  <si>
    <t>Enter the CCUS credit serial number start range on row 370 of the table.</t>
  </si>
  <si>
    <t>Enter the CCUS credit serial number start range on row 371 of the table.</t>
  </si>
  <si>
    <t>Enter the CCUS credit serial number start range on row 372 of the table.</t>
  </si>
  <si>
    <t>Enter the CCUS credit serial number start range on row 373 of the table.</t>
  </si>
  <si>
    <t>Enter the CCUS credit serial number start range on row 374 of the table.</t>
  </si>
  <si>
    <t>Enter the CCUS credit serial number start range on row 375 of the table.</t>
  </si>
  <si>
    <t>Enter the CCUS credit serial number start range on row 376 of the table.</t>
  </si>
  <si>
    <t>Enter the CCUS credit serial number start range on row 377 of the table.</t>
  </si>
  <si>
    <t>Enter the CCUS credit serial number start range on row 378 of the table.</t>
  </si>
  <si>
    <t>Enter the CCUS credit serial number start range on row 379 of the table.</t>
  </si>
  <si>
    <t>Enter the CCUS credit serial number start range on row 380 of the table.</t>
  </si>
  <si>
    <t>Enter the CCUS credit serial number start range on row 381 of the table.</t>
  </si>
  <si>
    <t>Enter the CCUS credit serial number start range on row 382 of the table.</t>
  </si>
  <si>
    <t>Enter the CCUS credit serial number start range on row 383 of the table.</t>
  </si>
  <si>
    <t>Enter the CCUS credit serial number start range on row 384 of the table.</t>
  </si>
  <si>
    <t>Enter the CCUS credit serial number start range on row 385 of the table.</t>
  </si>
  <si>
    <t>Enter the CCUS credit serial number start range on row 386 of the table.</t>
  </si>
  <si>
    <t>Enter the CCUS credit serial number start range on row 387 of the table.</t>
  </si>
  <si>
    <t>Enter the CCUS credit serial number start range on row 388 of the table.</t>
  </si>
  <si>
    <t>Enter the CCUS credit serial number start range on row 389 of the table.</t>
  </si>
  <si>
    <t>Enter the CCUS credit serial number start range on row 390 of the table.</t>
  </si>
  <si>
    <t>Enter the CCUS credit serial number start range on row 391 of the table.</t>
  </si>
  <si>
    <t>Enter the CCUS credit serial number start range on row 392 of the table.</t>
  </si>
  <si>
    <t>Enter the CCUS credit serial number start range on row 393 of the table.</t>
  </si>
  <si>
    <t>Enter the CCUS credit serial number start range on row 394 of the table.</t>
  </si>
  <si>
    <t>Enter the CCUS credit serial number start range on row 395 of the table.</t>
  </si>
  <si>
    <t>Enter the CCUS credit serial number start range on row 396 of the table.</t>
  </si>
  <si>
    <t>Enter the CCUS credit serial number start range on row 397 of the table.</t>
  </si>
  <si>
    <t>Enter the CCUS credit serial number start range on row 398 of the table.</t>
  </si>
  <si>
    <t>Enter the CCUS credit serial number start range on row 399 of the table.</t>
  </si>
  <si>
    <t>Enter the CCUS credit serial number start range on row 400 of the table.</t>
  </si>
  <si>
    <t>Enter the CCUS credit serial number start range on row 401 of the table.</t>
  </si>
  <si>
    <t>Enter the CCUS credit serial number start range on row 402 of the table.</t>
  </si>
  <si>
    <t>Enter the CCUS credit serial number start range on row 403 of the table.</t>
  </si>
  <si>
    <t>Enter the CCUS credit serial number start range on row 404 of the table.</t>
  </si>
  <si>
    <t>Enter the CCUS credit serial number start range on row 405 of the table.</t>
  </si>
  <si>
    <t>Enter the CCUS credit serial number start range on row 406 of the table.</t>
  </si>
  <si>
    <t>Enter the CCUS credit serial number start range on row 407 of the table.</t>
  </si>
  <si>
    <t>Enter the CCUS credit serial number start range on row 408 of the table.</t>
  </si>
  <si>
    <t>Enter the CCUS credit serial number start range on row 409 of the table.</t>
  </si>
  <si>
    <t>Enter the CCUS credit serial number start range on row 410 of the table.</t>
  </si>
  <si>
    <t>Enter the CCUS credit serial number start range on row 411 of the table.</t>
  </si>
  <si>
    <t>Enter the CCUS credit serial number start range on row 412 of the table.</t>
  </si>
  <si>
    <t>Enter the CCUS credit serial number start range on row 413 of the table.</t>
  </si>
  <si>
    <t>Enter the CCUS credit serial number start range on row 414 of the table.</t>
  </si>
  <si>
    <t>Enter the CCUS credit serial number start range on row 415 of the table.</t>
  </si>
  <si>
    <t>Enter the CCUS credit serial number start range on row 416 of the table.</t>
  </si>
  <si>
    <t>Enter the CCUS credit serial number start range on row 417 of the table.</t>
  </si>
  <si>
    <t>Enter the CCUS credit serial number start range on row 418 of the table.</t>
  </si>
  <si>
    <t>Enter the CCUS credit serial number start range on row 419 of the table.</t>
  </si>
  <si>
    <t>Enter the CCUS credit serial number start range on row 420 of the table.</t>
  </si>
  <si>
    <t>Enter the CCUS credit serial number start range on row 421 of the table.</t>
  </si>
  <si>
    <t>Enter the CCUS credit serial number start range on row 422 of the table.</t>
  </si>
  <si>
    <t>Enter the CCUS credit serial number start range on row 423 of the table.</t>
  </si>
  <si>
    <t>Enter the CCUS credit serial number start range on row 424 of the table.</t>
  </si>
  <si>
    <t>Enter the CCUS credit serial number start range on row 425 of the table.</t>
  </si>
  <si>
    <t>Enter the CCUS credit serial number start range on row 426 of the table.</t>
  </si>
  <si>
    <t>Enter the CCUS credit serial number start range on row 427 of the table.</t>
  </si>
  <si>
    <t>Enter the CCUS credit serial number start range on row 428 of the table.</t>
  </si>
  <si>
    <t>Enter the CCUS credit serial number start range on row 429 of the table.</t>
  </si>
  <si>
    <t>Enter the CCUS credit serial number start range on row 430 of the table.</t>
  </si>
  <si>
    <t>Enter the CCUS credit serial number start range on row 431 of the table.</t>
  </si>
  <si>
    <t>Enter the CCUS credit serial number start range on row 432 of the table.</t>
  </si>
  <si>
    <t>Enter the CCUS credit serial number start range on row 433 of the table.</t>
  </si>
  <si>
    <t>Enter the CCUS credit serial number start range on row 434 of the table.</t>
  </si>
  <si>
    <t>Enter the CCUS credit serial number start range on row 435 of the table.</t>
  </si>
  <si>
    <t>Enter the CCUS credit serial number start range on row 436 of the table.</t>
  </si>
  <si>
    <t>Enter the CCUS credit serial number start range on row 437 of the table.</t>
  </si>
  <si>
    <t>Enter the CCUS credit serial number start range on row 438 of the table.</t>
  </si>
  <si>
    <t>Enter the CCUS credit serial number start range on row 439 of the table.</t>
  </si>
  <si>
    <t>Enter the CCUS credit serial number start range on row 440 of the table.</t>
  </si>
  <si>
    <t>Enter the CCUS credit serial number start range on row 441 of the table.</t>
  </si>
  <si>
    <t>Enter the CCUS credit serial number start range on row 442 of the table.</t>
  </si>
  <si>
    <t>Enter the CCUS credit serial number start range on row 443 of the table.</t>
  </si>
  <si>
    <t>Enter the CCUS credit serial number start range on row 444 of the table.</t>
  </si>
  <si>
    <t>Enter the CCUS credit serial number start range on row 445 of the table.</t>
  </si>
  <si>
    <t>Enter the CCUS credit serial number start range on row 446 of the table.</t>
  </si>
  <si>
    <t>Enter the CCUS credit serial number start range on row 447 of the table.</t>
  </si>
  <si>
    <t>Enter the CCUS credit serial number start range on row 448 of the table.</t>
  </si>
  <si>
    <t>Enter the CCUS credit serial number start range on row 449 of the table.</t>
  </si>
  <si>
    <t>Enter the CCUS credit serial number start range on row 450 of the table.</t>
  </si>
  <si>
    <t>Enter the CCUS credit serial number start range on row 451 of the table.</t>
  </si>
  <si>
    <t>Enter the CCUS credit serial number start range on row 452 of the table.</t>
  </si>
  <si>
    <t>Enter the CCUS credit serial number start range on row 453 of the table.</t>
  </si>
  <si>
    <t>Enter the CCUS credit serial number start range on row 454 of the table.</t>
  </si>
  <si>
    <t>Enter the CCUS credit serial number start range on row 455 of the table.</t>
  </si>
  <si>
    <t>Enter the CCUS credit serial number start range on row 456 of the table.</t>
  </si>
  <si>
    <t>Enter the CCUS credit serial number start range on row 457 of the table.</t>
  </si>
  <si>
    <t>Enter the CCUS credit serial number start range on row 458 of the table.</t>
  </si>
  <si>
    <t>Enter the CCUS credit serial number start range on row 459 of the table.</t>
  </si>
  <si>
    <t>Enter the CCUS credit serial number start range on row 460 of the table.</t>
  </si>
  <si>
    <t>Enter the CCUS credit serial number start range on row 461 of the table.</t>
  </si>
  <si>
    <t>Enter the CCUS credit serial number start range on row 462 of the table.</t>
  </si>
  <si>
    <t>Enter the CCUS credit serial number start range on row 463 of the table.</t>
  </si>
  <si>
    <t>Enter the CCUS credit serial number start range on row 464 of the table.</t>
  </si>
  <si>
    <t>Enter the CCUS credit serial number start range on row 465 of the table.</t>
  </si>
  <si>
    <t>Enter the CCUS credit serial number start range on row 466 of the table.</t>
  </si>
  <si>
    <t>Enter the CCUS credit serial number start range on row 467 of the table.</t>
  </si>
  <si>
    <t>Enter the CCUS credit serial number start range on row 468 of the table.</t>
  </si>
  <si>
    <t>Enter the CCUS credit serial number start range on row 469 of the table.</t>
  </si>
  <si>
    <t>Enter the CCUS credit serial number start range on row 470 of the table.</t>
  </si>
  <si>
    <t>Enter the CCUS credit serial number start range on row 471 of the table.</t>
  </si>
  <si>
    <t>Enter the CCUS credit serial number start range on row 472 of the table.</t>
  </si>
  <si>
    <t>Enter the CCUS credit serial number start range on row 473 of the table.</t>
  </si>
  <si>
    <t>Enter the CCUS credit serial number start range on row 474 of the table.</t>
  </si>
  <si>
    <t>Enter the CCUS credit serial number start range on row 475 of the table.</t>
  </si>
  <si>
    <t>Enter the CCUS credit serial number start range on row 476 of the table.</t>
  </si>
  <si>
    <t>Enter the CCUS credit serial number start range on row 477 of the table.</t>
  </si>
  <si>
    <t>Enter the CCUS credit serial number start range on row 478 of the table.</t>
  </si>
  <si>
    <t>Enter the CCUS credit serial number start range on row 479 of the table.</t>
  </si>
  <si>
    <t>Enter the CCUS credit serial number start range on row 480 of the table.</t>
  </si>
  <si>
    <t>Enter the CCUS credit serial number start range on row 481 of the table.</t>
  </si>
  <si>
    <t>Enter the CCUS credit serial number start range on row 482 of the table.</t>
  </si>
  <si>
    <t>Enter the CCUS credit serial number start range on row 483 of the table.</t>
  </si>
  <si>
    <t>Enter the CCUS credit serial number start range on row 484 of the table.</t>
  </si>
  <si>
    <t>Enter the CCUS credit serial number start range on row 485 of the table.</t>
  </si>
  <si>
    <t>Enter the CCUS credit serial number start range on row 486 of the table.</t>
  </si>
  <si>
    <t>Enter the CCUS credit serial number start range on row 487 of the table.</t>
  </si>
  <si>
    <t>Enter the CCUS credit serial number start range on row 488 of the table.</t>
  </si>
  <si>
    <t>Enter the CCUS credit serial number start range on row 489 of the table.</t>
  </si>
  <si>
    <t>Enter the CCUS credit serial number start range on row 490 of the table.</t>
  </si>
  <si>
    <t>Enter the CCUS credit serial number start range on row 491 of the table.</t>
  </si>
  <si>
    <t>Enter the CCUS credit serial number start range on row 492 of the table.</t>
  </si>
  <si>
    <t>Enter the CCUS credit serial number start range on row 493 of the table.</t>
  </si>
  <si>
    <t>Enter the CCUS credit serial number start range on row 494 of the table.</t>
  </si>
  <si>
    <t>Enter the CCUS credit serial number start range on row 495 of the table.</t>
  </si>
  <si>
    <t>Enter the CCUS credit serial number start range on row 496 of the table.</t>
  </si>
  <si>
    <t>Enter the CCUS credit serial number start range on row 497 of the table.</t>
  </si>
  <si>
    <t>Enter the CCUS credit serial number start range on row 498 of the table.</t>
  </si>
  <si>
    <t>Enter the CCUS credit serial number start range on row 499 of the table.</t>
  </si>
  <si>
    <t>Enter the CCUS credit serial number start range on row 500 of the table.</t>
  </si>
  <si>
    <t>Enter the CCUS credit serial number start range on row 501 of the table.</t>
  </si>
  <si>
    <t>Enter the CCUS credit serial number start range on row 502 of the table.</t>
  </si>
  <si>
    <t>Enter the CCUS credit serial number start range on row 503 of the table.</t>
  </si>
  <si>
    <t>Enter the CCUS credit serial number start range on row 504 of the table.</t>
  </si>
  <si>
    <t>Enter the CCUS credit serial number start range on row 505 of the table.</t>
  </si>
  <si>
    <t>Enter the CCUS credit serial number start range on row 506 of the table.</t>
  </si>
  <si>
    <t>Enter the CCUS credit serial number start range on row 507 of the table.</t>
  </si>
  <si>
    <t>Enter the CCUS credit serial number start range on row 508 of the table.</t>
  </si>
  <si>
    <t>Enter the CCUS credit serial number start range on row 509 of the table.</t>
  </si>
  <si>
    <t>Enter the CCUS credit serial number start range on row 510 of the table.</t>
  </si>
  <si>
    <t>Enter the CCUS credit serial number start range on row 511 of the table.</t>
  </si>
  <si>
    <t>Enter the CCUS credit serial number start range on row 512 of the table.</t>
  </si>
  <si>
    <t>Enter the CCUS credit serial number start range on row 513 of the table.</t>
  </si>
  <si>
    <t>Enter the CCUS credit serial number start range on row 514 of the table.</t>
  </si>
  <si>
    <t>Enter the CCUS credit serial number start range on row 515 of the table.</t>
  </si>
  <si>
    <t>Enter the CCUS credit serial number start range on row 516 of the table.</t>
  </si>
  <si>
    <t>Enter the CCUS credit serial number start range on row 517 of the table.</t>
  </si>
  <si>
    <t>Enter the CCUS credit serial number start range on row 518 of the table.</t>
  </si>
  <si>
    <t>Enter the CCUS credit serial number start range on row 519 of the table.</t>
  </si>
  <si>
    <t>Enter the CCUS credit serial number start range on row 520 of the table.</t>
  </si>
  <si>
    <t>Enter the CCUS credit serial number start range on row 521 of the table.</t>
  </si>
  <si>
    <t>Enter the CCUS credit serial number start range on row 522 of the table.</t>
  </si>
  <si>
    <t>Enter the CCUS credit serial number start range on row 523 of the table.</t>
  </si>
  <si>
    <t>Enter the CCUS credit serial number start range on row 524 of the table.</t>
  </si>
  <si>
    <t>Enter the CCUS credit serial number start range on row 525 of the table.</t>
  </si>
  <si>
    <t>Enter the CCUS credit serial number start range on row 526 of the table.</t>
  </si>
  <si>
    <t>Enter the CCUS credit serial number start range on row 527 of the table.</t>
  </si>
  <si>
    <t>Enter the CCUS credit serial number start range on row 528 of the table.</t>
  </si>
  <si>
    <t>Enter the CCUS credit serial number start range on row 529 of the table.</t>
  </si>
  <si>
    <t>Enter the CCUS credit serial number start range on row 530 of the table.</t>
  </si>
  <si>
    <t>Enter the CCUS credit serial number start range on row 531 of the table.</t>
  </si>
  <si>
    <t>Enter the CCUS credit serial number start range on row 532 of the table.</t>
  </si>
  <si>
    <t>Enter the CCUS credit serial number start range on row 533 of the table.</t>
  </si>
  <si>
    <t>Enter the CCUS credit serial number start range on row 534 of the table.</t>
  </si>
  <si>
    <t>Enter the CCUS credit serial number start range on row 535 of the table.</t>
  </si>
  <si>
    <t>Enter the CCUS credit serial number start range on row 536 of the table.</t>
  </si>
  <si>
    <t>Enter the CCUS credit serial number start range on row 537 of the table.</t>
  </si>
  <si>
    <t>Enter the CCUS credit serial number start range on row 538 of the table.</t>
  </si>
  <si>
    <t>Enter the CCUS credit serial number start range on row 539 of the table.</t>
  </si>
  <si>
    <t>Enter the CCUS credit serial number start range on row 540 of the table.</t>
  </si>
  <si>
    <t>Enter the CCUS credit serial number start range on row 541 of the table.</t>
  </si>
  <si>
    <t>Enter the CCUS credit serial number start range on row 542 of the table.</t>
  </si>
  <si>
    <t>Enter the CCUS credit serial number start range on row 543 of the table.</t>
  </si>
  <si>
    <t>Enter the CCUS credit serial number start range on row 544 of the table.</t>
  </si>
  <si>
    <t>Enter the CCUS credit serial number start range on row 545 of the table.</t>
  </si>
  <si>
    <t>Enter the CCUS credit serial number start range on row 546 of the table.</t>
  </si>
  <si>
    <t>Enter the CCUS credit serial number start range on row 547 of the table.</t>
  </si>
  <si>
    <t>Enter the CCUS credit serial number start range on row 548 of the table.</t>
  </si>
  <si>
    <t>Enter the CCUS credit serial number start range on row 549 of the table.</t>
  </si>
  <si>
    <t>Enter the CCUS credit serial number start range on row 550 of the table.</t>
  </si>
  <si>
    <t>Enter the CCUS credit serial number start range on row 551 of the table.</t>
  </si>
  <si>
    <t>Enter the CCUS credit serial number start range on row 552 of the table.</t>
  </si>
  <si>
    <t>Enter the CCUS credit serial number start range on row 553 of the table.</t>
  </si>
  <si>
    <t>Enter the CCUS credit serial number start range on row 554 of the table.</t>
  </si>
  <si>
    <t>Enter the CCUS credit serial number start range on row 555 of the table.</t>
  </si>
  <si>
    <t>Enter the CCUS credit serial number start range on row 556 of the table.</t>
  </si>
  <si>
    <t>Enter the CCUS credit serial number start range on row 557 of the table.</t>
  </si>
  <si>
    <t>Enter the CCUS credit serial number start range on row 558 of the table.</t>
  </si>
  <si>
    <t>Enter the CCUS credit serial number start range on row 559 of the table.</t>
  </si>
  <si>
    <t>Enter the CCUS credit serial number start range on row 560 of the table.</t>
  </si>
  <si>
    <t>Enter the CCUS credit serial number start range on row 561 of the table.</t>
  </si>
  <si>
    <t>Enter the CCUS credit serial number start range on row 562 of the table.</t>
  </si>
  <si>
    <t>Enter the CCUS credit serial number start range on row 563 of the table.</t>
  </si>
  <si>
    <t>Enter the CCUS credit serial number start range on row 564 of the table.</t>
  </si>
  <si>
    <t>Enter the CCUS credit serial number start range on row 565 of the table.</t>
  </si>
  <si>
    <t>Enter the CCUS credit serial number start range on row 566 of the table.</t>
  </si>
  <si>
    <t>Enter the CCUS credit serial number start range on row 567 of the table.</t>
  </si>
  <si>
    <t>Enter the CCUS credit serial number start range on row 568 of the table.</t>
  </si>
  <si>
    <t>Enter the CCUS credit serial number start range on row 569 of the table.</t>
  </si>
  <si>
    <t>Enter the CCUS credit serial number start range on row 570 of the table.</t>
  </si>
  <si>
    <t>Enter the CCUS credit serial number start range on row 571 of the table.</t>
  </si>
  <si>
    <t>Enter the CCUS credit serial number start range on row 572 of the table.</t>
  </si>
  <si>
    <t>Enter the CCUS credit serial number start range on row 573 of the table.</t>
  </si>
  <si>
    <t>Enter the CCUS credit serial number start range on row 574 of the table.</t>
  </si>
  <si>
    <t>Enter the CCUS credit serial number start range on row 575 of the table.</t>
  </si>
  <si>
    <t>Enter the CCUS credit serial number start range on row 576 of the table.</t>
  </si>
  <si>
    <t>Enter the CCUS credit serial number start range on row 577 of the table.</t>
  </si>
  <si>
    <t>Enter the CCUS credit serial number start range on row 578 of the table.</t>
  </si>
  <si>
    <t>Enter the CCUS credit serial number start range on row 579 of the table.</t>
  </si>
  <si>
    <t>Enter the CCUS credit serial number start range on row 580 of the table.</t>
  </si>
  <si>
    <t>Enter the CCUS credit serial number start range on row 581 of the table.</t>
  </si>
  <si>
    <t>Enter the CCUS credit serial number start range on row 582 of the table.</t>
  </si>
  <si>
    <t>Enter the CCUS credit serial number start range on row 583 of the table.</t>
  </si>
  <si>
    <t>Enter the CCUS credit serial number start range on row 584 of the table.</t>
  </si>
  <si>
    <t>Enter the CCUS credit serial number start range on row 585 of the table.</t>
  </si>
  <si>
    <t>Enter the CCUS credit serial number start range on row 586 of the table.</t>
  </si>
  <si>
    <t>Enter the CCUS credit serial number start range on row 587 of the table.</t>
  </si>
  <si>
    <t>Enter the CCUS credit serial number start range on row 588 of the table.</t>
  </si>
  <si>
    <t>Enter the CCUS credit serial number start range on row 589 of the table.</t>
  </si>
  <si>
    <t>Enter the CCUS credit serial number start range on row 590 of the table.</t>
  </si>
  <si>
    <t>Enter the CCUS credit serial number start range on row 591 of the table.</t>
  </si>
  <si>
    <t>Enter the CCUS credit serial number start range on row 592 of the table.</t>
  </si>
  <si>
    <t>Enter the CCUS credit serial number start range on row 593 of the table.</t>
  </si>
  <si>
    <t>Enter the CCUS credit serial number start range on row 594 of the table.</t>
  </si>
  <si>
    <t>Enter the CCUS credit serial number start range on row 595 of the table.</t>
  </si>
  <si>
    <t>Enter the CCUS credit serial number start range on row 596 of the table.</t>
  </si>
  <si>
    <t>Enter the CCUS credit serial number start range on row 597 of the table.</t>
  </si>
  <si>
    <t>Enter the CCUS credit serial number start range on row 598 of the table.</t>
  </si>
  <si>
    <t>Enter the CCUS credit serial number start range on row 599 of the table.</t>
  </si>
  <si>
    <t>Enter the CCUS credit serial number start range on row 600 of the table.</t>
  </si>
  <si>
    <t>Enter the CCUS credit serial number start range on row 601 of the table.</t>
  </si>
  <si>
    <t>Enter the CCUS credit serial number start range on row 602 of the table.</t>
  </si>
  <si>
    <t>Enter the CCUS credit serial number start range on row 603 of the table.</t>
  </si>
  <si>
    <t>Enter the CCUS credit serial number start range on row 604 of the table.</t>
  </si>
  <si>
    <t>Enter the CCUS credit serial number start range on row 605 of the table.</t>
  </si>
  <si>
    <t>Enter the CCUS credit serial number start range on row 606 of the table.</t>
  </si>
  <si>
    <t>Enter the CCUS credit serial number start range on row 607 of the table.</t>
  </si>
  <si>
    <t>Enter the CCUS credit serial number start range on row 608 of the table.</t>
  </si>
  <si>
    <t>Enter the CCUS credit serial number start range on row 609 of the table.</t>
  </si>
  <si>
    <t>Enter the CCUS credit serial number start range on row 610 of the table.</t>
  </si>
  <si>
    <t>Enter the CCUS credit serial number start range on row 611 of the table.</t>
  </si>
  <si>
    <t>Enter the CCUS credit serial number start range on row 612 of the table.</t>
  </si>
  <si>
    <t>Enter the CCUS credit serial number start range on row 613 of the table.</t>
  </si>
  <si>
    <t>Enter the CCUS credit serial number start range on row 614 of the table.</t>
  </si>
  <si>
    <t>Enter the CCUS credit serial number start range on row 615 of the table.</t>
  </si>
  <si>
    <t>Enter the CCUS credit serial number start range on row 616 of the table.</t>
  </si>
  <si>
    <t>Enter the CCUS credit serial number start range on row 617 of the table.</t>
  </si>
  <si>
    <t>Enter the CCUS credit serial number start range on row 618 of the table.</t>
  </si>
  <si>
    <t>Enter the CCUS credit serial number start range on row 619 of the table.</t>
  </si>
  <si>
    <t>Enter the CCUS credit serial number start range on row 620 of the table.</t>
  </si>
  <si>
    <t>Enter the CCUS credit serial number start range on row 621 of the table.</t>
  </si>
  <si>
    <t>Enter the CCUS credit serial number start range on row 622 of the table.</t>
  </si>
  <si>
    <t>Enter the CCUS credit serial number start range on row 623 of the table.</t>
  </si>
  <si>
    <t>Enter the CCUS credit serial number start range on row 624 of the table.</t>
  </si>
  <si>
    <t>Enter the CCUS credit serial number start range on row 625 of the table.</t>
  </si>
  <si>
    <t>Enter the CCUS credit serial number start range on row 626 of the table.</t>
  </si>
  <si>
    <t>Enter the CCUS credit serial number start range on row 627 of the table.</t>
  </si>
  <si>
    <t>Enter the CCUS credit serial number start range on row 628 of the table.</t>
  </si>
  <si>
    <t>Enter the CCUS credit serial number start range on row 629 of the table.</t>
  </si>
  <si>
    <t>Enter the CCUS credit serial number start range on row 630 of the table.</t>
  </si>
  <si>
    <t>Enter the CCUS credit serial number start range on row 631 of the table.</t>
  </si>
  <si>
    <t>Enter the CCUS credit serial number start range on row 632 of the table.</t>
  </si>
  <si>
    <t>Enter the CCUS credit serial number start range on row 633 of the table.</t>
  </si>
  <si>
    <t>Enter the CCUS credit serial number start range on row 634 of the table.</t>
  </si>
  <si>
    <t>Enter the CCUS credit serial number start range on row 635 of the table.</t>
  </si>
  <si>
    <t>Enter the CCUS credit serial number start range on row 636 of the table.</t>
  </si>
  <si>
    <t>Enter the CCUS credit serial number start range on row 637 of the table.</t>
  </si>
  <si>
    <t>Enter the CCUS credit serial number start range on row 638 of the table.</t>
  </si>
  <si>
    <t>Enter the CCUS credit serial number start range on row 639 of the table.</t>
  </si>
  <si>
    <t>Enter the CCUS credit serial number start range on row 640 of the table.</t>
  </si>
  <si>
    <t>Enter the CCUS credit serial number start range on row 641 of the table.</t>
  </si>
  <si>
    <t>Enter the CCUS credit serial number start range on row 642 of the table.</t>
  </si>
  <si>
    <t>Enter the CCUS credit serial number start range on row 643 of the table.</t>
  </si>
  <si>
    <t>Enter the CCUS credit serial number start range on row 644 of the table.</t>
  </si>
  <si>
    <t>Enter the CCUS credit serial number start range on row 645 of the table.</t>
  </si>
  <si>
    <t>Enter the CCUS credit serial number start range on row 646 of the table.</t>
  </si>
  <si>
    <t>Enter the CCUS credit serial number start range on row 647 of the table.</t>
  </si>
  <si>
    <t>Enter the CCUS credit serial number start range on row 648 of the table.</t>
  </si>
  <si>
    <t>Enter the CCUS credit serial number start range on row 649 of the table.</t>
  </si>
  <si>
    <t>Enter the CCUS credit serial number start range on row 650 of the table.</t>
  </si>
  <si>
    <t>Enter the CCUS credit serial number start range on row 651 of the table.</t>
  </si>
  <si>
    <t>Enter the CCUS credit serial number start range on row 652 of the table.</t>
  </si>
  <si>
    <t>Enter the CCUS credit serial number start range on row 653 of the table.</t>
  </si>
  <si>
    <t>Enter the CCUS credit serial number start range on row 654 of the table.</t>
  </si>
  <si>
    <t>Enter the CCUS credit serial number start range on row 655 of the table.</t>
  </si>
  <si>
    <t>Enter the CCUS credit serial number start range on row 656 of the table.</t>
  </si>
  <si>
    <t>Enter the CCUS credit serial number start range on row 657 of the table.</t>
  </si>
  <si>
    <t>Enter the CCUS credit serial number start range on row 658 of the table.</t>
  </si>
  <si>
    <t>Enter the CCUS credit serial number start range on row 659 of the table.</t>
  </si>
  <si>
    <t>Enter the CCUS credit serial number start range on row 660 of the table.</t>
  </si>
  <si>
    <t>Enter the CCUS credit serial number start range on row 661 of the table.</t>
  </si>
  <si>
    <t>Enter the CCUS credit serial number start range on row 662 of the table.</t>
  </si>
  <si>
    <t>Enter the CCUS credit serial number start range on row 663 of the table.</t>
  </si>
  <si>
    <t>Enter the CCUS credit serial number start range on row 664 of the table.</t>
  </si>
  <si>
    <t>Enter the CCUS credit serial number start range on row 665 of the table.</t>
  </si>
  <si>
    <t>Enter the CCUS credit serial number start range on row 666 of the table.</t>
  </si>
  <si>
    <t>Enter the CCUS credit serial number start range on row 667 of the table.</t>
  </si>
  <si>
    <t>Enter the CCUS credit serial number start range on row 668 of the table.</t>
  </si>
  <si>
    <t>Enter the CCUS credit serial number start range on row 669 of the table.</t>
  </si>
  <si>
    <t>Enter the CCUS credit serial number start range on row 670 of the table.</t>
  </si>
  <si>
    <t>Enter the CCUS credit serial number start range on row 671 of the table.</t>
  </si>
  <si>
    <t>Enter the CCUS credit serial number start range on row 672 of the table.</t>
  </si>
  <si>
    <t>Enter the CCUS credit serial number start range on row 673 of the table.</t>
  </si>
  <si>
    <t>Enter the CCUS credit serial number start range on row 674 of the table.</t>
  </si>
  <si>
    <t>Enter the CCUS credit serial number start range on row 675 of the table.</t>
  </si>
  <si>
    <t>Enter the CCUS credit serial number start range on row 676 of the table.</t>
  </si>
  <si>
    <t>Enter the CCUS credit serial number start range on row 677 of the table.</t>
  </si>
  <si>
    <t>Enter the CCUS credit serial number start range on row 678 of the table.</t>
  </si>
  <si>
    <t>Enter the CCUS credit serial number start range on row 679 of the table.</t>
  </si>
  <si>
    <t>Enter the CCUS credit serial number start range on row 680 of the table.</t>
  </si>
  <si>
    <t>Enter the CCUS credit serial number start range on row 681 of the table.</t>
  </si>
  <si>
    <t>Enter the CCUS credit serial number start range on row 682 of the table.</t>
  </si>
  <si>
    <t>Enter the CCUS credit serial number start range on row 683 of the table.</t>
  </si>
  <si>
    <t>Enter the CCUS credit serial number start range on row 684 of the table.</t>
  </si>
  <si>
    <t>Enter the CCUS credit serial number start range on row 685 of the table.</t>
  </si>
  <si>
    <t>Enter the CCUS credit serial number start range on row 686 of the table.</t>
  </si>
  <si>
    <t>Enter the CCUS credit serial number start range on row 687 of the table.</t>
  </si>
  <si>
    <t>Enter the CCUS credit serial number start range on row 688 of the table.</t>
  </si>
  <si>
    <t>Enter the CCUS credit serial number start range on row 689 of the table.</t>
  </si>
  <si>
    <t>Enter the CCUS credit serial number start range on row 690 of the table.</t>
  </si>
  <si>
    <t>Enter the CCUS credit serial number start range on row 691 of the table.</t>
  </si>
  <si>
    <t>Enter the CCUS credit serial number start range on row 692 of the table.</t>
  </si>
  <si>
    <t>Enter the CCUS credit serial number start range on row 693 of the table.</t>
  </si>
  <si>
    <t>Enter the CCUS credit serial number start range on row 694 of the table.</t>
  </si>
  <si>
    <t>Enter the CCUS credit serial number start range on row 695 of the table.</t>
  </si>
  <si>
    <t>Enter the CCUS credit serial number start range on row 696 of the table.</t>
  </si>
  <si>
    <t>Enter the CCUS credit serial number start range on row 697 of the table.</t>
  </si>
  <si>
    <t>Enter the CCUS credit serial number start range on row 698 of the table.</t>
  </si>
  <si>
    <t>Enter the CCUS credit serial number start range on row 699 of the table.</t>
  </si>
  <si>
    <t>Enter the CCUS credit serial number start range on row 700 of the table.</t>
  </si>
  <si>
    <t>Enter the CCUS credit serial number start range on row 701 of the table.</t>
  </si>
  <si>
    <t>Enter the CCUS credit serial number start range on row 702 of the table.</t>
  </si>
  <si>
    <t>Enter the CCUS credit serial number start range on row 703 of the table.</t>
  </si>
  <si>
    <t>Enter the CCUS credit serial number start range on row 704 of the table.</t>
  </si>
  <si>
    <t>Enter the CCUS credit serial number start range on row 705 of the table.</t>
  </si>
  <si>
    <t>Enter the CCUS credit serial number start range on row 706 of the table.</t>
  </si>
  <si>
    <t>Enter the CCUS credit serial number start range on row 707 of the table.</t>
  </si>
  <si>
    <t>Enter the CCUS credit serial number start range on row 708 of the table.</t>
  </si>
  <si>
    <t>Enter the CCUS credit serial number start range on row 709 of the table.</t>
  </si>
  <si>
    <t>Enter the CCUS credit serial number start range on row 710 of the table.</t>
  </si>
  <si>
    <t>Enter the CCUS credit serial number start range on row 711 of the table.</t>
  </si>
  <si>
    <t>Enter the CCUS credit serial number start range on row 712 of the table.</t>
  </si>
  <si>
    <t>Enter the CCUS credit serial number start range on row 713 of the table.</t>
  </si>
  <si>
    <t>Enter the CCUS credit serial number start range on row 714 of the table.</t>
  </si>
  <si>
    <t>Enter the CCUS credit serial number start range on row 715 of the table.</t>
  </si>
  <si>
    <t>Enter the CCUS credit serial number start range on row 716 of the table.</t>
  </si>
  <si>
    <t>Enter the CCUS credit serial number start range on row 717 of the table.</t>
  </si>
  <si>
    <t>Enter the CCUS credit serial number start range on row 718 of the table.</t>
  </si>
  <si>
    <t>Enter the CCUS credit serial number start range on row 719 of the table.</t>
  </si>
  <si>
    <t>Enter the CCUS credit serial number start range on row 720 of the table.</t>
  </si>
  <si>
    <t>Enter the CCUS credit serial number start range on row 721 of the table.</t>
  </si>
  <si>
    <t>Enter the CCUS credit serial number start range on row 722 of the table.</t>
  </si>
  <si>
    <t>Enter the CCUS credit serial number start range on row 723 of the table.</t>
  </si>
  <si>
    <t>Enter the CCUS credit serial number start range on row 724 of the table.</t>
  </si>
  <si>
    <t>Enter the CCUS credit serial number start range on row 725 of the table.</t>
  </si>
  <si>
    <t>Enter the CCUS credit serial number start range on row 726 of the table.</t>
  </si>
  <si>
    <t>Enter the CCUS credit serial number start range on row 727 of the table.</t>
  </si>
  <si>
    <t>Enter the CCUS credit serial number start range on row 728 of the table.</t>
  </si>
  <si>
    <t>Enter the CCUS credit serial number start range on row 729 of the table.</t>
  </si>
  <si>
    <t>Enter the CCUS credit serial number start range on row 730 of the table.</t>
  </si>
  <si>
    <t>Enter the CCUS credit serial number start range on row 731 of the table.</t>
  </si>
  <si>
    <t>Enter the CCUS credit serial number start range on row 732 of the table.</t>
  </si>
  <si>
    <t>Enter the CCUS credit serial number start range on row 733 of the table.</t>
  </si>
  <si>
    <t>Enter the CCUS credit serial number start range on row 734 of the table.</t>
  </si>
  <si>
    <t>Enter the CCUS credit serial number start range on row 735 of the table.</t>
  </si>
  <si>
    <t>Enter the CCUS credit serial number start range on row 736 of the table.</t>
  </si>
  <si>
    <t>Enter the CCUS credit serial number start range on row 737 of the table.</t>
  </si>
  <si>
    <t>Enter the CCUS credit serial number start range on row 738 of the table.</t>
  </si>
  <si>
    <t>Enter the CCUS credit serial number start range on row 739 of the table.</t>
  </si>
  <si>
    <t>Enter the CCUS credit serial number start range on row 740 of the table.</t>
  </si>
  <si>
    <t>Enter the CCUS credit serial number start range on row 741 of the table.</t>
  </si>
  <si>
    <t>Enter the CCUS credit serial number start range on row 742 of the table.</t>
  </si>
  <si>
    <t>Enter the CCUS credit serial number start range on row 743 of the table.</t>
  </si>
  <si>
    <t>Enter the CCUS credit serial number start range on row 744 of the table.</t>
  </si>
  <si>
    <t>Enter the CCUS credit serial number start range on row 745 of the table.</t>
  </si>
  <si>
    <t>Enter the CCUS credit serial number start range on row 746 of the table.</t>
  </si>
  <si>
    <t>Enter the CCUS credit serial number start range on row 747 of the table.</t>
  </si>
  <si>
    <t>Enter the CCUS credit serial number start range on row 748 of the table.</t>
  </si>
  <si>
    <t>Enter the CCUS credit serial number start range on row 749 of the table.</t>
  </si>
  <si>
    <t>Enter the CCUS credit serial number start range on row 750 of the table.</t>
  </si>
  <si>
    <t>Enter the CCUS credit serial number start range on row 751 of the table.</t>
  </si>
  <si>
    <t>Enter the CCUS credit serial number start range on row 752 of the table.</t>
  </si>
  <si>
    <t>Enter the CCUS credit serial number start range on row 753 of the table.</t>
  </si>
  <si>
    <t>Enter the CCUS credit serial number start range on row 754 of the table.</t>
  </si>
  <si>
    <t>Enter the CCUS credit serial number start range on row 755 of the table.</t>
  </si>
  <si>
    <t>Enter the CCUS credit serial number start range on row 756 of the table.</t>
  </si>
  <si>
    <t>Enter the CCUS credit serial number start range on row 757 of the table.</t>
  </si>
  <si>
    <t>Enter the CCUS credit serial number start range on row 758 of the table.</t>
  </si>
  <si>
    <t>Enter the CCUS credit serial number start range on row 759 of the table.</t>
  </si>
  <si>
    <t>Enter the CCUS credit serial number start range on row 760 of the table.</t>
  </si>
  <si>
    <t>Enter the CCUS credit serial number start range on row 761 of the table.</t>
  </si>
  <si>
    <t>Enter the CCUS credit serial number start range on row 762 of the table.</t>
  </si>
  <si>
    <t>Enter the CCUS credit serial number start range on row 763 of the table.</t>
  </si>
  <si>
    <t>Enter the CCUS credit serial number start range on row 764 of the table.</t>
  </si>
  <si>
    <t>Enter the CCUS credit serial number start range on row 765 of the table.</t>
  </si>
  <si>
    <t>Enter the CCUS credit serial number start range on row 766 of the table.</t>
  </si>
  <si>
    <t>Enter the CCUS credit serial number start range on row 767 of the table.</t>
  </si>
  <si>
    <t>Enter the CCUS credit serial number start range on row 768 of the table.</t>
  </si>
  <si>
    <t>Enter the CCUS credit serial number start range on row 769 of the table.</t>
  </si>
  <si>
    <t>Enter the CCUS credit serial number start range on row 770 of the table.</t>
  </si>
  <si>
    <t>Enter the CCUS credit serial number start range on row 771 of the table.</t>
  </si>
  <si>
    <t>Enter the CCUS credit serial number start range on row 772 of the table.</t>
  </si>
  <si>
    <t>Enter the CCUS credit serial number start range on row 773 of the table.</t>
  </si>
  <si>
    <t>Enter the CCUS credit serial number start range on row 774 of the table.</t>
  </si>
  <si>
    <t>Enter the CCUS credit serial number start range on row 775 of the table.</t>
  </si>
  <si>
    <t>Enter the CCUS credit serial number start range on row 776 of the table.</t>
  </si>
  <si>
    <t>Enter the CCUS credit serial number start range on row 777 of the table.</t>
  </si>
  <si>
    <t>Enter the CCUS credit serial number start range on row 778 of the table.</t>
  </si>
  <si>
    <t>Enter the CCUS credit serial number start range on row 779 of the table.</t>
  </si>
  <si>
    <t>Enter the CCUS credit serial number start range on row 780 of the table.</t>
  </si>
  <si>
    <t>Enter the CCUS credit serial number start range on row 781 of the table.</t>
  </si>
  <si>
    <t>Enter the CCUS credit serial number start range on row 782 of the table.</t>
  </si>
  <si>
    <t>Enter the CCUS credit serial number start range on row 783 of the table.</t>
  </si>
  <si>
    <t>Enter the CCUS credit serial number start range on row 784 of the table.</t>
  </si>
  <si>
    <t>Enter the CCUS credit serial number start range on row 785 of the table.</t>
  </si>
  <si>
    <t>Enter the CCUS credit serial number start range on row 786 of the table.</t>
  </si>
  <si>
    <t>Enter the CCUS credit serial number start range on row 787 of the table.</t>
  </si>
  <si>
    <t>Enter the CCUS credit serial number start range on row 788 of the table.</t>
  </si>
  <si>
    <t>Enter the CCUS credit serial number start range on row 789 of the table.</t>
  </si>
  <si>
    <t>Enter the CCUS credit serial number start range on row 790 of the table.</t>
  </si>
  <si>
    <t>Enter the CCUS credit serial number start range on row 791 of the table.</t>
  </si>
  <si>
    <t>Enter the CCUS credit serial number start range on row 792 of the table.</t>
  </si>
  <si>
    <t>Enter the CCUS credit serial number start range on row 793 of the table.</t>
  </si>
  <si>
    <t>Enter the CCUS credit serial number start range on row 794 of the table.</t>
  </si>
  <si>
    <t>Enter the CCUS credit serial number start range on row 795 of the table.</t>
  </si>
  <si>
    <t>Enter the CCUS credit serial number start range on row 796 of the table.</t>
  </si>
  <si>
    <t>Enter the CCUS credit serial number start range on row 797 of the table.</t>
  </si>
  <si>
    <t>Enter the CCUS credit serial number start range on row 798 of the table.</t>
  </si>
  <si>
    <t>Enter the CCUS credit serial number start range on row 799 of the table.</t>
  </si>
  <si>
    <t>Enter the CCUS credit serial number start range on row 800 of the table.</t>
  </si>
  <si>
    <t>Enter the CCUS credit serial number start range on row 801 of the table.</t>
  </si>
  <si>
    <t>Enter the CCUS credit serial number start range on row 802 of the table.</t>
  </si>
  <si>
    <t>Enter the CCUS credit serial number start range on row 803 of the table.</t>
  </si>
  <si>
    <t>Enter the CCUS credit serial number start range on row 804 of the table.</t>
  </si>
  <si>
    <t>Enter the CCUS credit serial number start range on row 805 of the table.</t>
  </si>
  <si>
    <t>Enter the CCUS credit serial number start range on row 806 of the table.</t>
  </si>
  <si>
    <t>Enter the CCUS credit serial number start range on row 807 of the table.</t>
  </si>
  <si>
    <t>Enter the CCUS credit serial number start range on row 808 of the table.</t>
  </si>
  <si>
    <t>Enter the CCUS credit serial number start range on row 809 of the table.</t>
  </si>
  <si>
    <t>Enter the CCUS credit serial number start range on row 810 of the table.</t>
  </si>
  <si>
    <t>Enter the CCUS credit serial number start range on row 811 of the table.</t>
  </si>
  <si>
    <t>Enter the CCUS credit serial number start range on row 812 of the table.</t>
  </si>
  <si>
    <t>Enter the CCUS credit serial number start range on row 813 of the table.</t>
  </si>
  <si>
    <t>Enter the CCUS credit serial number start range on row 814 of the table.</t>
  </si>
  <si>
    <t>Enter the CCUS credit serial number start range on row 815 of the table.</t>
  </si>
  <si>
    <t>Enter the CCUS credit serial number start range on row 816 of the table.</t>
  </si>
  <si>
    <t>Enter the CCUS credit serial number start range on row 817 of the table.</t>
  </si>
  <si>
    <t>Enter the CCUS credit serial number start range on row 818 of the table.</t>
  </si>
  <si>
    <t>Enter the CCUS credit serial number start range on row 819 of the table.</t>
  </si>
  <si>
    <t>Enter the CCUS credit serial number start range on row 820 of the table.</t>
  </si>
  <si>
    <t>Enter the CCUS credit serial number start range on row 821 of the table.</t>
  </si>
  <si>
    <t>Enter the CCUS credit serial number start range on row 822 of the table.</t>
  </si>
  <si>
    <t>Enter the CCUS credit serial number start range on row 823 of the table.</t>
  </si>
  <si>
    <t>Enter the CCUS credit serial number start range on row 824 of the table.</t>
  </si>
  <si>
    <t>Enter the CCUS credit serial number start range on row 825 of the table.</t>
  </si>
  <si>
    <t>Enter the CCUS credit serial number start range on row 826 of the table.</t>
  </si>
  <si>
    <t>Enter the CCUS credit serial number start range on row 827 of the table.</t>
  </si>
  <si>
    <t>Enter the CCUS credit serial number start range on row 828 of the table.</t>
  </si>
  <si>
    <t>Enter the CCUS credit serial number start range on row 829 of the table.</t>
  </si>
  <si>
    <t>Enter the CCUS credit serial number start range on row 830 of the table.</t>
  </si>
  <si>
    <t>Enter the CCUS credit serial number start range on row 831 of the table.</t>
  </si>
  <si>
    <t>Enter the CCUS credit serial number start range on row 832 of the table.</t>
  </si>
  <si>
    <t>Enter the CCUS credit serial number start range on row 833 of the table.</t>
  </si>
  <si>
    <t>Enter the CCUS credit serial number start range on row 834 of the table.</t>
  </si>
  <si>
    <t>Enter the CCUS credit serial number start range on row 835 of the table.</t>
  </si>
  <si>
    <t>Enter the CCUS credit serial number start range on row 836 of the table.</t>
  </si>
  <si>
    <t>Enter the CCUS credit serial number start range on row 837 of the table.</t>
  </si>
  <si>
    <t>Enter the CCUS credit serial number start range on row 838 of the table.</t>
  </si>
  <si>
    <t>Enter the CCUS credit serial number start range on row 839 of the table.</t>
  </si>
  <si>
    <t>Enter the CCUS credit serial number start range on row 840 of the table.</t>
  </si>
  <si>
    <t>Enter the CCUS credit serial number start range on row 841 of the table.</t>
  </si>
  <si>
    <t>Enter the CCUS credit serial number start range on row 842 of the table.</t>
  </si>
  <si>
    <t>Enter the CCUS credit serial number start range on row 843 of the table.</t>
  </si>
  <si>
    <t>Enter the CCUS credit serial number start range on row 844 of the table.</t>
  </si>
  <si>
    <t>Enter the CCUS credit serial number start range on row 845 of the table.</t>
  </si>
  <si>
    <t>Enter the CCUS credit serial number start range on row 846 of the table.</t>
  </si>
  <si>
    <t>Enter the CCUS credit serial number start range on row 847 of the table.</t>
  </si>
  <si>
    <t>Enter the CCUS credit serial number start range on row 848 of the table.</t>
  </si>
  <si>
    <t>Enter the CCUS credit serial number start range on row 849 of the table.</t>
  </si>
  <si>
    <t>Enter the CCUS credit serial number start range on row 850 of the table.</t>
  </si>
  <si>
    <t>Enter the CCUS credit serial number start range on row 851 of the table.</t>
  </si>
  <si>
    <t>Enter the CCUS credit serial number start range on row 852 of the table.</t>
  </si>
  <si>
    <t>Enter the CCUS credit serial number start range on row 853 of the table.</t>
  </si>
  <si>
    <t>Enter the CCUS credit serial number start range on row 854 of the table.</t>
  </si>
  <si>
    <t>Enter the CCUS credit serial number start range on row 855 of the table.</t>
  </si>
  <si>
    <t>Enter the CCUS credit serial number start range on row 856 of the table.</t>
  </si>
  <si>
    <t>Enter the CCUS credit serial number start range on row 857 of the table.</t>
  </si>
  <si>
    <t>Enter the CCUS credit serial number start range on row 858 of the table.</t>
  </si>
  <si>
    <t>Enter the CCUS credit serial number start range on row 859 of the table.</t>
  </si>
  <si>
    <t>Enter the CCUS credit serial number start range on row 860 of the table.</t>
  </si>
  <si>
    <t>Enter the CCUS credit serial number start range on row 861 of the table.</t>
  </si>
  <si>
    <t>Enter the CCUS credit serial number start range on row 862 of the table.</t>
  </si>
  <si>
    <t>Enter the CCUS credit serial number start range on row 863 of the table.</t>
  </si>
  <si>
    <t>Enter the CCUS credit serial number start range on row 864 of the table.</t>
  </si>
  <si>
    <t>Enter the CCUS credit serial number start range on row 865 of the table.</t>
  </si>
  <si>
    <t>Enter the CCUS credit serial number start range on row 866 of the table.</t>
  </si>
  <si>
    <t>Enter the CCUS credit serial number start range on row 867 of the table.</t>
  </si>
  <si>
    <t>Enter the CCUS credit serial number start range on row 868 of the table.</t>
  </si>
  <si>
    <t>Enter the CCUS credit serial number start range on row 869 of the table.</t>
  </si>
  <si>
    <t>Enter the CCUS credit serial number start range on row 870 of the table.</t>
  </si>
  <si>
    <t>Enter the CCUS credit serial number start range on row 871 of the table.</t>
  </si>
  <si>
    <t>Enter the CCUS credit serial number start range on row 872 of the table.</t>
  </si>
  <si>
    <t>Enter the CCUS credit serial number start range on row 873 of the table.</t>
  </si>
  <si>
    <t>Enter the CCUS credit serial number start range on row 874 of the table.</t>
  </si>
  <si>
    <t>Enter the CCUS credit serial number start range on row 875 of the table.</t>
  </si>
  <si>
    <t>Enter the CCUS credit serial number start range on row 876 of the table.</t>
  </si>
  <si>
    <t>Enter the CCUS credit serial number start range on row 877 of the table.</t>
  </si>
  <si>
    <t>Enter the CCUS credit serial number start range on row 878 of the table.</t>
  </si>
  <si>
    <t>Enter the CCUS credit serial number start range on row 879 of the table.</t>
  </si>
  <si>
    <t>Enter the CCUS credit serial number start range on row 880 of the table.</t>
  </si>
  <si>
    <t>Enter the CCUS credit serial number start range on row 881 of the table.</t>
  </si>
  <si>
    <t>Enter the CCUS credit serial number start range on row 882 of the table.</t>
  </si>
  <si>
    <t>Enter the CCUS credit serial number start range on row 883 of the table.</t>
  </si>
  <si>
    <t>Enter the CCUS credit serial number start range on row 884 of the table.</t>
  </si>
  <si>
    <t>Enter the CCUS credit serial number start range on row 885 of the table.</t>
  </si>
  <si>
    <t>Enter the CCUS credit serial number start range on row 886 of the table.</t>
  </si>
  <si>
    <t>Enter the CCUS credit serial number start range on row 887 of the table.</t>
  </si>
  <si>
    <t>Enter the CCUS credit serial number start range on row 888 of the table.</t>
  </si>
  <si>
    <t>Enter the CCUS credit serial number start range on row 889 of the table.</t>
  </si>
  <si>
    <t>Enter the CCUS credit serial number start range on row 890 of the table.</t>
  </si>
  <si>
    <t>Enter the CCUS credit serial number start range on row 891 of the table.</t>
  </si>
  <si>
    <t>Enter the CCUS credit serial number start range on row 892 of the table.</t>
  </si>
  <si>
    <t>Enter the CCUS credit serial number start range on row 893 of the table.</t>
  </si>
  <si>
    <t>Enter the CCUS credit serial number start range on row 894 of the table.</t>
  </si>
  <si>
    <t>Enter the CCUS credit serial number start range on row 895 of the table.</t>
  </si>
  <si>
    <t>Enter the CCUS credit serial number start range on row 896 of the table.</t>
  </si>
  <si>
    <t>Enter the CCUS credit serial number start range on row 897 of the table.</t>
  </si>
  <si>
    <t>Enter the CCUS credit serial number start range on row 898 of the table.</t>
  </si>
  <si>
    <t>Enter the CCUS credit serial number start range on row 899 of the table.</t>
  </si>
  <si>
    <t>Enter the CCUS credit serial number start range on row 900 of the table.</t>
  </si>
  <si>
    <t>Enter the CCUS credit serial number start range on row 901 of the table.</t>
  </si>
  <si>
    <t>Enter the CCUS credit serial number start range on row 902 of the table.</t>
  </si>
  <si>
    <t>Enter the CCUS credit serial number start range on row 903 of the table.</t>
  </si>
  <si>
    <t>Enter the CCUS credit serial number start range on row 904 of the table.</t>
  </si>
  <si>
    <t>Enter the CCUS credit serial number start range on row 905 of the table.</t>
  </si>
  <si>
    <t>Enter the CCUS credit serial number start range on row 906 of the table.</t>
  </si>
  <si>
    <t>Enter the CCUS credit serial number start range on row 907 of the table.</t>
  </si>
  <si>
    <t>Enter the CCUS credit serial number start range on row 908 of the table.</t>
  </si>
  <si>
    <t>Enter the CCUS credit serial number start range on row 909 of the table.</t>
  </si>
  <si>
    <t>Enter the CCUS credit serial number start range on row 910 of the table.</t>
  </si>
  <si>
    <t>Enter the CCUS credit serial number start range on row 911 of the table.</t>
  </si>
  <si>
    <t>Enter the CCUS credit serial number start range on row 912 of the table.</t>
  </si>
  <si>
    <t>Enter the CCUS credit serial number start range on row 913 of the table.</t>
  </si>
  <si>
    <t>Enter the CCUS credit serial number start range on row 914 of the table.</t>
  </si>
  <si>
    <t>Enter the CCUS credit serial number start range on row 915 of the table.</t>
  </si>
  <si>
    <t>Enter the CCUS credit serial number start range on row 916 of the table.</t>
  </si>
  <si>
    <t>Enter the CCUS credit serial number start range on row 917 of the table.</t>
  </si>
  <si>
    <t>Enter the CCUS credit serial number start range on row 918 of the table.</t>
  </si>
  <si>
    <t>Enter the CCUS credit serial number start range on row 919 of the table.</t>
  </si>
  <si>
    <t>Enter the CCUS credit serial number start range on row 920 of the table.</t>
  </si>
  <si>
    <t>Enter the CCUS credit serial number start range on row 921 of the table.</t>
  </si>
  <si>
    <t>Enter the CCUS credit serial number start range on row 922 of the table.</t>
  </si>
  <si>
    <t>Enter the CCUS credit serial number start range on row 923 of the table.</t>
  </si>
  <si>
    <t>Enter the CCUS credit serial number start range on row 924 of the table.</t>
  </si>
  <si>
    <t>Enter the CCUS credit serial number start range on row 925 of the table.</t>
  </si>
  <si>
    <t>Enter the CCUS credit serial number start range on row 926 of the table.</t>
  </si>
  <si>
    <t>Enter the CCUS credit serial number start range on row 927 of the table.</t>
  </si>
  <si>
    <t>Enter the CCUS credit serial number start range on row 928 of the table.</t>
  </si>
  <si>
    <t>Enter the CCUS credit serial number start range on row 929 of the table.</t>
  </si>
  <si>
    <t>Enter the CCUS credit serial number start range on row 930 of the table.</t>
  </si>
  <si>
    <t>Enter the CCUS credit serial number start range on row 931 of the table.</t>
  </si>
  <si>
    <t>Enter the CCUS credit serial number start range on row 932 of the table.</t>
  </si>
  <si>
    <t>Enter the CCUS credit serial number start range on row 933 of the table.</t>
  </si>
  <si>
    <t>Enter the CCUS credit serial number start range on row 934 of the table.</t>
  </si>
  <si>
    <t>Enter the CCUS credit serial number start range on row 935 of the table.</t>
  </si>
  <si>
    <t>Enter the CCUS credit serial number start range on row 936 of the table.</t>
  </si>
  <si>
    <t>Enter the CCUS credit serial number start range on row 937 of the table.</t>
  </si>
  <si>
    <t>Enter the CCUS credit serial number start range on row 938 of the table.</t>
  </si>
  <si>
    <t>Enter the CCUS credit serial number start range on row 939 of the table.</t>
  </si>
  <si>
    <t>Enter the CCUS credit serial number start range on row 940 of the table.</t>
  </si>
  <si>
    <t>Enter the CCUS credit serial number start range on row 941 of the table.</t>
  </si>
  <si>
    <t>Enter the CCUS credit serial number start range on row 942 of the table.</t>
  </si>
  <si>
    <t>Enter the CCUS credit serial number start range on row 943 of the table.</t>
  </si>
  <si>
    <t>Enter the CCUS credit serial number start range on row 944 of the table.</t>
  </si>
  <si>
    <t>Enter the CCUS credit serial number start range on row 945 of the table.</t>
  </si>
  <si>
    <t>Enter the CCUS credit serial number start range on row 946 of the table.</t>
  </si>
  <si>
    <t>Enter the CCUS credit serial number start range on row 947 of the table.</t>
  </si>
  <si>
    <t>Enter the CCUS credit serial number start range on row 948 of the table.</t>
  </si>
  <si>
    <t>Enter the CCUS credit serial number start range on row 949 of the table.</t>
  </si>
  <si>
    <t>Enter the CCUS credit serial number start range on row 950 of the table.</t>
  </si>
  <si>
    <t>Enter the CCUS credit serial number start range on row 951 of the table.</t>
  </si>
  <si>
    <t>Enter the CCUS credit serial number start range on row 952 of the table.</t>
  </si>
  <si>
    <t>Enter the CCUS credit serial number start range on row 953 of the table.</t>
  </si>
  <si>
    <t>Enter the CCUS credit serial number start range on row 954 of the table.</t>
  </si>
  <si>
    <t>Enter the CCUS credit serial number start range on row 955 of the table.</t>
  </si>
  <si>
    <t>Enter the CCUS credit serial number start range on row 956 of the table.</t>
  </si>
  <si>
    <t>Enter the CCUS credit serial number start range on row 957 of the table.</t>
  </si>
  <si>
    <t>Enter the CCUS credit serial number start range on row 958 of the table.</t>
  </si>
  <si>
    <t>Enter the CCUS credit serial number start range on row 959 of the table.</t>
  </si>
  <si>
    <t>Enter the CCUS credit serial number start range on row 960 of the table.</t>
  </si>
  <si>
    <t>Enter the CCUS credit serial number start range on row 961 of the table.</t>
  </si>
  <si>
    <t>Enter the CCUS credit serial number start range on row 962 of the table.</t>
  </si>
  <si>
    <t>Enter the CCUS credit serial number start range on row 963 of the table.</t>
  </si>
  <si>
    <t>Enter the CCUS credit serial number start range on row 964 of the table.</t>
  </si>
  <si>
    <t>Enter the CCUS credit serial number start range on row 965 of the table.</t>
  </si>
  <si>
    <t>Enter the CCUS credit serial number start range on row 966 of the table.</t>
  </si>
  <si>
    <t>Enter the CCUS credit serial number start range on row 967 of the table.</t>
  </si>
  <si>
    <t>Enter the CCUS credit serial number start range on row 968 of the table.</t>
  </si>
  <si>
    <t>Enter the CCUS credit serial number start range on row 969 of the table.</t>
  </si>
  <si>
    <t>Enter the CCUS credit serial number start range on row 970 of the table.</t>
  </si>
  <si>
    <t>Enter the CCUS credit serial number start range on row 971 of the table.</t>
  </si>
  <si>
    <t>Enter the CCUS credit serial number start range on row 972 of the table.</t>
  </si>
  <si>
    <t>Enter the CCUS credit serial number start range on row 973 of the table.</t>
  </si>
  <si>
    <t>Enter the CCUS credit serial number start range on row 974 of the table.</t>
  </si>
  <si>
    <t>Enter the CCUS credit serial number start range on row 975 of the table.</t>
  </si>
  <si>
    <t>Enter the CCUS credit serial number start range on row 976 of the table.</t>
  </si>
  <si>
    <t>Enter the CCUS credit serial number start range on row 977 of the table.</t>
  </si>
  <si>
    <t>Enter the CCUS credit serial number start range on row 978 of the table.</t>
  </si>
  <si>
    <t>Enter the CCUS credit serial number start range on row 979 of the table.</t>
  </si>
  <si>
    <t>Enter the CCUS credit serial number start range on row 980 of the table.</t>
  </si>
  <si>
    <t>Enter the CCUS credit serial number start range on row 981 of the table.</t>
  </si>
  <si>
    <t>Enter the CCUS credit serial number start range on row 982 of the table.</t>
  </si>
  <si>
    <t>Enter the CCUS credit serial number start range on row 983 of the table.</t>
  </si>
  <si>
    <t>Enter the CCUS credit serial number start range on row 984 of the table.</t>
  </si>
  <si>
    <t>Enter the CCUS credit serial number start range on row 985 of the table.</t>
  </si>
  <si>
    <t>Enter the CCUS credit serial number start range on row 986 of the table.</t>
  </si>
  <si>
    <t>Enter the CCUS credit serial number start range on row 987 of the table.</t>
  </si>
  <si>
    <t>Enter the CCUS credit serial number start range on row 988 of the table.</t>
  </si>
  <si>
    <t>Enter the CCUS credit serial number start range on row 989 of the table.</t>
  </si>
  <si>
    <t>Enter the CCUS credit serial number start range on row 990 of the table.</t>
  </si>
  <si>
    <t>Enter the CCUS credit serial number start range on row 991 of the table.</t>
  </si>
  <si>
    <t>Enter the CCUS credit serial number start range on row 992 of the table.</t>
  </si>
  <si>
    <t>Enter the CCUS credit serial number start range on row 993 of the table.</t>
  </si>
  <si>
    <t>Enter the CCUS credit serial number start range on row 994 of the table.</t>
  </si>
  <si>
    <t>Enter the CCUS credit serial number start range on row 995 of the table.</t>
  </si>
  <si>
    <t>Enter the CCUS credit serial number start range on row 996 of the table.</t>
  </si>
  <si>
    <t>Enter the CCUS credit serial number start range on row 997 of the table.</t>
  </si>
  <si>
    <t>Enter the CCUS credit serial number start range on row 998 of the table.</t>
  </si>
  <si>
    <t>Enter the CCUS credit serial number start range on row 999 of the table.</t>
  </si>
  <si>
    <t>Enter the CCUS credit serial number start range on row 1000 of the table.</t>
  </si>
  <si>
    <t>Enter the CCUS credit serial number end range on row 1 of the table.</t>
  </si>
  <si>
    <t>Enter the CCUS credit serial number end range on row 2 of the table.</t>
  </si>
  <si>
    <t>Enter the CCUS credit serial number end range on row 3 of the table.</t>
  </si>
  <si>
    <t>Enter the CCUS credit serial number end range on row 4 of the table.</t>
  </si>
  <si>
    <t>Enter the CCUS credit serial number end range on row 5 of the table.</t>
  </si>
  <si>
    <t>Enter the CCUS credit serial number end range on row 6 of the table.</t>
  </si>
  <si>
    <t>Enter the CCUS credit serial number end range on row 7 of the table.</t>
  </si>
  <si>
    <t>Enter the CCUS credit serial number end range on row 8 of the table.</t>
  </si>
  <si>
    <t>Enter the CCUS credit serial number end range on row 9 of the table.</t>
  </si>
  <si>
    <t>Enter the CCUS credit serial number end range on row 10 of the table.</t>
  </si>
  <si>
    <t>Enter the CCUS credit serial number end range on row 11 of the table.</t>
  </si>
  <si>
    <t>Enter the CCUS credit serial number end range on row 12 of the table.</t>
  </si>
  <si>
    <t>Enter the CCUS credit serial number end range on row 13 of the table.</t>
  </si>
  <si>
    <t>Enter the CCUS credit serial number end range on row 14 of the table.</t>
  </si>
  <si>
    <t>Enter the CCUS credit serial number end range on row 15 of the table.</t>
  </si>
  <si>
    <t>Enter the CCUS credit serial number end range on row 16 of the table.</t>
  </si>
  <si>
    <t>Enter the CCUS credit serial number end range on row 17 of the table.</t>
  </si>
  <si>
    <t>Enter the CCUS credit serial number end range on row 18 of the table.</t>
  </si>
  <si>
    <t>Enter the CCUS credit serial number end range on row 19 of the table.</t>
  </si>
  <si>
    <t>Enter the CCUS credit serial number end range on row 20 of the table.</t>
  </si>
  <si>
    <t>Enter the CCUS credit serial number end range on row 21 of the table.</t>
  </si>
  <si>
    <t>Enter the CCUS credit serial number end range on row 22 of the table.</t>
  </si>
  <si>
    <t>Enter the CCUS credit serial number end range on row 23 of the table.</t>
  </si>
  <si>
    <t>Enter the CCUS credit serial number end range on row 24 of the table.</t>
  </si>
  <si>
    <t>Enter the CCUS credit serial number end range on row 25 of the table.</t>
  </si>
  <si>
    <t>Enter the CCUS credit serial number end range on row 26 of the table.</t>
  </si>
  <si>
    <t>Enter the CCUS credit serial number end range on row 27 of the table.</t>
  </si>
  <si>
    <t>Enter the CCUS credit serial number end range on row 28 of the table.</t>
  </si>
  <si>
    <t>Enter the CCUS credit serial number end range on row 29 of the table.</t>
  </si>
  <si>
    <t>Enter the CCUS credit serial number end range on row 30 of the table.</t>
  </si>
  <si>
    <t>Enter the CCUS credit serial number end range on row 31 of the table.</t>
  </si>
  <si>
    <t>Enter the CCUS credit serial number end range on row 32 of the table.</t>
  </si>
  <si>
    <t>Enter the CCUS credit serial number end range on row 33 of the table.</t>
  </si>
  <si>
    <t>Enter the CCUS credit serial number end range on row 34 of the table.</t>
  </si>
  <si>
    <t>Enter the CCUS credit serial number end range on row 35 of the table.</t>
  </si>
  <si>
    <t>Enter the CCUS credit serial number end range on row 36 of the table.</t>
  </si>
  <si>
    <t>Enter the CCUS credit serial number end range on row 37 of the table.</t>
  </si>
  <si>
    <t>Enter the CCUS credit serial number end range on row 38 of the table.</t>
  </si>
  <si>
    <t>Enter the CCUS credit serial number end range on row 39 of the table.</t>
  </si>
  <si>
    <t>Enter the CCUS credit serial number end range on row 40 of the table.</t>
  </si>
  <si>
    <t>Enter the CCUS credit serial number end range on row 41 of the table.</t>
  </si>
  <si>
    <t>Enter the CCUS credit serial number end range on row 42 of the table.</t>
  </si>
  <si>
    <t>Enter the CCUS credit serial number end range on row 43 of the table.</t>
  </si>
  <si>
    <t>Enter the CCUS credit serial number end range on row 44 of the table.</t>
  </si>
  <si>
    <t>Enter the CCUS credit serial number end range on row 45 of the table.</t>
  </si>
  <si>
    <t>Enter the CCUS credit serial number end range on row 46 of the table.</t>
  </si>
  <si>
    <t>Enter the CCUS credit serial number end range on row 47 of the table.</t>
  </si>
  <si>
    <t>Enter the CCUS credit serial number end range on row 48 of the table.</t>
  </si>
  <si>
    <t>Enter the CCUS credit serial number end range on row 49 of the table.</t>
  </si>
  <si>
    <t>Enter the CCUS credit serial number end range on row 50 of the table.</t>
  </si>
  <si>
    <t>Enter the CCUS credit serial number end range on row 51 of the table.</t>
  </si>
  <si>
    <t>Enter the CCUS credit serial number end range on row 52 of the table.</t>
  </si>
  <si>
    <t>Enter the CCUS credit serial number end range on row 53 of the table.</t>
  </si>
  <si>
    <t>Enter the CCUS credit serial number end range on row 54 of the table.</t>
  </si>
  <si>
    <t>Enter the CCUS credit serial number end range on row 55 of the table.</t>
  </si>
  <si>
    <t>Enter the CCUS credit serial number end range on row 56 of the table.</t>
  </si>
  <si>
    <t>Enter the CCUS credit serial number end range on row 57 of the table.</t>
  </si>
  <si>
    <t>Enter the CCUS credit serial number end range on row 58 of the table.</t>
  </si>
  <si>
    <t>Enter the CCUS credit serial number end range on row 59 of the table.</t>
  </si>
  <si>
    <t>Enter the CCUS credit serial number end range on row 60 of the table.</t>
  </si>
  <si>
    <t>Enter the CCUS credit serial number end range on row 61 of the table.</t>
  </si>
  <si>
    <t>Enter the CCUS credit serial number end range on row 62 of the table.</t>
  </si>
  <si>
    <t>Enter the CCUS credit serial number end range on row 63 of the table.</t>
  </si>
  <si>
    <t>Enter the CCUS credit serial number end range on row 64 of the table.</t>
  </si>
  <si>
    <t>Enter the CCUS credit serial number end range on row 65 of the table.</t>
  </si>
  <si>
    <t>Enter the CCUS credit serial number end range on row 66 of the table.</t>
  </si>
  <si>
    <t>Enter the CCUS credit serial number end range on row 67 of the table.</t>
  </si>
  <si>
    <t>Enter the CCUS credit serial number end range on row 68 of the table.</t>
  </si>
  <si>
    <t>Enter the CCUS credit serial number end range on row 69 of the table.</t>
  </si>
  <si>
    <t>Enter the CCUS credit serial number end range on row 70 of the table.</t>
  </si>
  <si>
    <t>Enter the CCUS credit serial number end range on row 71 of the table.</t>
  </si>
  <si>
    <t>Enter the CCUS credit serial number end range on row 72 of the table.</t>
  </si>
  <si>
    <t>Enter the CCUS credit serial number end range on row 73 of the table.</t>
  </si>
  <si>
    <t>Enter the CCUS credit serial number end range on row 74 of the table.</t>
  </si>
  <si>
    <t>Enter the CCUS credit serial number end range on row 75 of the table.</t>
  </si>
  <si>
    <t>Enter the CCUS credit serial number end range on row 76 of the table.</t>
  </si>
  <si>
    <t>Enter the CCUS credit serial number end range on row 77 of the table.</t>
  </si>
  <si>
    <t>Enter the CCUS credit serial number end range on row 78 of the table.</t>
  </si>
  <si>
    <t>Enter the CCUS credit serial number end range on row 79 of the table.</t>
  </si>
  <si>
    <t>Enter the CCUS credit serial number end range on row 80 of the table.</t>
  </si>
  <si>
    <t>Enter the CCUS credit serial number end range on row 81 of the table.</t>
  </si>
  <si>
    <t>Enter the CCUS credit serial number end range on row 82 of the table.</t>
  </si>
  <si>
    <t>Enter the CCUS credit serial number end range on row 83 of the table.</t>
  </si>
  <si>
    <t>Enter the CCUS credit serial number end range on row 84 of the table.</t>
  </si>
  <si>
    <t>Enter the CCUS credit serial number end range on row 85 of the table.</t>
  </si>
  <si>
    <t>Enter the CCUS credit serial number end range on row 86 of the table.</t>
  </si>
  <si>
    <t>Enter the CCUS credit serial number end range on row 87 of the table.</t>
  </si>
  <si>
    <t>Enter the CCUS credit serial number end range on row 88 of the table.</t>
  </si>
  <si>
    <t>Enter the CCUS credit serial number end range on row 89 of the table.</t>
  </si>
  <si>
    <t>Enter the CCUS credit serial number end range on row 90 of the table.</t>
  </si>
  <si>
    <t>Enter the CCUS credit serial number end range on row 91 of the table.</t>
  </si>
  <si>
    <t>Enter the CCUS credit serial number end range on row 92 of the table.</t>
  </si>
  <si>
    <t>Enter the CCUS credit serial number end range on row 93 of the table.</t>
  </si>
  <si>
    <t>Enter the CCUS credit serial number end range on row 94 of the table.</t>
  </si>
  <si>
    <t>Enter the CCUS credit serial number end range on row 95 of the table.</t>
  </si>
  <si>
    <t>Enter the CCUS credit serial number end range on row 96 of the table.</t>
  </si>
  <si>
    <t>Enter the CCUS credit serial number end range on row 97 of the table.</t>
  </si>
  <si>
    <t>Enter the CCUS credit serial number end range on row 98 of the table.</t>
  </si>
  <si>
    <t>Enter the CCUS credit serial number end range on row 99 of the table.</t>
  </si>
  <si>
    <t>Enter the CCUS credit serial number end range on row 100 of the table.</t>
  </si>
  <si>
    <t>Enter the CCUS credit serial number end range on row 101 of the table.</t>
  </si>
  <si>
    <t>Enter the CCUS credit serial number end range on row 102 of the table.</t>
  </si>
  <si>
    <t>Enter the CCUS credit serial number end range on row 103 of the table.</t>
  </si>
  <si>
    <t>Enter the CCUS credit serial number end range on row 104 of the table.</t>
  </si>
  <si>
    <t>Enter the CCUS credit serial number end range on row 105 of the table.</t>
  </si>
  <si>
    <t>Enter the CCUS credit serial number end range on row 106 of the table.</t>
  </si>
  <si>
    <t>Enter the CCUS credit serial number end range on row 107 of the table.</t>
  </si>
  <si>
    <t>Enter the CCUS credit serial number end range on row 108 of the table.</t>
  </si>
  <si>
    <t>Enter the CCUS credit serial number end range on row 109 of the table.</t>
  </si>
  <si>
    <t>Enter the CCUS credit serial number end range on row 110 of the table.</t>
  </si>
  <si>
    <t>Enter the CCUS credit serial number end range on row 111 of the table.</t>
  </si>
  <si>
    <t>Enter the CCUS credit serial number end range on row 112 of the table.</t>
  </si>
  <si>
    <t>Enter the CCUS credit serial number end range on row 113 of the table.</t>
  </si>
  <si>
    <t>Enter the CCUS credit serial number end range on row 114 of the table.</t>
  </si>
  <si>
    <t>Enter the CCUS credit serial number end range on row 115 of the table.</t>
  </si>
  <si>
    <t>Enter the CCUS credit serial number end range on row 116 of the table.</t>
  </si>
  <si>
    <t>Enter the CCUS credit serial number end range on row 117 of the table.</t>
  </si>
  <si>
    <t>Enter the CCUS credit serial number end range on row 118 of the table.</t>
  </si>
  <si>
    <t>Enter the CCUS credit serial number end range on row 119 of the table.</t>
  </si>
  <si>
    <t>Enter the CCUS credit serial number end range on row 120 of the table.</t>
  </si>
  <si>
    <t>Enter the CCUS credit serial number end range on row 121 of the table.</t>
  </si>
  <si>
    <t>Enter the CCUS credit serial number end range on row 122 of the table.</t>
  </si>
  <si>
    <t>Enter the CCUS credit serial number end range on row 123 of the table.</t>
  </si>
  <si>
    <t>Enter the CCUS credit serial number end range on row 124 of the table.</t>
  </si>
  <si>
    <t>Enter the CCUS credit serial number end range on row 125 of the table.</t>
  </si>
  <si>
    <t>Enter the CCUS credit serial number end range on row 126 of the table.</t>
  </si>
  <si>
    <t>Enter the CCUS credit serial number end range on row 127 of the table.</t>
  </si>
  <si>
    <t>Enter the CCUS credit serial number end range on row 128 of the table.</t>
  </si>
  <si>
    <t>Enter the CCUS credit serial number end range on row 129 of the table.</t>
  </si>
  <si>
    <t>Enter the CCUS credit serial number end range on row 130 of the table.</t>
  </si>
  <si>
    <t>Enter the CCUS credit serial number end range on row 131 of the table.</t>
  </si>
  <si>
    <t>Enter the CCUS credit serial number end range on row 132 of the table.</t>
  </si>
  <si>
    <t>Enter the CCUS credit serial number end range on row 133 of the table.</t>
  </si>
  <si>
    <t>Enter the CCUS credit serial number end range on row 134 of the table.</t>
  </si>
  <si>
    <t>Enter the CCUS credit serial number end range on row 135 of the table.</t>
  </si>
  <si>
    <t>Enter the CCUS credit serial number end range on row 136 of the table.</t>
  </si>
  <si>
    <t>Enter the CCUS credit serial number end range on row 137 of the table.</t>
  </si>
  <si>
    <t>Enter the CCUS credit serial number end range on row 138 of the table.</t>
  </si>
  <si>
    <t>Enter the CCUS credit serial number end range on row 139 of the table.</t>
  </si>
  <si>
    <t>Enter the CCUS credit serial number end range on row 140 of the table.</t>
  </si>
  <si>
    <t>Enter the CCUS credit serial number end range on row 141 of the table.</t>
  </si>
  <si>
    <t>Enter the CCUS credit serial number end range on row 142 of the table.</t>
  </si>
  <si>
    <t>Enter the CCUS credit serial number end range on row 143 of the table.</t>
  </si>
  <si>
    <t>Enter the CCUS credit serial number end range on row 144 of the table.</t>
  </si>
  <si>
    <t>Enter the CCUS credit serial number end range on row 145 of the table.</t>
  </si>
  <si>
    <t>Enter the CCUS credit serial number end range on row 146 of the table.</t>
  </si>
  <si>
    <t>Enter the CCUS credit serial number end range on row 147 of the table.</t>
  </si>
  <si>
    <t>Enter the CCUS credit serial number end range on row 148 of the table.</t>
  </si>
  <si>
    <t>Enter the CCUS credit serial number end range on row 149 of the table.</t>
  </si>
  <si>
    <t>Enter the CCUS credit serial number end range on row 150 of the table.</t>
  </si>
  <si>
    <t>Enter the CCUS credit serial number end range on row 151 of the table.</t>
  </si>
  <si>
    <t>Enter the CCUS credit serial number end range on row 152 of the table.</t>
  </si>
  <si>
    <t>Enter the CCUS credit serial number end range on row 153 of the table.</t>
  </si>
  <si>
    <t>Enter the CCUS credit serial number end range on row 154 of the table.</t>
  </si>
  <si>
    <t>Enter the CCUS credit serial number end range on row 155 of the table.</t>
  </si>
  <si>
    <t>Enter the CCUS credit serial number end range on row 156 of the table.</t>
  </si>
  <si>
    <t>Enter the CCUS credit serial number end range on row 157 of the table.</t>
  </si>
  <si>
    <t>Enter the CCUS credit serial number end range on row 158 of the table.</t>
  </si>
  <si>
    <t>Enter the CCUS credit serial number end range on row 159 of the table.</t>
  </si>
  <si>
    <t>Enter the CCUS credit serial number end range on row 160 of the table.</t>
  </si>
  <si>
    <t>Enter the CCUS credit serial number end range on row 161 of the table.</t>
  </si>
  <si>
    <t>Enter the CCUS credit serial number end range on row 162 of the table.</t>
  </si>
  <si>
    <t>Enter the CCUS credit serial number end range on row 163 of the table.</t>
  </si>
  <si>
    <t>Enter the CCUS credit serial number end range on row 164 of the table.</t>
  </si>
  <si>
    <t>Enter the CCUS credit serial number end range on row 165 of the table.</t>
  </si>
  <si>
    <t>Enter the CCUS credit serial number end range on row 166 of the table.</t>
  </si>
  <si>
    <t>Enter the CCUS credit serial number end range on row 167 of the table.</t>
  </si>
  <si>
    <t>Enter the CCUS credit serial number end range on row 168 of the table.</t>
  </si>
  <si>
    <t>Enter the CCUS credit serial number end range on row 169 of the table.</t>
  </si>
  <si>
    <t>Enter the CCUS credit serial number end range on row 170 of the table.</t>
  </si>
  <si>
    <t>Enter the CCUS credit serial number end range on row 171 of the table.</t>
  </si>
  <si>
    <t>Enter the CCUS credit serial number end range on row 172 of the table.</t>
  </si>
  <si>
    <t>Enter the CCUS credit serial number end range on row 173 of the table.</t>
  </si>
  <si>
    <t>Enter the CCUS credit serial number end range on row 174 of the table.</t>
  </si>
  <si>
    <t>Enter the CCUS credit serial number end range on row 175 of the table.</t>
  </si>
  <si>
    <t>Enter the CCUS credit serial number end range on row 176 of the table.</t>
  </si>
  <si>
    <t>Enter the CCUS credit serial number end range on row 177 of the table.</t>
  </si>
  <si>
    <t>Enter the CCUS credit serial number end range on row 178 of the table.</t>
  </si>
  <si>
    <t>Enter the CCUS credit serial number end range on row 179 of the table.</t>
  </si>
  <si>
    <t>Enter the CCUS credit serial number end range on row 180 of the table.</t>
  </si>
  <si>
    <t>Enter the CCUS credit serial number end range on row 181 of the table.</t>
  </si>
  <si>
    <t>Enter the CCUS credit serial number end range on row 182 of the table.</t>
  </si>
  <si>
    <t>Enter the CCUS credit serial number end range on row 183 of the table.</t>
  </si>
  <si>
    <t>Enter the CCUS credit serial number end range on row 184 of the table.</t>
  </si>
  <si>
    <t>Enter the CCUS credit serial number end range on row 185 of the table.</t>
  </si>
  <si>
    <t>Enter the CCUS credit serial number end range on row 186 of the table.</t>
  </si>
  <si>
    <t>Enter the CCUS credit serial number end range on row 187 of the table.</t>
  </si>
  <si>
    <t>Enter the CCUS credit serial number end range on row 188 of the table.</t>
  </si>
  <si>
    <t>Enter the CCUS credit serial number end range on row 189 of the table.</t>
  </si>
  <si>
    <t>Enter the CCUS credit serial number end range on row 190 of the table.</t>
  </si>
  <si>
    <t>Enter the CCUS credit serial number end range on row 191 of the table.</t>
  </si>
  <si>
    <t>Enter the CCUS credit serial number end range on row 192 of the table.</t>
  </si>
  <si>
    <t>Enter the CCUS credit serial number end range on row 193 of the table.</t>
  </si>
  <si>
    <t>Enter the CCUS credit serial number end range on row 194 of the table.</t>
  </si>
  <si>
    <t>Enter the CCUS credit serial number end range on row 195 of the table.</t>
  </si>
  <si>
    <t>Enter the CCUS credit serial number end range on row 196 of the table.</t>
  </si>
  <si>
    <t>Enter the CCUS credit serial number end range on row 197 of the table.</t>
  </si>
  <si>
    <t>Enter the CCUS credit serial number end range on row 198 of the table.</t>
  </si>
  <si>
    <t>Enter the CCUS credit serial number end range on row 199 of the table.</t>
  </si>
  <si>
    <t>Enter the CCUS credit serial number end range on row 200 of the table.</t>
  </si>
  <si>
    <t>Enter the CCUS credit serial number end range on row 201 of the table.</t>
  </si>
  <si>
    <t>Enter the CCUS credit serial number end range on row 202 of the table.</t>
  </si>
  <si>
    <t>Enter the CCUS credit serial number end range on row 203 of the table.</t>
  </si>
  <si>
    <t>Enter the CCUS credit serial number end range on row 204 of the table.</t>
  </si>
  <si>
    <t>Enter the CCUS credit serial number end range on row 205 of the table.</t>
  </si>
  <si>
    <t>Enter the CCUS credit serial number end range on row 206 of the table.</t>
  </si>
  <si>
    <t>Enter the CCUS credit serial number end range on row 207 of the table.</t>
  </si>
  <si>
    <t>Enter the CCUS credit serial number end range on row 208 of the table.</t>
  </si>
  <si>
    <t>Enter the CCUS credit serial number end range on row 209 of the table.</t>
  </si>
  <si>
    <t>Enter the CCUS credit serial number end range on row 210 of the table.</t>
  </si>
  <si>
    <t>Enter the CCUS credit serial number end range on row 211 of the table.</t>
  </si>
  <si>
    <t>Enter the CCUS credit serial number end range on row 212 of the table.</t>
  </si>
  <si>
    <t>Enter the CCUS credit serial number end range on row 213 of the table.</t>
  </si>
  <si>
    <t>Enter the CCUS credit serial number end range on row 214 of the table.</t>
  </si>
  <si>
    <t>Enter the CCUS credit serial number end range on row 215 of the table.</t>
  </si>
  <si>
    <t>Enter the CCUS credit serial number end range on row 216 of the table.</t>
  </si>
  <si>
    <t>Enter the CCUS credit serial number end range on row 217 of the table.</t>
  </si>
  <si>
    <t>Enter the CCUS credit serial number end range on row 218 of the table.</t>
  </si>
  <si>
    <t>Enter the CCUS credit serial number end range on row 219 of the table.</t>
  </si>
  <si>
    <t>Enter the CCUS credit serial number end range on row 220 of the table.</t>
  </si>
  <si>
    <t>Enter the CCUS credit serial number end range on row 221 of the table.</t>
  </si>
  <si>
    <t>Enter the CCUS credit serial number end range on row 222 of the table.</t>
  </si>
  <si>
    <t>Enter the CCUS credit serial number end range on row 223 of the table.</t>
  </si>
  <si>
    <t>Enter the CCUS credit serial number end range on row 224 of the table.</t>
  </si>
  <si>
    <t>Enter the CCUS credit serial number end range on row 225 of the table.</t>
  </si>
  <si>
    <t>Enter the CCUS credit serial number end range on row 226 of the table.</t>
  </si>
  <si>
    <t>Enter the CCUS credit serial number end range on row 227 of the table.</t>
  </si>
  <si>
    <t>Enter the CCUS credit serial number end range on row 228 of the table.</t>
  </si>
  <si>
    <t>Enter the CCUS credit serial number end range on row 229 of the table.</t>
  </si>
  <si>
    <t>Enter the CCUS credit serial number end range on row 230 of the table.</t>
  </si>
  <si>
    <t>Enter the CCUS credit serial number end range on row 231 of the table.</t>
  </si>
  <si>
    <t>Enter the CCUS credit serial number end range on row 232 of the table.</t>
  </si>
  <si>
    <t>Enter the CCUS credit serial number end range on row 233 of the table.</t>
  </si>
  <si>
    <t>Enter the CCUS credit serial number end range on row 234 of the table.</t>
  </si>
  <si>
    <t>Enter the CCUS credit serial number end range on row 235 of the table.</t>
  </si>
  <si>
    <t>Enter the CCUS credit serial number end range on row 236 of the table.</t>
  </si>
  <si>
    <t>Enter the CCUS credit serial number end range on row 237 of the table.</t>
  </si>
  <si>
    <t>Enter the CCUS credit serial number end range on row 238 of the table.</t>
  </si>
  <si>
    <t>Enter the CCUS credit serial number end range on row 239 of the table.</t>
  </si>
  <si>
    <t>Enter the CCUS credit serial number end range on row 240 of the table.</t>
  </si>
  <si>
    <t>Enter the CCUS credit serial number end range on row 241 of the table.</t>
  </si>
  <si>
    <t>Enter the CCUS credit serial number end range on row 242 of the table.</t>
  </si>
  <si>
    <t>Enter the CCUS credit serial number end range on row 243 of the table.</t>
  </si>
  <si>
    <t>Enter the CCUS credit serial number end range on row 244 of the table.</t>
  </si>
  <si>
    <t>Enter the CCUS credit serial number end range on row 245 of the table.</t>
  </si>
  <si>
    <t>Enter the CCUS credit serial number end range on row 246 of the table.</t>
  </si>
  <si>
    <t>Enter the CCUS credit serial number end range on row 247 of the table.</t>
  </si>
  <si>
    <t>Enter the CCUS credit serial number end range on row 248 of the table.</t>
  </si>
  <si>
    <t>Enter the CCUS credit serial number end range on row 249 of the table.</t>
  </si>
  <si>
    <t>Enter the CCUS credit serial number end range on row 250 of the table.</t>
  </si>
  <si>
    <t>Enter the CCUS credit serial number end range on row 251 of the table.</t>
  </si>
  <si>
    <t>Enter the CCUS credit serial number end range on row 252 of the table.</t>
  </si>
  <si>
    <t>Enter the CCUS credit serial number end range on row 253 of the table.</t>
  </si>
  <si>
    <t>Enter the CCUS credit serial number end range on row 254 of the table.</t>
  </si>
  <si>
    <t>Enter the CCUS credit serial number end range on row 255 of the table.</t>
  </si>
  <si>
    <t>Enter the CCUS credit serial number end range on row 256 of the table.</t>
  </si>
  <si>
    <t>Enter the CCUS credit serial number end range on row 257 of the table.</t>
  </si>
  <si>
    <t>Enter the CCUS credit serial number end range on row 258 of the table.</t>
  </si>
  <si>
    <t>Enter the CCUS credit serial number end range on row 259 of the table.</t>
  </si>
  <si>
    <t>Enter the CCUS credit serial number end range on row 260 of the table.</t>
  </si>
  <si>
    <t>Enter the CCUS credit serial number end range on row 261 of the table.</t>
  </si>
  <si>
    <t>Enter the CCUS credit serial number end range on row 262 of the table.</t>
  </si>
  <si>
    <t>Enter the CCUS credit serial number end range on row 263 of the table.</t>
  </si>
  <si>
    <t>Enter the CCUS credit serial number end range on row 264 of the table.</t>
  </si>
  <si>
    <t>Enter the CCUS credit serial number end range on row 265 of the table.</t>
  </si>
  <si>
    <t>Enter the CCUS credit serial number end range on row 266 of the table.</t>
  </si>
  <si>
    <t>Enter the CCUS credit serial number end range on row 267 of the table.</t>
  </si>
  <si>
    <t>Enter the CCUS credit serial number end range on row 268 of the table.</t>
  </si>
  <si>
    <t>Enter the CCUS credit serial number end range on row 269 of the table.</t>
  </si>
  <si>
    <t>Enter the CCUS credit serial number end range on row 270 of the table.</t>
  </si>
  <si>
    <t>Enter the CCUS credit serial number end range on row 271 of the table.</t>
  </si>
  <si>
    <t>Enter the CCUS credit serial number end range on row 272 of the table.</t>
  </si>
  <si>
    <t>Enter the CCUS credit serial number end range on row 273 of the table.</t>
  </si>
  <si>
    <t>Enter the CCUS credit serial number end range on row 274 of the table.</t>
  </si>
  <si>
    <t>Enter the CCUS credit serial number end range on row 275 of the table.</t>
  </si>
  <si>
    <t>Enter the CCUS credit serial number end range on row 276 of the table.</t>
  </si>
  <si>
    <t>Enter the CCUS credit serial number end range on row 277 of the table.</t>
  </si>
  <si>
    <t>Enter the CCUS credit serial number end range on row 278 of the table.</t>
  </si>
  <si>
    <t>Enter the CCUS credit serial number end range on row 279 of the table.</t>
  </si>
  <si>
    <t>Enter the CCUS credit serial number end range on row 280 of the table.</t>
  </si>
  <si>
    <t>Enter the CCUS credit serial number end range on row 281 of the table.</t>
  </si>
  <si>
    <t>Enter the CCUS credit serial number end range on row 282 of the table.</t>
  </si>
  <si>
    <t>Enter the CCUS credit serial number end range on row 283 of the table.</t>
  </si>
  <si>
    <t>Enter the CCUS credit serial number end range on row 284 of the table.</t>
  </si>
  <si>
    <t>Enter the CCUS credit serial number end range on row 285 of the table.</t>
  </si>
  <si>
    <t>Enter the CCUS credit serial number end range on row 286 of the table.</t>
  </si>
  <si>
    <t>Enter the CCUS credit serial number end range on row 287 of the table.</t>
  </si>
  <si>
    <t>Enter the CCUS credit serial number end range on row 288 of the table.</t>
  </si>
  <si>
    <t>Enter the CCUS credit serial number end range on row 289 of the table.</t>
  </si>
  <si>
    <t>Enter the CCUS credit serial number end range on row 290 of the table.</t>
  </si>
  <si>
    <t>Enter the CCUS credit serial number end range on row 291 of the table.</t>
  </si>
  <si>
    <t>Enter the CCUS credit serial number end range on row 292 of the table.</t>
  </si>
  <si>
    <t>Enter the CCUS credit serial number end range on row 293 of the table.</t>
  </si>
  <si>
    <t>Enter the CCUS credit serial number end range on row 294 of the table.</t>
  </si>
  <si>
    <t>Enter the CCUS credit serial number end range on row 295 of the table.</t>
  </si>
  <si>
    <t>Enter the CCUS credit serial number end range on row 296 of the table.</t>
  </si>
  <si>
    <t>Enter the CCUS credit serial number end range on row 297 of the table.</t>
  </si>
  <si>
    <t>Enter the CCUS credit serial number end range on row 298 of the table.</t>
  </si>
  <si>
    <t>Enter the CCUS credit serial number end range on row 299 of the table.</t>
  </si>
  <si>
    <t>Enter the CCUS credit serial number end range on row 300 of the table.</t>
  </si>
  <si>
    <t>Enter the CCUS credit serial number end range on row 301 of the table.</t>
  </si>
  <si>
    <t>Enter the CCUS credit serial number end range on row 302 of the table.</t>
  </si>
  <si>
    <t>Enter the CCUS credit serial number end range on row 303 of the table.</t>
  </si>
  <si>
    <t>Enter the CCUS credit serial number end range on row 304 of the table.</t>
  </si>
  <si>
    <t>Enter the CCUS credit serial number end range on row 305 of the table.</t>
  </si>
  <si>
    <t>Enter the CCUS credit serial number end range on row 306 of the table.</t>
  </si>
  <si>
    <t>Enter the CCUS credit serial number end range on row 307 of the table.</t>
  </si>
  <si>
    <t>Enter the CCUS credit serial number end range on row 308 of the table.</t>
  </si>
  <si>
    <t>Enter the CCUS credit serial number end range on row 309 of the table.</t>
  </si>
  <si>
    <t>Enter the CCUS credit serial number end range on row 310 of the table.</t>
  </si>
  <si>
    <t>Enter the CCUS credit serial number end range on row 311 of the table.</t>
  </si>
  <si>
    <t>Enter the CCUS credit serial number end range on row 312 of the table.</t>
  </si>
  <si>
    <t>Enter the CCUS credit serial number end range on row 313 of the table.</t>
  </si>
  <si>
    <t>Enter the CCUS credit serial number end range on row 314 of the table.</t>
  </si>
  <si>
    <t>Enter the CCUS credit serial number end range on row 315 of the table.</t>
  </si>
  <si>
    <t>Enter the CCUS credit serial number end range on row 316 of the table.</t>
  </si>
  <si>
    <t>Enter the CCUS credit serial number end range on row 317 of the table.</t>
  </si>
  <si>
    <t>Enter the CCUS credit serial number end range on row 318 of the table.</t>
  </si>
  <si>
    <t>Enter the CCUS credit serial number end range on row 319 of the table.</t>
  </si>
  <si>
    <t>Enter the CCUS credit serial number end range on row 320 of the table.</t>
  </si>
  <si>
    <t>Enter the CCUS credit serial number end range on row 321 of the table.</t>
  </si>
  <si>
    <t>Enter the CCUS credit serial number end range on row 322 of the table.</t>
  </si>
  <si>
    <t>Enter the CCUS credit serial number end range on row 323 of the table.</t>
  </si>
  <si>
    <t>Enter the CCUS credit serial number end range on row 324 of the table.</t>
  </si>
  <si>
    <t>Enter the CCUS credit serial number end range on row 325 of the table.</t>
  </si>
  <si>
    <t>Enter the CCUS credit serial number end range on row 326 of the table.</t>
  </si>
  <si>
    <t>Enter the CCUS credit serial number end range on row 327 of the table.</t>
  </si>
  <si>
    <t>Enter the CCUS credit serial number end range on row 328 of the table.</t>
  </si>
  <si>
    <t>Enter the CCUS credit serial number end range on row 329 of the table.</t>
  </si>
  <si>
    <t>Enter the CCUS credit serial number end range on row 330 of the table.</t>
  </si>
  <si>
    <t>Enter the CCUS credit serial number end range on row 331 of the table.</t>
  </si>
  <si>
    <t>Enter the CCUS credit serial number end range on row 332 of the table.</t>
  </si>
  <si>
    <t>Enter the CCUS credit serial number end range on row 333 of the table.</t>
  </si>
  <si>
    <t>Enter the CCUS credit serial number end range on row 334 of the table.</t>
  </si>
  <si>
    <t>Enter the CCUS credit serial number end range on row 335 of the table.</t>
  </si>
  <si>
    <t>Enter the CCUS credit serial number end range on row 336 of the table.</t>
  </si>
  <si>
    <t>Enter the CCUS credit serial number end range on row 337 of the table.</t>
  </si>
  <si>
    <t>Enter the CCUS credit serial number end range on row 338 of the table.</t>
  </si>
  <si>
    <t>Enter the CCUS credit serial number end range on row 339 of the table.</t>
  </si>
  <si>
    <t>Enter the CCUS credit serial number end range on row 340 of the table.</t>
  </si>
  <si>
    <t>Enter the CCUS credit serial number end range on row 341 of the table.</t>
  </si>
  <si>
    <t>Enter the CCUS credit serial number end range on row 342 of the table.</t>
  </si>
  <si>
    <t>Enter the CCUS credit serial number end range on row 343 of the table.</t>
  </si>
  <si>
    <t>Enter the CCUS credit serial number end range on row 344 of the table.</t>
  </si>
  <si>
    <t>Enter the CCUS credit serial number end range on row 345 of the table.</t>
  </si>
  <si>
    <t>Enter the CCUS credit serial number end range on row 346 of the table.</t>
  </si>
  <si>
    <t>Enter the CCUS credit serial number end range on row 347 of the table.</t>
  </si>
  <si>
    <t>Enter the CCUS credit serial number end range on row 348 of the table.</t>
  </si>
  <si>
    <t>Enter the CCUS credit serial number end range on row 349 of the table.</t>
  </si>
  <si>
    <t>Enter the CCUS credit serial number end range on row 350 of the table.</t>
  </si>
  <si>
    <t>Enter the CCUS credit serial number end range on row 351 of the table.</t>
  </si>
  <si>
    <t>Enter the CCUS credit serial number end range on row 352 of the table.</t>
  </si>
  <si>
    <t>Enter the CCUS credit serial number end range on row 353 of the table.</t>
  </si>
  <si>
    <t>Enter the CCUS credit serial number end range on row 354 of the table.</t>
  </si>
  <si>
    <t>Enter the CCUS credit serial number end range on row 355 of the table.</t>
  </si>
  <si>
    <t>Enter the CCUS credit serial number end range on row 356 of the table.</t>
  </si>
  <si>
    <t>Enter the CCUS credit serial number end range on row 357 of the table.</t>
  </si>
  <si>
    <t>Enter the CCUS credit serial number end range on row 358 of the table.</t>
  </si>
  <si>
    <t>Enter the CCUS credit serial number end range on row 359 of the table.</t>
  </si>
  <si>
    <t>Enter the CCUS credit serial number end range on row 360 of the table.</t>
  </si>
  <si>
    <t>Enter the CCUS credit serial number end range on row 361 of the table.</t>
  </si>
  <si>
    <t>Enter the CCUS credit serial number end range on row 362 of the table.</t>
  </si>
  <si>
    <t>Enter the CCUS credit serial number end range on row 363 of the table.</t>
  </si>
  <si>
    <t>Enter the CCUS credit serial number end range on row 364 of the table.</t>
  </si>
  <si>
    <t>Enter the CCUS credit serial number end range on row 365 of the table.</t>
  </si>
  <si>
    <t>Enter the CCUS credit serial number end range on row 366 of the table.</t>
  </si>
  <si>
    <t>Enter the CCUS credit serial number end range on row 367 of the table.</t>
  </si>
  <si>
    <t>Enter the CCUS credit serial number end range on row 368 of the table.</t>
  </si>
  <si>
    <t>Enter the CCUS credit serial number end range on row 369 of the table.</t>
  </si>
  <si>
    <t>Enter the CCUS credit serial number end range on row 370 of the table.</t>
  </si>
  <si>
    <t>Enter the CCUS credit serial number end range on row 371 of the table.</t>
  </si>
  <si>
    <t>Enter the CCUS credit serial number end range on row 372 of the table.</t>
  </si>
  <si>
    <t>Enter the CCUS credit serial number end range on row 373 of the table.</t>
  </si>
  <si>
    <t>Enter the CCUS credit serial number end range on row 374 of the table.</t>
  </si>
  <si>
    <t>Enter the CCUS credit serial number end range on row 375 of the table.</t>
  </si>
  <si>
    <t>Enter the CCUS credit serial number end range on row 376 of the table.</t>
  </si>
  <si>
    <t>Enter the CCUS credit serial number end range on row 377 of the table.</t>
  </si>
  <si>
    <t>Enter the CCUS credit serial number end range on row 378 of the table.</t>
  </si>
  <si>
    <t>Enter the CCUS credit serial number end range on row 379 of the table.</t>
  </si>
  <si>
    <t>Enter the CCUS credit serial number end range on row 380 of the table.</t>
  </si>
  <si>
    <t>Enter the CCUS credit serial number end range on row 381 of the table.</t>
  </si>
  <si>
    <t>Enter the CCUS credit serial number end range on row 382 of the table.</t>
  </si>
  <si>
    <t>Enter the CCUS credit serial number end range on row 383 of the table.</t>
  </si>
  <si>
    <t>Enter the CCUS credit serial number end range on row 384 of the table.</t>
  </si>
  <si>
    <t>Enter the CCUS credit serial number end range on row 385 of the table.</t>
  </si>
  <si>
    <t>Enter the CCUS credit serial number end range on row 386 of the table.</t>
  </si>
  <si>
    <t>Enter the CCUS credit serial number end range on row 387 of the table.</t>
  </si>
  <si>
    <t>Enter the CCUS credit serial number end range on row 388 of the table.</t>
  </si>
  <si>
    <t>Enter the CCUS credit serial number end range on row 389 of the table.</t>
  </si>
  <si>
    <t>Enter the CCUS credit serial number end range on row 390 of the table.</t>
  </si>
  <si>
    <t>Enter the CCUS credit serial number end range on row 391 of the table.</t>
  </si>
  <si>
    <t>Enter the CCUS credit serial number end range on row 392 of the table.</t>
  </si>
  <si>
    <t>Enter the CCUS credit serial number end range on row 393 of the table.</t>
  </si>
  <si>
    <t>Enter the CCUS credit serial number end range on row 394 of the table.</t>
  </si>
  <si>
    <t>Enter the CCUS credit serial number end range on row 395 of the table.</t>
  </si>
  <si>
    <t>Enter the CCUS credit serial number end range on row 396 of the table.</t>
  </si>
  <si>
    <t>Enter the CCUS credit serial number end range on row 397 of the table.</t>
  </si>
  <si>
    <t>Enter the CCUS credit serial number end range on row 398 of the table.</t>
  </si>
  <si>
    <t>Enter the CCUS credit serial number end range on row 399 of the table.</t>
  </si>
  <si>
    <t>Enter the CCUS credit serial number end range on row 400 of the table.</t>
  </si>
  <si>
    <t>Enter the CCUS credit serial number end range on row 401 of the table.</t>
  </si>
  <si>
    <t>Enter the CCUS credit serial number end range on row 402 of the table.</t>
  </si>
  <si>
    <t>Enter the CCUS credit serial number end range on row 403 of the table.</t>
  </si>
  <si>
    <t>Enter the CCUS credit serial number end range on row 404 of the table.</t>
  </si>
  <si>
    <t>Enter the CCUS credit serial number end range on row 405 of the table.</t>
  </si>
  <si>
    <t>Enter the CCUS credit serial number end range on row 406 of the table.</t>
  </si>
  <si>
    <t>Enter the CCUS credit serial number end range on row 407 of the table.</t>
  </si>
  <si>
    <t>Enter the CCUS credit serial number end range on row 408 of the table.</t>
  </si>
  <si>
    <t>Enter the CCUS credit serial number end range on row 409 of the table.</t>
  </si>
  <si>
    <t>Enter the CCUS credit serial number end range on row 410 of the table.</t>
  </si>
  <si>
    <t>Enter the CCUS credit serial number end range on row 411 of the table.</t>
  </si>
  <si>
    <t>Enter the CCUS credit serial number end range on row 412 of the table.</t>
  </si>
  <si>
    <t>Enter the CCUS credit serial number end range on row 413 of the table.</t>
  </si>
  <si>
    <t>Enter the CCUS credit serial number end range on row 414 of the table.</t>
  </si>
  <si>
    <t>Enter the CCUS credit serial number end range on row 415 of the table.</t>
  </si>
  <si>
    <t>Enter the CCUS credit serial number end range on row 416 of the table.</t>
  </si>
  <si>
    <t>Enter the CCUS credit serial number end range on row 417 of the table.</t>
  </si>
  <si>
    <t>Enter the CCUS credit serial number end range on row 418 of the table.</t>
  </si>
  <si>
    <t>Enter the CCUS credit serial number end range on row 419 of the table.</t>
  </si>
  <si>
    <t>Enter the CCUS credit serial number end range on row 420 of the table.</t>
  </si>
  <si>
    <t>Enter the CCUS credit serial number end range on row 421 of the table.</t>
  </si>
  <si>
    <t>Enter the CCUS credit serial number end range on row 422 of the table.</t>
  </si>
  <si>
    <t>Enter the CCUS credit serial number end range on row 423 of the table.</t>
  </si>
  <si>
    <t>Enter the CCUS credit serial number end range on row 424 of the table.</t>
  </si>
  <si>
    <t>Enter the CCUS credit serial number end range on row 425 of the table.</t>
  </si>
  <si>
    <t>Enter the CCUS credit serial number end range on row 426 of the table.</t>
  </si>
  <si>
    <t>Enter the CCUS credit serial number end range on row 427 of the table.</t>
  </si>
  <si>
    <t>Enter the CCUS credit serial number end range on row 428 of the table.</t>
  </si>
  <si>
    <t>Enter the CCUS credit serial number end range on row 429 of the table.</t>
  </si>
  <si>
    <t>Enter the CCUS credit serial number end range on row 430 of the table.</t>
  </si>
  <si>
    <t>Enter the CCUS credit serial number end range on row 431 of the table.</t>
  </si>
  <si>
    <t>Enter the CCUS credit serial number end range on row 432 of the table.</t>
  </si>
  <si>
    <t>Enter the CCUS credit serial number end range on row 433 of the table.</t>
  </si>
  <si>
    <t>Enter the CCUS credit serial number end range on row 434 of the table.</t>
  </si>
  <si>
    <t>Enter the CCUS credit serial number end range on row 435 of the table.</t>
  </si>
  <si>
    <t>Enter the CCUS credit serial number end range on row 436 of the table.</t>
  </si>
  <si>
    <t>Enter the CCUS credit serial number end range on row 437 of the table.</t>
  </si>
  <si>
    <t>Enter the CCUS credit serial number end range on row 438 of the table.</t>
  </si>
  <si>
    <t>Enter the CCUS credit serial number end range on row 439 of the table.</t>
  </si>
  <si>
    <t>Enter the CCUS credit serial number end range on row 440 of the table.</t>
  </si>
  <si>
    <t>Enter the CCUS credit serial number end range on row 441 of the table.</t>
  </si>
  <si>
    <t>Enter the CCUS credit serial number end range on row 442 of the table.</t>
  </si>
  <si>
    <t>Enter the CCUS credit serial number end range on row 443 of the table.</t>
  </si>
  <si>
    <t>Enter the CCUS credit serial number end range on row 444 of the table.</t>
  </si>
  <si>
    <t>Enter the CCUS credit serial number end range on row 445 of the table.</t>
  </si>
  <si>
    <t>Enter the CCUS credit serial number end range on row 446 of the table.</t>
  </si>
  <si>
    <t>Enter the CCUS credit serial number end range on row 447 of the table.</t>
  </si>
  <si>
    <t>Enter the CCUS credit serial number end range on row 448 of the table.</t>
  </si>
  <si>
    <t>Enter the CCUS credit serial number end range on row 449 of the table.</t>
  </si>
  <si>
    <t>Enter the CCUS credit serial number end range on row 450 of the table.</t>
  </si>
  <si>
    <t>Enter the CCUS credit serial number end range on row 451 of the table.</t>
  </si>
  <si>
    <t>Enter the CCUS credit serial number end range on row 452 of the table.</t>
  </si>
  <si>
    <t>Enter the CCUS credit serial number end range on row 453 of the table.</t>
  </si>
  <si>
    <t>Enter the CCUS credit serial number end range on row 454 of the table.</t>
  </si>
  <si>
    <t>Enter the CCUS credit serial number end range on row 455 of the table.</t>
  </si>
  <si>
    <t>Enter the CCUS credit serial number end range on row 456 of the table.</t>
  </si>
  <si>
    <t>Enter the CCUS credit serial number end range on row 457 of the table.</t>
  </si>
  <si>
    <t>Enter the CCUS credit serial number end range on row 458 of the table.</t>
  </si>
  <si>
    <t>Enter the CCUS credit serial number end range on row 459 of the table.</t>
  </si>
  <si>
    <t>Enter the CCUS credit serial number end range on row 460 of the table.</t>
  </si>
  <si>
    <t>Enter the CCUS credit serial number end range on row 461 of the table.</t>
  </si>
  <si>
    <t>Enter the CCUS credit serial number end range on row 462 of the table.</t>
  </si>
  <si>
    <t>Enter the CCUS credit serial number end range on row 463 of the table.</t>
  </si>
  <si>
    <t>Enter the CCUS credit serial number end range on row 464 of the table.</t>
  </si>
  <si>
    <t>Enter the CCUS credit serial number end range on row 465 of the table.</t>
  </si>
  <si>
    <t>Enter the CCUS credit serial number end range on row 466 of the table.</t>
  </si>
  <si>
    <t>Enter the CCUS credit serial number end range on row 467 of the table.</t>
  </si>
  <si>
    <t>Enter the CCUS credit serial number end range on row 468 of the table.</t>
  </si>
  <si>
    <t>Enter the CCUS credit serial number end range on row 469 of the table.</t>
  </si>
  <si>
    <t>Enter the CCUS credit serial number end range on row 470 of the table.</t>
  </si>
  <si>
    <t>Enter the CCUS credit serial number end range on row 471 of the table.</t>
  </si>
  <si>
    <t>Enter the CCUS credit serial number end range on row 472 of the table.</t>
  </si>
  <si>
    <t>Enter the CCUS credit serial number end range on row 473 of the table.</t>
  </si>
  <si>
    <t>Enter the CCUS credit serial number end range on row 474 of the table.</t>
  </si>
  <si>
    <t>Enter the CCUS credit serial number end range on row 475 of the table.</t>
  </si>
  <si>
    <t>Enter the CCUS credit serial number end range on row 476 of the table.</t>
  </si>
  <si>
    <t>Enter the CCUS credit serial number end range on row 477 of the table.</t>
  </si>
  <si>
    <t>Enter the CCUS credit serial number end range on row 478 of the table.</t>
  </si>
  <si>
    <t>Enter the CCUS credit serial number end range on row 479 of the table.</t>
  </si>
  <si>
    <t>Enter the CCUS credit serial number end range on row 480 of the table.</t>
  </si>
  <si>
    <t>Enter the CCUS credit serial number end range on row 481 of the table.</t>
  </si>
  <si>
    <t>Enter the CCUS credit serial number end range on row 482 of the table.</t>
  </si>
  <si>
    <t>Enter the CCUS credit serial number end range on row 483 of the table.</t>
  </si>
  <si>
    <t>Enter the CCUS credit serial number end range on row 484 of the table.</t>
  </si>
  <si>
    <t>Enter the CCUS credit serial number end range on row 485 of the table.</t>
  </si>
  <si>
    <t>Enter the CCUS credit serial number end range on row 486 of the table.</t>
  </si>
  <si>
    <t>Enter the CCUS credit serial number end range on row 487 of the table.</t>
  </si>
  <si>
    <t>Enter the CCUS credit serial number end range on row 488 of the table.</t>
  </si>
  <si>
    <t>Enter the CCUS credit serial number end range on row 489 of the table.</t>
  </si>
  <si>
    <t>Enter the CCUS credit serial number end range on row 490 of the table.</t>
  </si>
  <si>
    <t>Enter the CCUS credit serial number end range on row 491 of the table.</t>
  </si>
  <si>
    <t>Enter the CCUS credit serial number end range on row 492 of the table.</t>
  </si>
  <si>
    <t>Enter the CCUS credit serial number end range on row 493 of the table.</t>
  </si>
  <si>
    <t>Enter the CCUS credit serial number end range on row 494 of the table.</t>
  </si>
  <si>
    <t>Enter the CCUS credit serial number end range on row 495 of the table.</t>
  </si>
  <si>
    <t>Enter the CCUS credit serial number end range on row 496 of the table.</t>
  </si>
  <si>
    <t>Enter the CCUS credit serial number end range on row 497 of the table.</t>
  </si>
  <si>
    <t>Enter the CCUS credit serial number end range on row 498 of the table.</t>
  </si>
  <si>
    <t>Enter the CCUS credit serial number end range on row 499 of the table.</t>
  </si>
  <si>
    <t>Enter the CCUS credit serial number end range on row 500 of the table.</t>
  </si>
  <si>
    <t>Enter the CCUS credit serial number end range on row 501 of the table.</t>
  </si>
  <si>
    <t>Enter the CCUS credit serial number end range on row 502 of the table.</t>
  </si>
  <si>
    <t>Enter the CCUS credit serial number end range on row 503 of the table.</t>
  </si>
  <si>
    <t>Enter the CCUS credit serial number end range on row 504 of the table.</t>
  </si>
  <si>
    <t>Enter the CCUS credit serial number end range on row 505 of the table.</t>
  </si>
  <si>
    <t>Enter the CCUS credit serial number end range on row 506 of the table.</t>
  </si>
  <si>
    <t>Enter the CCUS credit serial number end range on row 507 of the table.</t>
  </si>
  <si>
    <t>Enter the CCUS credit serial number end range on row 508 of the table.</t>
  </si>
  <si>
    <t>Enter the CCUS credit serial number end range on row 509 of the table.</t>
  </si>
  <si>
    <t>Enter the CCUS credit serial number end range on row 510 of the table.</t>
  </si>
  <si>
    <t>Enter the CCUS credit serial number end range on row 511 of the table.</t>
  </si>
  <si>
    <t>Enter the CCUS credit serial number end range on row 512 of the table.</t>
  </si>
  <si>
    <t>Enter the CCUS credit serial number end range on row 513 of the table.</t>
  </si>
  <si>
    <t>Enter the CCUS credit serial number end range on row 514 of the table.</t>
  </si>
  <si>
    <t>Enter the CCUS credit serial number end range on row 515 of the table.</t>
  </si>
  <si>
    <t>Enter the CCUS credit serial number end range on row 516 of the table.</t>
  </si>
  <si>
    <t>Enter the CCUS credit serial number end range on row 517 of the table.</t>
  </si>
  <si>
    <t>Enter the CCUS credit serial number end range on row 518 of the table.</t>
  </si>
  <si>
    <t>Enter the CCUS credit serial number end range on row 519 of the table.</t>
  </si>
  <si>
    <t>Enter the CCUS credit serial number end range on row 520 of the table.</t>
  </si>
  <si>
    <t>Enter the CCUS credit serial number end range on row 521 of the table.</t>
  </si>
  <si>
    <t>Enter the CCUS credit serial number end range on row 522 of the table.</t>
  </si>
  <si>
    <t>Enter the CCUS credit serial number end range on row 523 of the table.</t>
  </si>
  <si>
    <t>Enter the CCUS credit serial number end range on row 524 of the table.</t>
  </si>
  <si>
    <t>Enter the CCUS credit serial number end range on row 525 of the table.</t>
  </si>
  <si>
    <t>Enter the CCUS credit serial number end range on row 526 of the table.</t>
  </si>
  <si>
    <t>Enter the CCUS credit serial number end range on row 527 of the table.</t>
  </si>
  <si>
    <t>Enter the CCUS credit serial number end range on row 528 of the table.</t>
  </si>
  <si>
    <t>Enter the CCUS credit serial number end range on row 529 of the table.</t>
  </si>
  <si>
    <t>Enter the CCUS credit serial number end range on row 530 of the table.</t>
  </si>
  <si>
    <t>Enter the CCUS credit serial number end range on row 531 of the table.</t>
  </si>
  <si>
    <t>Enter the CCUS credit serial number end range on row 532 of the table.</t>
  </si>
  <si>
    <t>Enter the CCUS credit serial number end range on row 533 of the table.</t>
  </si>
  <si>
    <t>Enter the CCUS credit serial number end range on row 534 of the table.</t>
  </si>
  <si>
    <t>Enter the CCUS credit serial number end range on row 535 of the table.</t>
  </si>
  <si>
    <t>Enter the CCUS credit serial number end range on row 536 of the table.</t>
  </si>
  <si>
    <t>Enter the CCUS credit serial number end range on row 537 of the table.</t>
  </si>
  <si>
    <t>Enter the CCUS credit serial number end range on row 538 of the table.</t>
  </si>
  <si>
    <t>Enter the CCUS credit serial number end range on row 539 of the table.</t>
  </si>
  <si>
    <t>Enter the CCUS credit serial number end range on row 540 of the table.</t>
  </si>
  <si>
    <t>Enter the CCUS credit serial number end range on row 541 of the table.</t>
  </si>
  <si>
    <t>Enter the CCUS credit serial number end range on row 542 of the table.</t>
  </si>
  <si>
    <t>Enter the CCUS credit serial number end range on row 543 of the table.</t>
  </si>
  <si>
    <t>Enter the CCUS credit serial number end range on row 544 of the table.</t>
  </si>
  <si>
    <t>Enter the CCUS credit serial number end range on row 545 of the table.</t>
  </si>
  <si>
    <t>Enter the CCUS credit serial number end range on row 546 of the table.</t>
  </si>
  <si>
    <t>Enter the CCUS credit serial number end range on row 547 of the table.</t>
  </si>
  <si>
    <t>Enter the CCUS credit serial number end range on row 548 of the table.</t>
  </si>
  <si>
    <t>Enter the CCUS credit serial number end range on row 549 of the table.</t>
  </si>
  <si>
    <t>Enter the CCUS credit serial number end range on row 550 of the table.</t>
  </si>
  <si>
    <t>Enter the CCUS credit serial number end range on row 551 of the table.</t>
  </si>
  <si>
    <t>Enter the CCUS credit serial number end range on row 552 of the table.</t>
  </si>
  <si>
    <t>Enter the CCUS credit serial number end range on row 553 of the table.</t>
  </si>
  <si>
    <t>Enter the CCUS credit serial number end range on row 554 of the table.</t>
  </si>
  <si>
    <t>Enter the CCUS credit serial number end range on row 555 of the table.</t>
  </si>
  <si>
    <t>Enter the CCUS credit serial number end range on row 556 of the table.</t>
  </si>
  <si>
    <t>Enter the CCUS credit serial number end range on row 557 of the table.</t>
  </si>
  <si>
    <t>Enter the CCUS credit serial number end range on row 558 of the table.</t>
  </si>
  <si>
    <t>Enter the CCUS credit serial number end range on row 559 of the table.</t>
  </si>
  <si>
    <t>Enter the CCUS credit serial number end range on row 560 of the table.</t>
  </si>
  <si>
    <t>Enter the CCUS credit serial number end range on row 561 of the table.</t>
  </si>
  <si>
    <t>Enter the CCUS credit serial number end range on row 562 of the table.</t>
  </si>
  <si>
    <t>Enter the CCUS credit serial number end range on row 563 of the table.</t>
  </si>
  <si>
    <t>Enter the CCUS credit serial number end range on row 564 of the table.</t>
  </si>
  <si>
    <t>Enter the CCUS credit serial number end range on row 565 of the table.</t>
  </si>
  <si>
    <t>Enter the CCUS credit serial number end range on row 566 of the table.</t>
  </si>
  <si>
    <t>Enter the CCUS credit serial number end range on row 567 of the table.</t>
  </si>
  <si>
    <t>Enter the CCUS credit serial number end range on row 568 of the table.</t>
  </si>
  <si>
    <t>Enter the CCUS credit serial number end range on row 569 of the table.</t>
  </si>
  <si>
    <t>Enter the CCUS credit serial number end range on row 570 of the table.</t>
  </si>
  <si>
    <t>Enter the CCUS credit serial number end range on row 571 of the table.</t>
  </si>
  <si>
    <t>Enter the CCUS credit serial number end range on row 572 of the table.</t>
  </si>
  <si>
    <t>Enter the CCUS credit serial number end range on row 573 of the table.</t>
  </si>
  <si>
    <t>Enter the CCUS credit serial number end range on row 574 of the table.</t>
  </si>
  <si>
    <t>Enter the CCUS credit serial number end range on row 575 of the table.</t>
  </si>
  <si>
    <t>Enter the CCUS credit serial number end range on row 576 of the table.</t>
  </si>
  <si>
    <t>Enter the CCUS credit serial number end range on row 577 of the table.</t>
  </si>
  <si>
    <t>Enter the CCUS credit serial number end range on row 578 of the table.</t>
  </si>
  <si>
    <t>Enter the CCUS credit serial number end range on row 579 of the table.</t>
  </si>
  <si>
    <t>Enter the CCUS credit serial number end range on row 580 of the table.</t>
  </si>
  <si>
    <t>Enter the CCUS credit serial number end range on row 581 of the table.</t>
  </si>
  <si>
    <t>Enter the CCUS credit serial number end range on row 582 of the table.</t>
  </si>
  <si>
    <t>Enter the CCUS credit serial number end range on row 583 of the table.</t>
  </si>
  <si>
    <t>Enter the CCUS credit serial number end range on row 584 of the table.</t>
  </si>
  <si>
    <t>Enter the CCUS credit serial number end range on row 585 of the table.</t>
  </si>
  <si>
    <t>Enter the CCUS credit serial number end range on row 586 of the table.</t>
  </si>
  <si>
    <t>Enter the CCUS credit serial number end range on row 587 of the table.</t>
  </si>
  <si>
    <t>Enter the CCUS credit serial number end range on row 588 of the table.</t>
  </si>
  <si>
    <t>Enter the CCUS credit serial number end range on row 589 of the table.</t>
  </si>
  <si>
    <t>Enter the CCUS credit serial number end range on row 590 of the table.</t>
  </si>
  <si>
    <t>Enter the CCUS credit serial number end range on row 591 of the table.</t>
  </si>
  <si>
    <t>Enter the CCUS credit serial number end range on row 592 of the table.</t>
  </si>
  <si>
    <t>Enter the CCUS credit serial number end range on row 593 of the table.</t>
  </si>
  <si>
    <t>Enter the CCUS credit serial number end range on row 594 of the table.</t>
  </si>
  <si>
    <t>Enter the CCUS credit serial number end range on row 595 of the table.</t>
  </si>
  <si>
    <t>Enter the CCUS credit serial number end range on row 596 of the table.</t>
  </si>
  <si>
    <t>Enter the CCUS credit serial number end range on row 597 of the table.</t>
  </si>
  <si>
    <t>Enter the CCUS credit serial number end range on row 598 of the table.</t>
  </si>
  <si>
    <t>Enter the CCUS credit serial number end range on row 599 of the table.</t>
  </si>
  <si>
    <t>Enter the CCUS credit serial number end range on row 600 of the table.</t>
  </si>
  <si>
    <t>Enter the CCUS credit serial number end range on row 601 of the table.</t>
  </si>
  <si>
    <t>Enter the CCUS credit serial number end range on row 602 of the table.</t>
  </si>
  <si>
    <t>Enter the CCUS credit serial number end range on row 603 of the table.</t>
  </si>
  <si>
    <t>Enter the CCUS credit serial number end range on row 604 of the table.</t>
  </si>
  <si>
    <t>Enter the CCUS credit serial number end range on row 605 of the table.</t>
  </si>
  <si>
    <t>Enter the CCUS credit serial number end range on row 606 of the table.</t>
  </si>
  <si>
    <t>Enter the CCUS credit serial number end range on row 607 of the table.</t>
  </si>
  <si>
    <t>Enter the CCUS credit serial number end range on row 608 of the table.</t>
  </si>
  <si>
    <t>Enter the CCUS credit serial number end range on row 609 of the table.</t>
  </si>
  <si>
    <t>Enter the CCUS credit serial number end range on row 610 of the table.</t>
  </si>
  <si>
    <t>Enter the CCUS credit serial number end range on row 611 of the table.</t>
  </si>
  <si>
    <t>Enter the CCUS credit serial number end range on row 612 of the table.</t>
  </si>
  <si>
    <t>Enter the CCUS credit serial number end range on row 613 of the table.</t>
  </si>
  <si>
    <t>Enter the CCUS credit serial number end range on row 614 of the table.</t>
  </si>
  <si>
    <t>Enter the CCUS credit serial number end range on row 615 of the table.</t>
  </si>
  <si>
    <t>Enter the CCUS credit serial number end range on row 616 of the table.</t>
  </si>
  <si>
    <t>Enter the CCUS credit serial number end range on row 617 of the table.</t>
  </si>
  <si>
    <t>Enter the CCUS credit serial number end range on row 618 of the table.</t>
  </si>
  <si>
    <t>Enter the CCUS credit serial number end range on row 619 of the table.</t>
  </si>
  <si>
    <t>Enter the CCUS credit serial number end range on row 620 of the table.</t>
  </si>
  <si>
    <t>Enter the CCUS credit serial number end range on row 621 of the table.</t>
  </si>
  <si>
    <t>Enter the CCUS credit serial number end range on row 622 of the table.</t>
  </si>
  <si>
    <t>Enter the CCUS credit serial number end range on row 623 of the table.</t>
  </si>
  <si>
    <t>Enter the CCUS credit serial number end range on row 624 of the table.</t>
  </si>
  <si>
    <t>Enter the CCUS credit serial number end range on row 625 of the table.</t>
  </si>
  <si>
    <t>Enter the CCUS credit serial number end range on row 626 of the table.</t>
  </si>
  <si>
    <t>Enter the CCUS credit serial number end range on row 627 of the table.</t>
  </si>
  <si>
    <t>Enter the CCUS credit serial number end range on row 628 of the table.</t>
  </si>
  <si>
    <t>Enter the CCUS credit serial number end range on row 629 of the table.</t>
  </si>
  <si>
    <t>Enter the CCUS credit serial number end range on row 630 of the table.</t>
  </si>
  <si>
    <t>Enter the CCUS credit serial number end range on row 631 of the table.</t>
  </si>
  <si>
    <t>Enter the CCUS credit serial number end range on row 632 of the table.</t>
  </si>
  <si>
    <t>Enter the CCUS credit serial number end range on row 633 of the table.</t>
  </si>
  <si>
    <t>Enter the CCUS credit serial number end range on row 634 of the table.</t>
  </si>
  <si>
    <t>Enter the CCUS credit serial number end range on row 635 of the table.</t>
  </si>
  <si>
    <t>Enter the CCUS credit serial number end range on row 636 of the table.</t>
  </si>
  <si>
    <t>Enter the CCUS credit serial number end range on row 637 of the table.</t>
  </si>
  <si>
    <t>Enter the CCUS credit serial number end range on row 638 of the table.</t>
  </si>
  <si>
    <t>Enter the CCUS credit serial number end range on row 639 of the table.</t>
  </si>
  <si>
    <t>Enter the CCUS credit serial number end range on row 640 of the table.</t>
  </si>
  <si>
    <t>Enter the CCUS credit serial number end range on row 641 of the table.</t>
  </si>
  <si>
    <t>Enter the CCUS credit serial number end range on row 642 of the table.</t>
  </si>
  <si>
    <t>Enter the CCUS credit serial number end range on row 643 of the table.</t>
  </si>
  <si>
    <t>Enter the CCUS credit serial number end range on row 644 of the table.</t>
  </si>
  <si>
    <t>Enter the CCUS credit serial number end range on row 645 of the table.</t>
  </si>
  <si>
    <t>Enter the CCUS credit serial number end range on row 646 of the table.</t>
  </si>
  <si>
    <t>Enter the CCUS credit serial number end range on row 647 of the table.</t>
  </si>
  <si>
    <t>Enter the CCUS credit serial number end range on row 648 of the table.</t>
  </si>
  <si>
    <t>Enter the CCUS credit serial number end range on row 649 of the table.</t>
  </si>
  <si>
    <t>Enter the CCUS credit serial number end range on row 650 of the table.</t>
  </si>
  <si>
    <t>Enter the CCUS credit serial number end range on row 651 of the table.</t>
  </si>
  <si>
    <t>Enter the CCUS credit serial number end range on row 652 of the table.</t>
  </si>
  <si>
    <t>Enter the CCUS credit serial number end range on row 653 of the table.</t>
  </si>
  <si>
    <t>Enter the CCUS credit serial number end range on row 654 of the table.</t>
  </si>
  <si>
    <t>Enter the CCUS credit serial number end range on row 655 of the table.</t>
  </si>
  <si>
    <t>Enter the CCUS credit serial number end range on row 656 of the table.</t>
  </si>
  <si>
    <t>Enter the CCUS credit serial number end range on row 657 of the table.</t>
  </si>
  <si>
    <t>Enter the CCUS credit serial number end range on row 658 of the table.</t>
  </si>
  <si>
    <t>Enter the CCUS credit serial number end range on row 659 of the table.</t>
  </si>
  <si>
    <t>Enter the CCUS credit serial number end range on row 660 of the table.</t>
  </si>
  <si>
    <t>Enter the CCUS credit serial number end range on row 661 of the table.</t>
  </si>
  <si>
    <t>Enter the CCUS credit serial number end range on row 662 of the table.</t>
  </si>
  <si>
    <t>Enter the CCUS credit serial number end range on row 663 of the table.</t>
  </si>
  <si>
    <t>Enter the CCUS credit serial number end range on row 664 of the table.</t>
  </si>
  <si>
    <t>Enter the CCUS credit serial number end range on row 665 of the table.</t>
  </si>
  <si>
    <t>Enter the CCUS credit serial number end range on row 666 of the table.</t>
  </si>
  <si>
    <t>Enter the CCUS credit serial number end range on row 667 of the table.</t>
  </si>
  <si>
    <t>Enter the CCUS credit serial number end range on row 668 of the table.</t>
  </si>
  <si>
    <t>Enter the CCUS credit serial number end range on row 669 of the table.</t>
  </si>
  <si>
    <t>Enter the CCUS credit serial number end range on row 670 of the table.</t>
  </si>
  <si>
    <t>Enter the CCUS credit serial number end range on row 671 of the table.</t>
  </si>
  <si>
    <t>Enter the CCUS credit serial number end range on row 672 of the table.</t>
  </si>
  <si>
    <t>Enter the CCUS credit serial number end range on row 673 of the table.</t>
  </si>
  <si>
    <t>Enter the CCUS credit serial number end range on row 674 of the table.</t>
  </si>
  <si>
    <t>Enter the CCUS credit serial number end range on row 675 of the table.</t>
  </si>
  <si>
    <t>Enter the CCUS credit serial number end range on row 676 of the table.</t>
  </si>
  <si>
    <t>Enter the CCUS credit serial number end range on row 677 of the table.</t>
  </si>
  <si>
    <t>Enter the CCUS credit serial number end range on row 678 of the table.</t>
  </si>
  <si>
    <t>Enter the CCUS credit serial number end range on row 679 of the table.</t>
  </si>
  <si>
    <t>Enter the CCUS credit serial number end range on row 680 of the table.</t>
  </si>
  <si>
    <t>Enter the CCUS credit serial number end range on row 681 of the table.</t>
  </si>
  <si>
    <t>Enter the CCUS credit serial number end range on row 682 of the table.</t>
  </si>
  <si>
    <t>Enter the CCUS credit serial number end range on row 683 of the table.</t>
  </si>
  <si>
    <t>Enter the CCUS credit serial number end range on row 684 of the table.</t>
  </si>
  <si>
    <t>Enter the CCUS credit serial number end range on row 685 of the table.</t>
  </si>
  <si>
    <t>Enter the CCUS credit serial number end range on row 686 of the table.</t>
  </si>
  <si>
    <t>Enter the CCUS credit serial number end range on row 687 of the table.</t>
  </si>
  <si>
    <t>Enter the CCUS credit serial number end range on row 688 of the table.</t>
  </si>
  <si>
    <t>Enter the CCUS credit serial number end range on row 689 of the table.</t>
  </si>
  <si>
    <t>Enter the CCUS credit serial number end range on row 690 of the table.</t>
  </si>
  <si>
    <t>Enter the CCUS credit serial number end range on row 691 of the table.</t>
  </si>
  <si>
    <t>Enter the CCUS credit serial number end range on row 692 of the table.</t>
  </si>
  <si>
    <t>Enter the CCUS credit serial number end range on row 693 of the table.</t>
  </si>
  <si>
    <t>Enter the CCUS credit serial number end range on row 694 of the table.</t>
  </si>
  <si>
    <t>Enter the CCUS credit serial number end range on row 695 of the table.</t>
  </si>
  <si>
    <t>Enter the CCUS credit serial number end range on row 696 of the table.</t>
  </si>
  <si>
    <t>Enter the CCUS credit serial number end range on row 697 of the table.</t>
  </si>
  <si>
    <t>Enter the CCUS credit serial number end range on row 698 of the table.</t>
  </si>
  <si>
    <t>Enter the CCUS credit serial number end range on row 699 of the table.</t>
  </si>
  <si>
    <t>Enter the CCUS credit serial number end range on row 700 of the table.</t>
  </si>
  <si>
    <t>Enter the CCUS credit serial number end range on row 701 of the table.</t>
  </si>
  <si>
    <t>Enter the CCUS credit serial number end range on row 702 of the table.</t>
  </si>
  <si>
    <t>Enter the CCUS credit serial number end range on row 703 of the table.</t>
  </si>
  <si>
    <t>Enter the CCUS credit serial number end range on row 704 of the table.</t>
  </si>
  <si>
    <t>Enter the CCUS credit serial number end range on row 705 of the table.</t>
  </si>
  <si>
    <t>Enter the CCUS credit serial number end range on row 706 of the table.</t>
  </si>
  <si>
    <t>Enter the CCUS credit serial number end range on row 707 of the table.</t>
  </si>
  <si>
    <t>Enter the CCUS credit serial number end range on row 708 of the table.</t>
  </si>
  <si>
    <t>Enter the CCUS credit serial number end range on row 709 of the table.</t>
  </si>
  <si>
    <t>Enter the CCUS credit serial number end range on row 710 of the table.</t>
  </si>
  <si>
    <t>Enter the CCUS credit serial number end range on row 711 of the table.</t>
  </si>
  <si>
    <t>Enter the CCUS credit serial number end range on row 712 of the table.</t>
  </si>
  <si>
    <t>Enter the CCUS credit serial number end range on row 713 of the table.</t>
  </si>
  <si>
    <t>Enter the CCUS credit serial number end range on row 714 of the table.</t>
  </si>
  <si>
    <t>Enter the CCUS credit serial number end range on row 715 of the table.</t>
  </si>
  <si>
    <t>Enter the CCUS credit serial number end range on row 716 of the table.</t>
  </si>
  <si>
    <t>Enter the CCUS credit serial number end range on row 717 of the table.</t>
  </si>
  <si>
    <t>Enter the CCUS credit serial number end range on row 718 of the table.</t>
  </si>
  <si>
    <t>Enter the CCUS credit serial number end range on row 719 of the table.</t>
  </si>
  <si>
    <t>Enter the CCUS credit serial number end range on row 720 of the table.</t>
  </si>
  <si>
    <t>Enter the CCUS credit serial number end range on row 721 of the table.</t>
  </si>
  <si>
    <t>Enter the CCUS credit serial number end range on row 722 of the table.</t>
  </si>
  <si>
    <t>Enter the CCUS credit serial number end range on row 723 of the table.</t>
  </si>
  <si>
    <t>Enter the CCUS credit serial number end range on row 724 of the table.</t>
  </si>
  <si>
    <t>Enter the CCUS credit serial number end range on row 725 of the table.</t>
  </si>
  <si>
    <t>Enter the CCUS credit serial number end range on row 726 of the table.</t>
  </si>
  <si>
    <t>Enter the CCUS credit serial number end range on row 727 of the table.</t>
  </si>
  <si>
    <t>Enter the CCUS credit serial number end range on row 728 of the table.</t>
  </si>
  <si>
    <t>Enter the CCUS credit serial number end range on row 729 of the table.</t>
  </si>
  <si>
    <t>Enter the CCUS credit serial number end range on row 730 of the table.</t>
  </si>
  <si>
    <t>Enter the CCUS credit serial number end range on row 731 of the table.</t>
  </si>
  <si>
    <t>Enter the CCUS credit serial number end range on row 732 of the table.</t>
  </si>
  <si>
    <t>Enter the CCUS credit serial number end range on row 733 of the table.</t>
  </si>
  <si>
    <t>Enter the CCUS credit serial number end range on row 734 of the table.</t>
  </si>
  <si>
    <t>Enter the CCUS credit serial number end range on row 735 of the table.</t>
  </si>
  <si>
    <t>Enter the CCUS credit serial number end range on row 736 of the table.</t>
  </si>
  <si>
    <t>Enter the CCUS credit serial number end range on row 737 of the table.</t>
  </si>
  <si>
    <t>Enter the CCUS credit serial number end range on row 738 of the table.</t>
  </si>
  <si>
    <t>Enter the CCUS credit serial number end range on row 739 of the table.</t>
  </si>
  <si>
    <t>Enter the CCUS credit serial number end range on row 740 of the table.</t>
  </si>
  <si>
    <t>Enter the CCUS credit serial number end range on row 741 of the table.</t>
  </si>
  <si>
    <t>Enter the CCUS credit serial number end range on row 742 of the table.</t>
  </si>
  <si>
    <t>Enter the CCUS credit serial number end range on row 743 of the table.</t>
  </si>
  <si>
    <t>Enter the CCUS credit serial number end range on row 744 of the table.</t>
  </si>
  <si>
    <t>Enter the CCUS credit serial number end range on row 745 of the table.</t>
  </si>
  <si>
    <t>Enter the CCUS credit serial number end range on row 746 of the table.</t>
  </si>
  <si>
    <t>Enter the CCUS credit serial number end range on row 747 of the table.</t>
  </si>
  <si>
    <t>Enter the CCUS credit serial number end range on row 748 of the table.</t>
  </si>
  <si>
    <t>Enter the CCUS credit serial number end range on row 749 of the table.</t>
  </si>
  <si>
    <t>Enter the CCUS credit serial number end range on row 750 of the table.</t>
  </si>
  <si>
    <t>Enter the CCUS credit serial number end range on row 751 of the table.</t>
  </si>
  <si>
    <t>Enter the CCUS credit serial number end range on row 752 of the table.</t>
  </si>
  <si>
    <t>Enter the CCUS credit serial number end range on row 753 of the table.</t>
  </si>
  <si>
    <t>Enter the CCUS credit serial number end range on row 754 of the table.</t>
  </si>
  <si>
    <t>Enter the CCUS credit serial number end range on row 755 of the table.</t>
  </si>
  <si>
    <t>Enter the CCUS credit serial number end range on row 756 of the table.</t>
  </si>
  <si>
    <t>Enter the CCUS credit serial number end range on row 757 of the table.</t>
  </si>
  <si>
    <t>Enter the CCUS credit serial number end range on row 758 of the table.</t>
  </si>
  <si>
    <t>Enter the CCUS credit serial number end range on row 759 of the table.</t>
  </si>
  <si>
    <t>Enter the CCUS credit serial number end range on row 760 of the table.</t>
  </si>
  <si>
    <t>Enter the CCUS credit serial number end range on row 761 of the table.</t>
  </si>
  <si>
    <t>Enter the CCUS credit serial number end range on row 762 of the table.</t>
  </si>
  <si>
    <t>Enter the CCUS credit serial number end range on row 763 of the table.</t>
  </si>
  <si>
    <t>Enter the CCUS credit serial number end range on row 764 of the table.</t>
  </si>
  <si>
    <t>Enter the CCUS credit serial number end range on row 765 of the table.</t>
  </si>
  <si>
    <t>Enter the CCUS credit serial number end range on row 766 of the table.</t>
  </si>
  <si>
    <t>Enter the CCUS credit serial number end range on row 767 of the table.</t>
  </si>
  <si>
    <t>Enter the CCUS credit serial number end range on row 768 of the table.</t>
  </si>
  <si>
    <t>Enter the CCUS credit serial number end range on row 769 of the table.</t>
  </si>
  <si>
    <t>Enter the CCUS credit serial number end range on row 770 of the table.</t>
  </si>
  <si>
    <t>Enter the CCUS credit serial number end range on row 771 of the table.</t>
  </si>
  <si>
    <t>Enter the CCUS credit serial number end range on row 772 of the table.</t>
  </si>
  <si>
    <t>Enter the CCUS credit serial number end range on row 773 of the table.</t>
  </si>
  <si>
    <t>Enter the CCUS credit serial number end range on row 774 of the table.</t>
  </si>
  <si>
    <t>Enter the CCUS credit serial number end range on row 775 of the table.</t>
  </si>
  <si>
    <t>Enter the CCUS credit serial number end range on row 776 of the table.</t>
  </si>
  <si>
    <t>Enter the CCUS credit serial number end range on row 777 of the table.</t>
  </si>
  <si>
    <t>Enter the CCUS credit serial number end range on row 778 of the table.</t>
  </si>
  <si>
    <t>Enter the CCUS credit serial number end range on row 779 of the table.</t>
  </si>
  <si>
    <t>Enter the CCUS credit serial number end range on row 780 of the table.</t>
  </si>
  <si>
    <t>Enter the CCUS credit serial number end range on row 781 of the table.</t>
  </si>
  <si>
    <t>Enter the CCUS credit serial number end range on row 782 of the table.</t>
  </si>
  <si>
    <t>Enter the CCUS credit serial number end range on row 783 of the table.</t>
  </si>
  <si>
    <t>Enter the CCUS credit serial number end range on row 784 of the table.</t>
  </si>
  <si>
    <t>Enter the CCUS credit serial number end range on row 785 of the table.</t>
  </si>
  <si>
    <t>Enter the CCUS credit serial number end range on row 786 of the table.</t>
  </si>
  <si>
    <t>Enter the CCUS credit serial number end range on row 787 of the table.</t>
  </si>
  <si>
    <t>Enter the CCUS credit serial number end range on row 788 of the table.</t>
  </si>
  <si>
    <t>Enter the CCUS credit serial number end range on row 789 of the table.</t>
  </si>
  <si>
    <t>Enter the CCUS credit serial number end range on row 790 of the table.</t>
  </si>
  <si>
    <t>Enter the CCUS credit serial number end range on row 791 of the table.</t>
  </si>
  <si>
    <t>Enter the CCUS credit serial number end range on row 792 of the table.</t>
  </si>
  <si>
    <t>Enter the CCUS credit serial number end range on row 793 of the table.</t>
  </si>
  <si>
    <t>Enter the CCUS credit serial number end range on row 794 of the table.</t>
  </si>
  <si>
    <t>Enter the CCUS credit serial number end range on row 795 of the table.</t>
  </si>
  <si>
    <t>Enter the CCUS credit serial number end range on row 796 of the table.</t>
  </si>
  <si>
    <t>Enter the CCUS credit serial number end range on row 797 of the table.</t>
  </si>
  <si>
    <t>Enter the CCUS credit serial number end range on row 798 of the table.</t>
  </si>
  <si>
    <t>Enter the CCUS credit serial number end range on row 799 of the table.</t>
  </si>
  <si>
    <t>Enter the CCUS credit serial number end range on row 800 of the table.</t>
  </si>
  <si>
    <t>Enter the CCUS credit serial number end range on row 801 of the table.</t>
  </si>
  <si>
    <t>Enter the CCUS credit serial number end range on row 802 of the table.</t>
  </si>
  <si>
    <t>Enter the CCUS credit serial number end range on row 803 of the table.</t>
  </si>
  <si>
    <t>Enter the CCUS credit serial number end range on row 804 of the table.</t>
  </si>
  <si>
    <t>Enter the CCUS credit serial number end range on row 805 of the table.</t>
  </si>
  <si>
    <t>Enter the CCUS credit serial number end range on row 806 of the table.</t>
  </si>
  <si>
    <t>Enter the CCUS credit serial number end range on row 807 of the table.</t>
  </si>
  <si>
    <t>Enter the CCUS credit serial number end range on row 808 of the table.</t>
  </si>
  <si>
    <t>Enter the CCUS credit serial number end range on row 809 of the table.</t>
  </si>
  <si>
    <t>Enter the CCUS credit serial number end range on row 810 of the table.</t>
  </si>
  <si>
    <t>Enter the CCUS credit serial number end range on row 811 of the table.</t>
  </si>
  <si>
    <t>Enter the CCUS credit serial number end range on row 812 of the table.</t>
  </si>
  <si>
    <t>Enter the CCUS credit serial number end range on row 813 of the table.</t>
  </si>
  <si>
    <t>Enter the CCUS credit serial number end range on row 814 of the table.</t>
  </si>
  <si>
    <t>Enter the CCUS credit serial number end range on row 815 of the table.</t>
  </si>
  <si>
    <t>Enter the CCUS credit serial number end range on row 816 of the table.</t>
  </si>
  <si>
    <t>Enter the CCUS credit serial number end range on row 817 of the table.</t>
  </si>
  <si>
    <t>Enter the CCUS credit serial number end range on row 818 of the table.</t>
  </si>
  <si>
    <t>Enter the CCUS credit serial number end range on row 819 of the table.</t>
  </si>
  <si>
    <t>Enter the CCUS credit serial number end range on row 820 of the table.</t>
  </si>
  <si>
    <t>Enter the CCUS credit serial number end range on row 821 of the table.</t>
  </si>
  <si>
    <t>Enter the CCUS credit serial number end range on row 822 of the table.</t>
  </si>
  <si>
    <t>Enter the CCUS credit serial number end range on row 823 of the table.</t>
  </si>
  <si>
    <t>Enter the CCUS credit serial number end range on row 824 of the table.</t>
  </si>
  <si>
    <t>Enter the CCUS credit serial number end range on row 825 of the table.</t>
  </si>
  <si>
    <t>Enter the CCUS credit serial number end range on row 826 of the table.</t>
  </si>
  <si>
    <t>Enter the CCUS credit serial number end range on row 827 of the table.</t>
  </si>
  <si>
    <t>Enter the CCUS credit serial number end range on row 828 of the table.</t>
  </si>
  <si>
    <t>Enter the CCUS credit serial number end range on row 829 of the table.</t>
  </si>
  <si>
    <t>Enter the CCUS credit serial number end range on row 830 of the table.</t>
  </si>
  <si>
    <t>Enter the CCUS credit serial number end range on row 831 of the table.</t>
  </si>
  <si>
    <t>Enter the CCUS credit serial number end range on row 832 of the table.</t>
  </si>
  <si>
    <t>Enter the CCUS credit serial number end range on row 833 of the table.</t>
  </si>
  <si>
    <t>Enter the CCUS credit serial number end range on row 834 of the table.</t>
  </si>
  <si>
    <t>Enter the CCUS credit serial number end range on row 835 of the table.</t>
  </si>
  <si>
    <t>Enter the CCUS credit serial number end range on row 836 of the table.</t>
  </si>
  <si>
    <t>Enter the CCUS credit serial number end range on row 837 of the table.</t>
  </si>
  <si>
    <t>Enter the CCUS credit serial number end range on row 838 of the table.</t>
  </si>
  <si>
    <t>Enter the CCUS credit serial number end range on row 839 of the table.</t>
  </si>
  <si>
    <t>Enter the CCUS credit serial number end range on row 840 of the table.</t>
  </si>
  <si>
    <t>Enter the CCUS credit serial number end range on row 841 of the table.</t>
  </si>
  <si>
    <t>Enter the CCUS credit serial number end range on row 842 of the table.</t>
  </si>
  <si>
    <t>Enter the CCUS credit serial number end range on row 843 of the table.</t>
  </si>
  <si>
    <t>Enter the CCUS credit serial number end range on row 844 of the table.</t>
  </si>
  <si>
    <t>Enter the CCUS credit serial number end range on row 845 of the table.</t>
  </si>
  <si>
    <t>Enter the CCUS credit serial number end range on row 846 of the table.</t>
  </si>
  <si>
    <t>Enter the CCUS credit serial number end range on row 847 of the table.</t>
  </si>
  <si>
    <t>Enter the CCUS credit serial number end range on row 848 of the table.</t>
  </si>
  <si>
    <t>Enter the CCUS credit serial number end range on row 849 of the table.</t>
  </si>
  <si>
    <t>Enter the CCUS credit serial number end range on row 850 of the table.</t>
  </si>
  <si>
    <t>Enter the CCUS credit serial number end range on row 851 of the table.</t>
  </si>
  <si>
    <t>Enter the CCUS credit serial number end range on row 852 of the table.</t>
  </si>
  <si>
    <t>Enter the CCUS credit serial number end range on row 853 of the table.</t>
  </si>
  <si>
    <t>Enter the CCUS credit serial number end range on row 854 of the table.</t>
  </si>
  <si>
    <t>Enter the CCUS credit serial number end range on row 855 of the table.</t>
  </si>
  <si>
    <t>Enter the CCUS credit serial number end range on row 856 of the table.</t>
  </si>
  <si>
    <t>Enter the CCUS credit serial number end range on row 857 of the table.</t>
  </si>
  <si>
    <t>Enter the CCUS credit serial number end range on row 858 of the table.</t>
  </si>
  <si>
    <t>Enter the CCUS credit serial number end range on row 859 of the table.</t>
  </si>
  <si>
    <t>Enter the CCUS credit serial number end range on row 860 of the table.</t>
  </si>
  <si>
    <t>Enter the CCUS credit serial number end range on row 861 of the table.</t>
  </si>
  <si>
    <t>Enter the CCUS credit serial number end range on row 862 of the table.</t>
  </si>
  <si>
    <t>Enter the CCUS credit serial number end range on row 863 of the table.</t>
  </si>
  <si>
    <t>Enter the CCUS credit serial number end range on row 864 of the table.</t>
  </si>
  <si>
    <t>Enter the CCUS credit serial number end range on row 865 of the table.</t>
  </si>
  <si>
    <t>Enter the CCUS credit serial number end range on row 866 of the table.</t>
  </si>
  <si>
    <t>Enter the CCUS credit serial number end range on row 867 of the table.</t>
  </si>
  <si>
    <t>Enter the CCUS credit serial number end range on row 868 of the table.</t>
  </si>
  <si>
    <t>Enter the CCUS credit serial number end range on row 869 of the table.</t>
  </si>
  <si>
    <t>Enter the CCUS credit serial number end range on row 870 of the table.</t>
  </si>
  <si>
    <t>Enter the CCUS credit serial number end range on row 871 of the table.</t>
  </si>
  <si>
    <t>Enter the CCUS credit serial number end range on row 872 of the table.</t>
  </si>
  <si>
    <t>Enter the CCUS credit serial number end range on row 873 of the table.</t>
  </si>
  <si>
    <t>Enter the CCUS credit serial number end range on row 874 of the table.</t>
  </si>
  <si>
    <t>Enter the CCUS credit serial number end range on row 875 of the table.</t>
  </si>
  <si>
    <t>Enter the CCUS credit serial number end range on row 876 of the table.</t>
  </si>
  <si>
    <t>Enter the CCUS credit serial number end range on row 877 of the table.</t>
  </si>
  <si>
    <t>Enter the CCUS credit serial number end range on row 878 of the table.</t>
  </si>
  <si>
    <t>Enter the CCUS credit serial number end range on row 879 of the table.</t>
  </si>
  <si>
    <t>Enter the CCUS credit serial number end range on row 880 of the table.</t>
  </si>
  <si>
    <t>Enter the CCUS credit serial number end range on row 881 of the table.</t>
  </si>
  <si>
    <t>Enter the CCUS credit serial number end range on row 882 of the table.</t>
  </si>
  <si>
    <t>Enter the CCUS credit serial number end range on row 883 of the table.</t>
  </si>
  <si>
    <t>Enter the CCUS credit serial number end range on row 884 of the table.</t>
  </si>
  <si>
    <t>Enter the CCUS credit serial number end range on row 885 of the table.</t>
  </si>
  <si>
    <t>Enter the CCUS credit serial number end range on row 886 of the table.</t>
  </si>
  <si>
    <t>Enter the CCUS credit serial number end range on row 887 of the table.</t>
  </si>
  <si>
    <t>Enter the CCUS credit serial number end range on row 888 of the table.</t>
  </si>
  <si>
    <t>Enter the CCUS credit serial number end range on row 889 of the table.</t>
  </si>
  <si>
    <t>Enter the CCUS credit serial number end range on row 890 of the table.</t>
  </si>
  <si>
    <t>Enter the CCUS credit serial number end range on row 891 of the table.</t>
  </si>
  <si>
    <t>Enter the CCUS credit serial number end range on row 892 of the table.</t>
  </si>
  <si>
    <t>Enter the CCUS credit serial number end range on row 893 of the table.</t>
  </si>
  <si>
    <t>Enter the CCUS credit serial number end range on row 894 of the table.</t>
  </si>
  <si>
    <t>Enter the CCUS credit serial number end range on row 895 of the table.</t>
  </si>
  <si>
    <t>Enter the CCUS credit serial number end range on row 896 of the table.</t>
  </si>
  <si>
    <t>Enter the CCUS credit serial number end range on row 897 of the table.</t>
  </si>
  <si>
    <t>Enter the CCUS credit serial number end range on row 898 of the table.</t>
  </si>
  <si>
    <t>Enter the CCUS credit serial number end range on row 899 of the table.</t>
  </si>
  <si>
    <t>Enter the CCUS credit serial number end range on row 900 of the table.</t>
  </si>
  <si>
    <t>Enter the CCUS credit serial number end range on row 901 of the table.</t>
  </si>
  <si>
    <t>Enter the CCUS credit serial number end range on row 902 of the table.</t>
  </si>
  <si>
    <t>Enter the CCUS credit serial number end range on row 903 of the table.</t>
  </si>
  <si>
    <t>Enter the CCUS credit serial number end range on row 904 of the table.</t>
  </si>
  <si>
    <t>Enter the CCUS credit serial number end range on row 905 of the table.</t>
  </si>
  <si>
    <t>Enter the CCUS credit serial number end range on row 906 of the table.</t>
  </si>
  <si>
    <t>Enter the CCUS credit serial number end range on row 907 of the table.</t>
  </si>
  <si>
    <t>Enter the CCUS credit serial number end range on row 908 of the table.</t>
  </si>
  <si>
    <t>Enter the CCUS credit serial number end range on row 909 of the table.</t>
  </si>
  <si>
    <t>Enter the CCUS credit serial number end range on row 910 of the table.</t>
  </si>
  <si>
    <t>Enter the CCUS credit serial number end range on row 911 of the table.</t>
  </si>
  <si>
    <t>Enter the CCUS credit serial number end range on row 912 of the table.</t>
  </si>
  <si>
    <t>Enter the CCUS credit serial number end range on row 913 of the table.</t>
  </si>
  <si>
    <t>Enter the CCUS credit serial number end range on row 914 of the table.</t>
  </si>
  <si>
    <t>Enter the CCUS credit serial number end range on row 915 of the table.</t>
  </si>
  <si>
    <t>Enter the CCUS credit serial number end range on row 916 of the table.</t>
  </si>
  <si>
    <t>Enter the CCUS credit serial number end range on row 917 of the table.</t>
  </si>
  <si>
    <t>Enter the CCUS credit serial number end range on row 918 of the table.</t>
  </si>
  <si>
    <t>Enter the CCUS credit serial number end range on row 919 of the table.</t>
  </si>
  <si>
    <t>Enter the CCUS credit serial number end range on row 920 of the table.</t>
  </si>
  <si>
    <t>Enter the CCUS credit serial number end range on row 921 of the table.</t>
  </si>
  <si>
    <t>Enter the CCUS credit serial number end range on row 922 of the table.</t>
  </si>
  <si>
    <t>Enter the CCUS credit serial number end range on row 923 of the table.</t>
  </si>
  <si>
    <t>Enter the CCUS credit serial number end range on row 924 of the table.</t>
  </si>
  <si>
    <t>Enter the CCUS credit serial number end range on row 925 of the table.</t>
  </si>
  <si>
    <t>Enter the CCUS credit serial number end range on row 926 of the table.</t>
  </si>
  <si>
    <t>Enter the CCUS credit serial number end range on row 927 of the table.</t>
  </si>
  <si>
    <t>Enter the CCUS credit serial number end range on row 928 of the table.</t>
  </si>
  <si>
    <t>Enter the CCUS credit serial number end range on row 929 of the table.</t>
  </si>
  <si>
    <t>Enter the CCUS credit serial number end range on row 930 of the table.</t>
  </si>
  <si>
    <t>Enter the CCUS credit serial number end range on row 931 of the table.</t>
  </si>
  <si>
    <t>Enter the CCUS credit serial number end range on row 932 of the table.</t>
  </si>
  <si>
    <t>Enter the CCUS credit serial number end range on row 933 of the table.</t>
  </si>
  <si>
    <t>Enter the CCUS credit serial number end range on row 934 of the table.</t>
  </si>
  <si>
    <t>Enter the CCUS credit serial number end range on row 935 of the table.</t>
  </si>
  <si>
    <t>Enter the CCUS credit serial number end range on row 936 of the table.</t>
  </si>
  <si>
    <t>Enter the CCUS credit serial number end range on row 937 of the table.</t>
  </si>
  <si>
    <t>Enter the CCUS credit serial number end range on row 938 of the table.</t>
  </si>
  <si>
    <t>Enter the CCUS credit serial number end range on row 939 of the table.</t>
  </si>
  <si>
    <t>Enter the CCUS credit serial number end range on row 940 of the table.</t>
  </si>
  <si>
    <t>Enter the CCUS credit serial number end range on row 941 of the table.</t>
  </si>
  <si>
    <t>Enter the CCUS credit serial number end range on row 942 of the table.</t>
  </si>
  <si>
    <t>Enter the CCUS credit serial number end range on row 943 of the table.</t>
  </si>
  <si>
    <t>Enter the CCUS credit serial number end range on row 944 of the table.</t>
  </si>
  <si>
    <t>Enter the CCUS credit serial number end range on row 945 of the table.</t>
  </si>
  <si>
    <t>Enter the CCUS credit serial number end range on row 946 of the table.</t>
  </si>
  <si>
    <t>Enter the CCUS credit serial number end range on row 947 of the table.</t>
  </si>
  <si>
    <t>Enter the CCUS credit serial number end range on row 948 of the table.</t>
  </si>
  <si>
    <t>Enter the CCUS credit serial number end range on row 949 of the table.</t>
  </si>
  <si>
    <t>Enter the CCUS credit serial number end range on row 950 of the table.</t>
  </si>
  <si>
    <t>Enter the CCUS credit serial number end range on row 951 of the table.</t>
  </si>
  <si>
    <t>Enter the CCUS credit serial number end range on row 952 of the table.</t>
  </si>
  <si>
    <t>Enter the CCUS credit serial number end range on row 953 of the table.</t>
  </si>
  <si>
    <t>Enter the CCUS credit serial number end range on row 954 of the table.</t>
  </si>
  <si>
    <t>Enter the CCUS credit serial number end range on row 955 of the table.</t>
  </si>
  <si>
    <t>Enter the CCUS credit serial number end range on row 956 of the table.</t>
  </si>
  <si>
    <t>Enter the CCUS credit serial number end range on row 957 of the table.</t>
  </si>
  <si>
    <t>Enter the CCUS credit serial number end range on row 958 of the table.</t>
  </si>
  <si>
    <t>Enter the CCUS credit serial number end range on row 959 of the table.</t>
  </si>
  <si>
    <t>Enter the CCUS credit serial number end range on row 960 of the table.</t>
  </si>
  <si>
    <t>Enter the CCUS credit serial number end range on row 961 of the table.</t>
  </si>
  <si>
    <t>Enter the CCUS credit serial number end range on row 962 of the table.</t>
  </si>
  <si>
    <t>Enter the CCUS credit serial number end range on row 963 of the table.</t>
  </si>
  <si>
    <t>Enter the CCUS credit serial number end range on row 964 of the table.</t>
  </si>
  <si>
    <t>Enter the CCUS credit serial number end range on row 965 of the table.</t>
  </si>
  <si>
    <t>Enter the CCUS credit serial number end range on row 966 of the table.</t>
  </si>
  <si>
    <t>Enter the CCUS credit serial number end range on row 967 of the table.</t>
  </si>
  <si>
    <t>Enter the CCUS credit serial number end range on row 968 of the table.</t>
  </si>
  <si>
    <t>Enter the CCUS credit serial number end range on row 969 of the table.</t>
  </si>
  <si>
    <t>Enter the CCUS credit serial number end range on row 970 of the table.</t>
  </si>
  <si>
    <t>Enter the CCUS credit serial number end range on row 971 of the table.</t>
  </si>
  <si>
    <t>Enter the CCUS credit serial number end range on row 972 of the table.</t>
  </si>
  <si>
    <t>Enter the CCUS credit serial number end range on row 973 of the table.</t>
  </si>
  <si>
    <t>Enter the CCUS credit serial number end range on row 974 of the table.</t>
  </si>
  <si>
    <t>Enter the CCUS credit serial number end range on row 975 of the table.</t>
  </si>
  <si>
    <t>Enter the CCUS credit serial number end range on row 976 of the table.</t>
  </si>
  <si>
    <t>Enter the CCUS credit serial number end range on row 977 of the table.</t>
  </si>
  <si>
    <t>Enter the CCUS credit serial number end range on row 978 of the table.</t>
  </si>
  <si>
    <t>Enter the CCUS credit serial number end range on row 979 of the table.</t>
  </si>
  <si>
    <t>Enter the CCUS credit serial number end range on row 980 of the table.</t>
  </si>
  <si>
    <t>Enter the CCUS credit serial number end range on row 981 of the table.</t>
  </si>
  <si>
    <t>Enter the CCUS credit serial number end range on row 982 of the table.</t>
  </si>
  <si>
    <t>Enter the CCUS credit serial number end range on row 983 of the table.</t>
  </si>
  <si>
    <t>Enter the CCUS credit serial number end range on row 984 of the table.</t>
  </si>
  <si>
    <t>Enter the CCUS credit serial number end range on row 985 of the table.</t>
  </si>
  <si>
    <t>Enter the CCUS credit serial number end range on row 986 of the table.</t>
  </si>
  <si>
    <t>Enter the CCUS credit serial number end range on row 987 of the table.</t>
  </si>
  <si>
    <t>Enter the CCUS credit serial number end range on row 988 of the table.</t>
  </si>
  <si>
    <t>Enter the CCUS credit serial number end range on row 989 of the table.</t>
  </si>
  <si>
    <t>Enter the CCUS credit serial number end range on row 990 of the table.</t>
  </si>
  <si>
    <t>Enter the CCUS credit serial number end range on row 991 of the table.</t>
  </si>
  <si>
    <t>Enter the CCUS credit serial number end range on row 992 of the table.</t>
  </si>
  <si>
    <t>Enter the CCUS credit serial number end range on row 993 of the table.</t>
  </si>
  <si>
    <t>Enter the CCUS credit serial number end range on row 994 of the table.</t>
  </si>
  <si>
    <t>Enter the CCUS credit serial number end range on row 995 of the table.</t>
  </si>
  <si>
    <t>Enter the CCUS credit serial number end range on row 996 of the table.</t>
  </si>
  <si>
    <t>Enter the CCUS credit serial number end range on row 997 of the table.</t>
  </si>
  <si>
    <t>Enter the CCUS credit serial number end range on row 998 of the table.</t>
  </si>
  <si>
    <t>Enter the CCUS credit serial number end range on row 999 of the table.</t>
  </si>
  <si>
    <t>Enter the CCUS credit serial number end range on row 1000 of the table.</t>
  </si>
  <si>
    <t>R.Performance.RowCreditCount</t>
  </si>
  <si>
    <t>R.CCUS.RowCreditCount</t>
  </si>
  <si>
    <t>(authorized signing officer) confirm that all the information</t>
  </si>
  <si>
    <t>Both an Excel and PDF version of this form must be submitted along with any other required documents. After reviewing each tab, the authorized signing officer must enter their name and the date and click the button below to convert this form to a PDF. The PDF must be signed by the authorized signing officer on the line below.</t>
  </si>
  <si>
    <t>='Performance Credit Information'!$C$1026</t>
  </si>
  <si>
    <t>='CCUS Credit Information'!$C$1026</t>
  </si>
  <si>
    <t>=Declaration!$B$1:$G$38</t>
  </si>
  <si>
    <t>=Declaration!$C$31</t>
  </si>
  <si>
    <t>R.Declaration.FormName</t>
  </si>
  <si>
    <t>=Declaration!$C$33</t>
  </si>
  <si>
    <t>Enter the performance credit serial numbers being retired to fulfil the compliance obligation. Each serial number has the format: yyyyPCxxxxxxxxx. A serial number start range and end range must be entered in each row of the table. In each row, the first four digits of the serial number start range and end range must be the same, and the last nine digits in the end range must be greater than or equal to those in the start range. If the total column is empty after a serial number start range and end range have been entered in a row, check both numbers to ensure these rules are met.</t>
  </si>
  <si>
    <t>Enter the CCUS credit serial numbers being retired to fulfil the compliance obligation. Each serial number has the format: yyyyCCxxxxxxxxx. A serial number start range and end range must be entered in each row of the table. In each row, the first four digits of the serial number start range and end range must be the same, and the last nine digits in the end range must be greater than or equal to those in the start range. If the total column is empty after a serial number start range and end range have been entered in a row, check both numbers to ensure these rules are met.</t>
  </si>
  <si>
    <t>Compliance Obligation Fulfillment</t>
  </si>
  <si>
    <t>I.Compliance.FulfilledPerformance</t>
  </si>
  <si>
    <t>I.Compliance.FulfilledCCUS</t>
  </si>
  <si>
    <t>R.Compliance.FulfilledPayment</t>
  </si>
  <si>
    <t>='Compliance Information'!$C$56</t>
  </si>
  <si>
    <t>='Compliance Information'!$C$44</t>
  </si>
  <si>
    <t>='Compliance Information'!$C$50</t>
  </si>
  <si>
    <t>Enter the compliance obligation fulfilled by retiring CCUS credits.</t>
  </si>
  <si>
    <t>The compliance obligation fulfilled by retiring credits exceeds the compliance obligation. Ensure the compliance obligation fulfilled does not exceed the compliance obligation.</t>
  </si>
  <si>
    <t>Compliance obligation entered</t>
  </si>
  <si>
    <t>=Developer!$B$4:$I$4089</t>
  </si>
  <si>
    <t>=Developer!$E$4:$E$4089</t>
  </si>
  <si>
    <t>='Compliance Information'!$B$1:$G$58</t>
  </si>
  <si>
    <t>R.Compliance.RowNumber</t>
  </si>
  <si>
    <t>='Compliance Information'!$C$17:$C$36</t>
  </si>
  <si>
    <t>='Compliance Information'!$C$52</t>
  </si>
  <si>
    <t>R.Performance.RowNumber</t>
  </si>
  <si>
    <t>R.CCUS.RowNumber</t>
  </si>
  <si>
    <t>=Declaration!$C$36</t>
  </si>
  <si>
    <r>
      <t>Enter the compliance obligation in tonnes CO</t>
    </r>
    <r>
      <rPr>
        <vertAlign val="subscript"/>
        <sz val="11"/>
        <color rgb="FF000000"/>
        <rFont val="Aptos Narrow"/>
        <family val="2"/>
        <scheme val="minor"/>
      </rPr>
      <t>2</t>
    </r>
    <r>
      <rPr>
        <sz val="11"/>
        <color rgb="FF000000"/>
        <rFont val="Aptos Narrow"/>
        <family val="2"/>
        <scheme val="minor"/>
      </rPr>
      <t>e for each facility.</t>
    </r>
  </si>
  <si>
    <t>R.Performance.FulfilledPerformance</t>
  </si>
  <si>
    <t>R.CCUS.FulfilledCCUS</t>
  </si>
  <si>
    <t>R.Payment.FulfilledPayment</t>
  </si>
  <si>
    <t>=Declaration!$F$28</t>
  </si>
  <si>
    <t/>
  </si>
  <si>
    <t>The number of performance credits entered in the table does not align with the compliance obligation fulfilled by retiring performance credits. Ensure the credits entered in the table are correct.</t>
  </si>
  <si>
    <t>The number of CCUS credits entered in the table does not align with the compliance obligation fulfilled by retiring CCUS credits. Ensure the credits entered in the table are correct.</t>
  </si>
  <si>
    <t>Date</t>
  </si>
  <si>
    <t>S.Compliance.Table1</t>
  </si>
  <si>
    <t>='Compliance Information'!$D$17:$F$36</t>
  </si>
  <si>
    <t>=Developer!$K$4:$L$13</t>
  </si>
  <si>
    <t>Credit serial number start range</t>
  </si>
  <si>
    <t>Credit serial number end range</t>
  </si>
  <si>
    <t>provided in this form is accurate and that I am authorized to act on behalf of this regulated emitter.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</si>
  <si>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Balance</t>
  </si>
  <si>
    <r>
      <t xml:space="preserve">All information included in support of this submission is considered public in accordance with section 61(1) of </t>
    </r>
    <r>
      <rPr>
        <i/>
        <sz val="11"/>
        <color rgb="FF000000"/>
        <rFont val="Aptos Narrow"/>
        <family val="2"/>
        <scheme val="minor"/>
      </rPr>
      <t>The Management and Reduction of Greenhouse Gases Act.</t>
    </r>
    <r>
      <rPr>
        <sz val="11"/>
        <color rgb="FF000000"/>
        <rFont val="Aptos Narrow"/>
        <family val="2"/>
        <scheme val="minor"/>
      </rPr>
      <t xml:space="preserve"> A request to keep confidential any part of this submission for a period of five years must be made in writing by submitting the </t>
    </r>
    <r>
      <rPr>
        <i/>
        <sz val="11"/>
        <color rgb="FF000000"/>
        <rFont val="Aptos Narrow"/>
        <family val="2"/>
        <scheme val="minor"/>
      </rPr>
      <t>Confidentiality Request Form for Regulated Emitters Subject to The Management and Reduction of Greenhouse Gases (Standards and Compliance) Regulations, 2023</t>
    </r>
    <r>
      <rPr>
        <sz val="11"/>
        <color rgb="FF000000"/>
        <rFont val="Aptos Narrow"/>
        <family val="2"/>
        <scheme val="minor"/>
      </rPr>
      <t xml:space="preserve"> with this submission per section 61(3) of </t>
    </r>
    <r>
      <rPr>
        <i/>
        <sz val="11"/>
        <color rgb="FF000000"/>
        <rFont val="Aptos Narrow"/>
        <family val="2"/>
        <scheme val="minor"/>
      </rPr>
      <t>The Management and Reduction of Greenhouse Gases Act</t>
    </r>
    <r>
      <rPr>
        <sz val="11"/>
        <color rgb="FF000000"/>
        <rFont val="Aptos Narrow"/>
        <family val="2"/>
        <scheme val="minor"/>
      </rPr>
      <t xml:space="preserve"> and section 32 of </t>
    </r>
    <r>
      <rPr>
        <i/>
        <sz val="11"/>
        <color rgb="FF000000"/>
        <rFont val="Aptos Narrow"/>
        <family val="2"/>
        <scheme val="minor"/>
      </rPr>
      <t>The Management and Reduction of Greenhouse Gases (Standards and Compliance) Regulations, 2023.</t>
    </r>
    <r>
      <rPr>
        <sz val="11"/>
        <color rgb="FF000000"/>
        <rFont val="Aptos Narrow"/>
        <family val="2"/>
        <scheme val="minor"/>
      </rPr>
      <t xml:space="preserve"> Subsequent requests may be made prior to the expiry period to extend confidentiality of all or any part of this submission on five-year intervals per section 61(4) of </t>
    </r>
    <r>
      <rPr>
        <i/>
        <sz val="11"/>
        <color rgb="FF000000"/>
        <rFont val="Aptos Narrow"/>
        <family val="2"/>
        <scheme val="minor"/>
      </rPr>
      <t>The Management and Reduction of Greenhouse Gases Act.</t>
    </r>
  </si>
  <si>
    <t>Both the Excel and PDF versions of this form must be submitted in their entirety along with any other required documents.</t>
  </si>
  <si>
    <t>This completed form must be submitted by email to OBPSENV@gov.sk.ca.</t>
  </si>
  <si>
    <r>
      <t xml:space="preserve">This form makes use of macros. </t>
    </r>
    <r>
      <rPr>
        <b/>
        <sz val="11"/>
        <color rgb="FF000000"/>
        <rFont val="Aptos Narrow"/>
        <family val="2"/>
        <scheme val="minor"/>
      </rPr>
      <t>Please enable macros.</t>
    </r>
  </si>
  <si>
    <r>
      <t xml:space="preserve">The requirements in this form are administered under the authority of </t>
    </r>
    <r>
      <rPr>
        <i/>
        <sz val="11"/>
        <color rgb="FF000000"/>
        <rFont val="Aptos Narrow"/>
        <family val="2"/>
        <scheme val="minor"/>
      </rPr>
      <t>The Management and Reduction of Greenhouse Gases Act, The Management and Reduction of Greenhouse Gases (Standards and Compliance) Regulations, 2023, The Aggregate Facility Standard</t>
    </r>
    <r>
      <rPr>
        <sz val="11"/>
        <color rgb="FF000000"/>
        <rFont val="Aptos Narrow"/>
        <family val="2"/>
        <scheme val="minor"/>
      </rPr>
      <t xml:space="preserve"> and </t>
    </r>
    <r>
      <rPr>
        <i/>
        <sz val="11"/>
        <color rgb="FF000000"/>
        <rFont val="Aptos Narrow"/>
        <family val="2"/>
        <scheme val="minor"/>
      </rPr>
      <t>The Industrial Facility Standard.</t>
    </r>
  </si>
  <si>
    <t>=Instructions!$B$1:$F$72</t>
  </si>
  <si>
    <t>=Instructions!$C$72</t>
  </si>
  <si>
    <t>=Instructions!$E$72</t>
  </si>
  <si>
    <t>='Performance Credit Information'!$C$10</t>
  </si>
  <si>
    <t>='Performance Credit Information'!$D$18:$D$1017</t>
  </si>
  <si>
    <t>='Performance Credit Information'!$E$18:$E$1017</t>
  </si>
  <si>
    <t>='CCUS Credit Information'!$C$10</t>
  </si>
  <si>
    <t>='CCUS Credit Information'!$D$18:$D$1017</t>
  </si>
  <si>
    <t>='CCUS Credit Information'!$E$18:$E$1017</t>
  </si>
  <si>
    <t>='Performance Credit Information'!$D$18:$E$1017</t>
  </si>
  <si>
    <t>='CCUS Credit Information'!$D$18:$E$1017</t>
  </si>
  <si>
    <t>='Performance Credit Information'!$B$1:$G$1028</t>
  </si>
  <si>
    <t>='Performance Credit Information'!$C$7</t>
  </si>
  <si>
    <t>='Performance Credit Information'!$C$18:$C$1017</t>
  </si>
  <si>
    <t>='Performance Credit Information'!$F$18:$F$1017</t>
  </si>
  <si>
    <t>='Performance Credit Information'!$C$1020</t>
  </si>
  <si>
    <t>='Performance Credit Information'!$C$1022</t>
  </si>
  <si>
    <t>='CCUS Credit Information'!$B$1:$G$1028</t>
  </si>
  <si>
    <t>='CCUS Credit Information'!$C$7</t>
  </si>
  <si>
    <t>='CCUS Credit Information'!$C$18:$C$1017</t>
  </si>
  <si>
    <t>='CCUS Credit Information'!$F$18:$F$1017</t>
  </si>
  <si>
    <t>='CCUS Credit Information'!$C$1020</t>
  </si>
  <si>
    <t>='CCUS Credit Information'!$C$1022</t>
  </si>
  <si>
    <t>Regulated emitters fulfilling their compliance obligation in whole or in part by submitting a payment to the Government of Saskatchewan (Saskatchewan Technology Fund) must:
(1) complete this form and submit it to the Ministry of Environment at OBPSENV@gov.sk.ca and Innovation Saskatchewan at sasktechfund@innovationsask.ca at least five calendar days in advance of making payment and
(2) submit a payment to Innovation Saskatchewan any time prior to the deadline and after this form is submitted.</t>
  </si>
  <si>
    <r>
      <t xml:space="preserve">A </t>
    </r>
    <r>
      <rPr>
        <i/>
        <sz val="11"/>
        <color rgb="FF000000"/>
        <rFont val="Aptos Narrow"/>
        <family val="2"/>
        <scheme val="minor"/>
      </rPr>
      <t>Contact Information Form for Regulated Emitters within the Saskatchewan Output-Based Performance Standards Program</t>
    </r>
    <r>
      <rPr>
        <sz val="11"/>
        <color rgb="FF000000"/>
        <rFont val="Aptos Narrow"/>
        <family val="2"/>
        <scheme val="minor"/>
      </rPr>
      <t xml:space="preserve"> must be submitted if the public contact or an authorized signing officer or technical contact at a facility owned or operated by the regulated emitter changes.</t>
    </r>
  </si>
  <si>
    <t>=Developer!$N$4:$Q$37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</si>
</sst>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164" formatCode="&quot;Version: &quot;0#.00"/>
    <numFmt numFmtId="165" formatCode="&quot;Date: &quot;yyyy\-mm\-dd"/>
    <numFmt numFmtId="166" formatCode="yyyy\-mm\-dd\ hh:mm:ss\ AM/PM"/>
    <numFmt numFmtId="167" formatCode="yyyy\-mm\-dd;@"/>
    <numFmt numFmtId="168" formatCode="&quot;Date: &quot;yyyy/mm/dd"/>
    <numFmt numFmtId="169" formatCode="&quot;$&quot;#,##0.00"/>
    <numFmt numFmtId="170" formatCode="yyyy/mm/dd\ hh:mm:ss\ AM/PM"/>
  </numFmts>
  <fonts count="18" x14ac:knownFonts="1">
    <font>
      <sz val="11"/>
      <color theme="1"/>
      <name val="Aptos Narrow"/>
      <family val="2"/>
      <scheme val="minor"/>
    </font>
    <font>
      <sz val="11"/>
      <color rgb="FF000000"/>
      <name val="Aptos Narrow"/>
      <family val="2"/>
    </font>
    <font>
      <i/>
      <sz val="11"/>
      <color rgb="FF000000"/>
      <name val="Aptos Narrow"/>
      <family val="2"/>
    </font>
    <font>
      <vertAlign val="subscript"/>
      <sz val="11"/>
      <color rgb="FF000000"/>
      <name val="Aptos Narrow"/>
      <family val="2"/>
    </font>
    <font>
      <b/>
      <i/>
      <sz val="18"/>
      <color rgb="FFFFFFFF"/>
      <name val="Aptos Narrow"/>
      <family val="2"/>
    </font>
    <font>
      <sz val="11"/>
      <color theme="1"/>
      <name val="Aptos Narrow"/>
      <family val="2"/>
    </font>
    <font>
      <i/>
      <sz val="11"/>
      <color theme="1"/>
      <name val="Aptos Narrow"/>
      <family val="2"/>
    </font>
    <font>
      <b/>
      <sz val="11"/>
      <color theme="0"/>
      <name val="Aptos Narrow"/>
      <family val="2"/>
    </font>
    <font>
      <sz val="11"/>
      <color rgb="FF000000"/>
      <name val="Aptos Narrow"/>
      <family val="2"/>
      <scheme val="minor"/>
    </font>
    <font>
      <b/>
      <sz val="11"/>
      <color rgb="FF000000"/>
      <name val="Aptos Narrow"/>
      <family val="2"/>
      <scheme val="minor"/>
    </font>
    <font>
      <b/>
      <sz val="18"/>
      <color rgb="FFFFFFFF"/>
      <name val="Aptos Narrow"/>
      <family val="2"/>
      <scheme val="minor"/>
    </font>
    <font>
      <sz val="9"/>
      <color rgb="FF000000"/>
      <name val="Aptos Narrow"/>
      <family val="2"/>
      <scheme val="minor"/>
    </font>
    <font>
      <b/>
      <sz val="11"/>
      <color rgb="FFFF0000"/>
      <name val="Aptos Narrow"/>
      <family val="2"/>
      <scheme val="minor"/>
    </font>
    <font>
      <b/>
      <sz val="14"/>
      <color rgb="FF000000"/>
      <name val="Aptos Narrow"/>
      <family val="2"/>
      <scheme val="minor"/>
    </font>
    <font>
      <vertAlign val="subscript"/>
      <sz val="11"/>
      <color rgb="FF000000"/>
      <name val="Aptos Narrow"/>
      <family val="2"/>
      <scheme val="minor"/>
    </font>
    <font>
      <i/>
      <sz val="11"/>
      <color rgb="FF000000"/>
      <name val="Aptos Narrow"/>
      <family val="2"/>
      <scheme val="minor"/>
    </font>
    <font>
      <sz val="11"/>
      <color theme="1"/>
      <name val="Aptos Narrow"/>
      <family val="2"/>
      <scheme val="minor"/>
    </font>
    <font>
      <b/>
      <sz val="18"/>
      <color rgb="FFFFFFFF"/>
      <name val="Aptos Narrow"/>
      <family val="2"/>
    </font>
  </fonts>
  <fills count="8">
    <fill>
      <patternFill patternType="none"/>
    </fill>
    <fill>
      <patternFill patternType="gray125"/>
    </fill>
    <fill>
      <patternFill patternType="solid">
        <fgColor rgb="FF046A38"/>
        <bgColor indexed="64"/>
      </patternFill>
    </fill>
    <fill>
      <patternFill patternType="solid">
        <fgColor rgb="FFFBDD40"/>
        <bgColor indexed="64"/>
      </patternFill>
    </fill>
    <fill>
      <patternFill patternType="solid">
        <fgColor rgb="FFE6F0EB"/>
        <bgColor indexed="64"/>
      </patternFill>
    </fill>
    <fill>
      <patternFill patternType="solid">
        <fgColor rgb="FFFFFFFF"/>
        <bgColor indexed="64"/>
      </patternFill>
    </fill>
    <fill>
      <patternFill patternType="solid">
        <fgColor rgb="FFA7CBB9"/>
        <bgColor indexed="64"/>
      </patternFill>
    </fill>
    <fill>
      <patternFill patternType="solid">
        <fgColor rgb="FF2C3136"/>
        <bgColor indexed="64"/>
      </patternFill>
    </fill>
  </fills>
  <borders count="3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dashed">
        <color indexed="64"/>
      </left>
      <right/>
      <top style="dashed">
        <color indexed="64"/>
      </top>
      <bottom/>
      <diagonal/>
    </border>
    <border>
      <left style="dashed">
        <color indexed="64"/>
      </left>
      <right/>
      <top/>
      <bottom/>
      <diagonal/>
    </border>
    <border>
      <left/>
      <right style="dashed">
        <color indexed="64"/>
      </right>
      <top style="dashed">
        <color indexed="64"/>
      </top>
      <bottom/>
      <diagonal/>
    </border>
    <border>
      <left/>
      <right style="dashed">
        <color indexed="64"/>
      </right>
      <top/>
      <bottom/>
      <diagonal/>
    </border>
    <border>
      <left style="dashed">
        <color indexed="64"/>
      </left>
      <right/>
      <top/>
      <bottom style="thin">
        <color indexed="64"/>
      </bottom>
      <diagonal/>
    </border>
    <border>
      <left/>
      <right style="dashed">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2">
    <xf numFmtId="0" fontId="0" fillId="0" borderId="0"/>
    <xf numFmtId="44" fontId="16" fillId="0" borderId="0" applyFont="0" applyFill="0" applyBorder="0" applyAlignment="0" applyProtection="0"/>
  </cellStyleXfs>
  <cellXfs count="153">
    <xf numFmtId="0" fontId="0" fillId="0" borderId="0" xfId="0"/>
    <xf numFmtId="0" fontId="8" fillId="4" borderId="4" xfId="0" applyFont="1" applyFill="1" applyBorder="1"/>
    <xf numFmtId="0" fontId="8" fillId="4" borderId="5" xfId="0" applyFont="1" applyFill="1" applyBorder="1"/>
    <xf numFmtId="0" fontId="8" fillId="4" borderId="7" xfId="0" applyFont="1" applyFill="1" applyBorder="1"/>
    <xf numFmtId="0" fontId="8" fillId="4" borderId="6" xfId="0" applyFont="1" applyFill="1" applyBorder="1"/>
    <xf numFmtId="0" fontId="8" fillId="4" borderId="8" xfId="0" applyFont="1" applyFill="1" applyBorder="1"/>
    <xf numFmtId="0" fontId="8" fillId="2" borderId="9" xfId="0" applyFont="1" applyFill="1" applyBorder="1"/>
    <xf numFmtId="0" fontId="8" fillId="2" borderId="11" xfId="0" applyFont="1" applyFill="1" applyBorder="1"/>
    <xf numFmtId="164" fontId="11" fillId="4" borderId="6" xfId="0" applyNumberFormat="1" applyFont="1" applyFill="1" applyBorder="1" applyAlignment="1">
      <alignment horizontal="left" vertical="top"/>
    </xf>
    <xf numFmtId="165" fontId="11" fillId="4" borderId="6" xfId="0" applyNumberFormat="1" applyFont="1" applyFill="1" applyBorder="1" applyAlignment="1">
      <alignment horizontal="right" vertical="top"/>
    </xf>
    <xf numFmtId="49" fontId="8" fillId="5" borderId="13" xfId="0" applyNumberFormat="1" applyFont="1" applyFill="1" applyBorder="1" applyAlignment="1" applyProtection="1">
      <alignment horizontal="left" vertical="top" wrapText="1"/>
      <protection locked="0"/>
    </xf>
    <xf numFmtId="167" fontId="8" fillId="5" borderId="13" xfId="0" applyNumberFormat="1" applyFont="1" applyFill="1" applyBorder="1" applyAlignment="1" applyProtection="1">
      <alignment horizontal="left" vertical="top" wrapText="1"/>
      <protection locked="0"/>
    </xf>
    <xf numFmtId="0" fontId="8" fillId="2" borderId="1" xfId="0" applyFont="1" applyFill="1" applyBorder="1"/>
    <xf numFmtId="0" fontId="8" fillId="2" borderId="3" xfId="0" applyFont="1" applyFill="1" applyBorder="1"/>
    <xf numFmtId="0" fontId="8" fillId="2" borderId="4" xfId="0" applyFont="1" applyFill="1" applyBorder="1"/>
    <xf numFmtId="0" fontId="8" fillId="2" borderId="5" xfId="0" applyFont="1" applyFill="1" applyBorder="1"/>
    <xf numFmtId="0" fontId="8" fillId="3" borderId="1" xfId="0" applyFont="1" applyFill="1" applyBorder="1"/>
    <xf numFmtId="0" fontId="8" fillId="3" borderId="3" xfId="0" applyFont="1" applyFill="1" applyBorder="1"/>
    <xf numFmtId="0" fontId="8" fillId="4" borderId="4" xfId="0" applyFont="1" applyFill="1" applyBorder="1" applyAlignment="1">
      <alignment horizontal="center"/>
    </xf>
    <xf numFmtId="3" fontId="8" fillId="6" borderId="13" xfId="0" applyNumberFormat="1" applyFont="1" applyFill="1" applyBorder="1" applyAlignment="1">
      <alignment horizontal="left" vertical="top" wrapText="1"/>
    </xf>
    <xf numFmtId="0" fontId="5" fillId="0" borderId="0" xfId="0" applyFont="1" applyAlignment="1">
      <alignment horizontal="center"/>
    </xf>
    <xf numFmtId="0" fontId="5" fillId="0" borderId="0" xfId="0" applyFont="1" applyAlignment="1">
      <alignment horizontal="left"/>
    </xf>
    <xf numFmtId="0" fontId="5" fillId="0" borderId="0" xfId="0" applyFont="1"/>
    <xf numFmtId="0" fontId="6" fillId="0" borderId="0" xfId="0" applyFont="1" applyAlignment="1">
      <alignment horizontal="left" vertical="top"/>
    </xf>
    <xf numFmtId="0" fontId="5" fillId="0" borderId="0" xfId="0" applyFont="1" applyAlignment="1">
      <alignment horizontal="left" vertical="top"/>
    </xf>
    <xf numFmtId="0" fontId="7" fillId="7" borderId="18" xfId="0" applyFont="1" applyFill="1" applyBorder="1" applyAlignment="1">
      <alignment horizontal="left" vertical="top"/>
    </xf>
    <xf numFmtId="0" fontId="7" fillId="7" borderId="19" xfId="0" applyFont="1" applyFill="1" applyBorder="1" applyAlignment="1">
      <alignment horizontal="left" vertical="top"/>
    </xf>
    <xf numFmtId="0" fontId="7" fillId="7" borderId="14" xfId="0" applyFont="1" applyFill="1" applyBorder="1" applyAlignment="1">
      <alignment horizontal="left" vertical="top"/>
    </xf>
    <xf numFmtId="0" fontId="7" fillId="7" borderId="0" xfId="0" applyFont="1" applyFill="1" applyAlignment="1">
      <alignment horizontal="left" vertical="top"/>
    </xf>
    <xf numFmtId="0" fontId="7" fillId="7" borderId="20" xfId="0" applyFont="1" applyFill="1" applyBorder="1" applyAlignment="1">
      <alignment horizontal="left" vertical="top"/>
    </xf>
    <xf numFmtId="0" fontId="5" fillId="0" borderId="14" xfId="0" applyFont="1" applyBorder="1" applyAlignment="1">
      <alignment horizontal="left" vertical="top"/>
    </xf>
    <xf numFmtId="0" fontId="5" fillId="0" borderId="21" xfId="0" applyFont="1" applyBorder="1" applyAlignment="1">
      <alignment horizontal="left" vertical="top"/>
    </xf>
    <xf numFmtId="49" fontId="5" fillId="0" borderId="21" xfId="0" applyNumberFormat="1" applyFont="1" applyBorder="1" applyAlignment="1">
      <alignment horizontal="left" vertical="top" wrapText="1"/>
    </xf>
    <xf numFmtId="49" fontId="5" fillId="0" borderId="21" xfId="0" applyNumberFormat="1" applyFont="1" applyBorder="1" applyAlignment="1">
      <alignment horizontal="left" vertical="top"/>
    </xf>
    <xf numFmtId="0" fontId="5" fillId="0" borderId="15" xfId="0" applyFont="1" applyBorder="1" applyAlignment="1">
      <alignment horizontal="left" vertical="top" wrapText="1"/>
    </xf>
    <xf numFmtId="0" fontId="0" fillId="0" borderId="14" xfId="0" applyBorder="1" applyAlignment="1">
      <alignment horizontal="left"/>
    </xf>
    <xf numFmtId="0" fontId="5" fillId="0" borderId="16" xfId="0" applyFont="1" applyBorder="1" applyAlignment="1">
      <alignment horizontal="left" vertical="top"/>
    </xf>
    <xf numFmtId="49" fontId="5" fillId="0" borderId="0" xfId="0" applyNumberFormat="1" applyFont="1" applyAlignment="1">
      <alignment horizontal="left" vertical="top" wrapText="1"/>
    </xf>
    <xf numFmtId="1" fontId="5" fillId="0" borderId="0" xfId="0" applyNumberFormat="1" applyFont="1" applyAlignment="1">
      <alignment horizontal="left" vertical="top"/>
    </xf>
    <xf numFmtId="0" fontId="5" fillId="0" borderId="17" xfId="0" applyFont="1" applyBorder="1" applyAlignment="1">
      <alignment horizontal="left" vertical="top" wrapText="1"/>
    </xf>
    <xf numFmtId="0" fontId="5" fillId="0" borderId="22" xfId="0" applyFont="1" applyBorder="1" applyAlignment="1">
      <alignment horizontal="left" vertical="top"/>
    </xf>
    <xf numFmtId="0" fontId="0" fillId="0" borderId="16" xfId="0" applyBorder="1" applyAlignment="1">
      <alignment horizontal="left"/>
    </xf>
    <xf numFmtId="0" fontId="5" fillId="0" borderId="23" xfId="0" applyFont="1" applyBorder="1" applyAlignment="1">
      <alignment horizontal="left" vertical="top"/>
    </xf>
    <xf numFmtId="49" fontId="5" fillId="0" borderId="23" xfId="0" applyNumberFormat="1" applyFont="1" applyBorder="1" applyAlignment="1">
      <alignment horizontal="left" vertical="top" wrapText="1"/>
    </xf>
    <xf numFmtId="1" fontId="5" fillId="0" borderId="23" xfId="0" applyNumberFormat="1" applyFont="1" applyBorder="1" applyAlignment="1">
      <alignment horizontal="left" vertical="top"/>
    </xf>
    <xf numFmtId="0" fontId="5" fillId="0" borderId="24" xfId="0" applyFont="1" applyBorder="1" applyAlignment="1">
      <alignment horizontal="left" vertical="top" wrapText="1"/>
    </xf>
    <xf numFmtId="49" fontId="5" fillId="0" borderId="17" xfId="0" applyNumberFormat="1" applyFont="1" applyBorder="1" applyAlignment="1">
      <alignment horizontal="left" vertical="top" wrapText="1"/>
    </xf>
    <xf numFmtId="49" fontId="5" fillId="0" borderId="0" xfId="0" applyNumberFormat="1" applyFont="1" applyAlignment="1">
      <alignment horizontal="left" vertical="top"/>
    </xf>
    <xf numFmtId="0" fontId="5" fillId="0" borderId="33" xfId="0" applyFont="1" applyBorder="1" applyAlignment="1">
      <alignment horizontal="left" vertical="top"/>
    </xf>
    <xf numFmtId="49" fontId="5" fillId="0" borderId="35" xfId="0" applyNumberFormat="1" applyFont="1" applyBorder="1" applyAlignment="1">
      <alignment horizontal="left" vertical="top" wrapText="1"/>
    </xf>
    <xf numFmtId="0" fontId="5" fillId="0" borderId="35" xfId="0" applyFont="1" applyBorder="1" applyAlignment="1">
      <alignment horizontal="left" vertical="top"/>
    </xf>
    <xf numFmtId="0" fontId="0" fillId="0" borderId="16" xfId="0" applyBorder="1" applyAlignment="1">
      <alignment horizontal="left" vertical="top"/>
    </xf>
    <xf numFmtId="0" fontId="0" fillId="0" borderId="0" xfId="0" applyAlignment="1">
      <alignment horizontal="left" vertical="top"/>
    </xf>
    <xf numFmtId="49" fontId="0" fillId="0" borderId="0" xfId="0" applyNumberFormat="1" applyAlignment="1">
      <alignment horizontal="left" vertical="top" wrapText="1"/>
    </xf>
    <xf numFmtId="49" fontId="0" fillId="0" borderId="0" xfId="0" applyNumberFormat="1" applyAlignment="1">
      <alignment horizontal="left" vertical="top"/>
    </xf>
    <xf numFmtId="0" fontId="0" fillId="0" borderId="17" xfId="0" applyBorder="1" applyAlignment="1">
      <alignment horizontal="left" vertical="top" wrapText="1"/>
    </xf>
    <xf numFmtId="0" fontId="0" fillId="0" borderId="16" xfId="0" applyBorder="1"/>
    <xf numFmtId="49" fontId="0" fillId="0" borderId="17" xfId="0" applyNumberFormat="1" applyBorder="1" applyAlignment="1">
      <alignment horizontal="left" wrapText="1"/>
    </xf>
    <xf numFmtId="0" fontId="0" fillId="0" borderId="31" xfId="0" applyBorder="1"/>
    <xf numFmtId="49" fontId="0" fillId="0" borderId="32" xfId="0" applyNumberFormat="1" applyBorder="1" applyAlignment="1">
      <alignment horizontal="left" wrapText="1"/>
    </xf>
    <xf numFmtId="0" fontId="0" fillId="0" borderId="31" xfId="0" applyBorder="1" applyAlignment="1">
      <alignment horizontal="left"/>
    </xf>
    <xf numFmtId="49" fontId="0" fillId="0" borderId="0" xfId="0" applyNumberFormat="1" applyAlignment="1">
      <alignment horizontal="left" wrapText="1"/>
    </xf>
    <xf numFmtId="49" fontId="5" fillId="0" borderId="23" xfId="0" applyNumberFormat="1" applyFont="1" applyBorder="1" applyAlignment="1">
      <alignment horizontal="left" vertical="top"/>
    </xf>
    <xf numFmtId="3" fontId="5" fillId="0" borderId="35" xfId="0" applyNumberFormat="1" applyFont="1" applyBorder="1" applyAlignment="1">
      <alignment horizontal="left" vertical="top"/>
    </xf>
    <xf numFmtId="0" fontId="5" fillId="0" borderId="34" xfId="0" applyFont="1" applyBorder="1" applyAlignment="1">
      <alignment horizontal="left" vertical="top" wrapText="1"/>
    </xf>
    <xf numFmtId="3" fontId="0" fillId="0" borderId="0" xfId="0" applyNumberFormat="1" applyAlignment="1">
      <alignment horizontal="left" vertical="top"/>
    </xf>
    <xf numFmtId="3" fontId="5" fillId="0" borderId="23" xfId="0" applyNumberFormat="1" applyFont="1" applyBorder="1" applyAlignment="1">
      <alignment horizontal="left" vertical="top"/>
    </xf>
    <xf numFmtId="0" fontId="0" fillId="0" borderId="22" xfId="0" applyBorder="1" applyAlignment="1">
      <alignment horizontal="left" vertical="top"/>
    </xf>
    <xf numFmtId="0" fontId="0" fillId="0" borderId="23" xfId="0" applyBorder="1" applyAlignment="1">
      <alignment horizontal="left" vertical="top"/>
    </xf>
    <xf numFmtId="49" fontId="0" fillId="0" borderId="23" xfId="0" applyNumberFormat="1" applyBorder="1" applyAlignment="1">
      <alignment horizontal="left" vertical="top" wrapText="1"/>
    </xf>
    <xf numFmtId="49" fontId="0" fillId="0" borderId="23" xfId="0" applyNumberFormat="1" applyBorder="1" applyAlignment="1">
      <alignment horizontal="left" vertical="top"/>
    </xf>
    <xf numFmtId="0" fontId="0" fillId="0" borderId="24" xfId="0" applyBorder="1" applyAlignment="1">
      <alignment horizontal="left" vertical="top" wrapText="1"/>
    </xf>
    <xf numFmtId="0" fontId="0" fillId="0" borderId="33" xfId="0" applyBorder="1" applyAlignment="1">
      <alignment horizontal="left" vertical="top"/>
    </xf>
    <xf numFmtId="0" fontId="0" fillId="0" borderId="35" xfId="0" applyBorder="1" applyAlignment="1">
      <alignment horizontal="left" vertical="top"/>
    </xf>
    <xf numFmtId="49" fontId="0" fillId="0" borderId="35" xfId="0" applyNumberFormat="1" applyBorder="1" applyAlignment="1">
      <alignment horizontal="left" vertical="top" wrapText="1"/>
    </xf>
    <xf numFmtId="0" fontId="0" fillId="0" borderId="34" xfId="0" applyBorder="1" applyAlignment="1">
      <alignment horizontal="left" vertical="top" wrapText="1"/>
    </xf>
    <xf numFmtId="49" fontId="0" fillId="0" borderId="35" xfId="0" applyNumberFormat="1" applyBorder="1" applyAlignment="1">
      <alignment horizontal="left" vertical="top"/>
    </xf>
    <xf numFmtId="0" fontId="0" fillId="0" borderId="31" xfId="0" applyBorder="1" applyAlignment="1">
      <alignment horizontal="left" vertical="top"/>
    </xf>
    <xf numFmtId="0" fontId="0" fillId="0" borderId="12" xfId="0" applyBorder="1" applyAlignment="1">
      <alignment horizontal="left" vertical="top"/>
    </xf>
    <xf numFmtId="49" fontId="0" fillId="0" borderId="12" xfId="0" applyNumberFormat="1" applyBorder="1" applyAlignment="1">
      <alignment horizontal="left" vertical="top" wrapText="1"/>
    </xf>
    <xf numFmtId="0" fontId="0" fillId="0" borderId="32" xfId="0" applyBorder="1" applyAlignment="1">
      <alignment horizontal="left" vertical="top" wrapText="1"/>
    </xf>
    <xf numFmtId="169" fontId="8" fillId="6" borderId="13" xfId="0" applyNumberFormat="1" applyFont="1" applyFill="1" applyBorder="1" applyAlignment="1">
      <alignment horizontal="left" vertical="top" wrapText="1"/>
    </xf>
    <xf numFmtId="3" fontId="0" fillId="0" borderId="23" xfId="0" applyNumberFormat="1" applyBorder="1" applyAlignment="1">
      <alignment horizontal="left" vertical="top"/>
    </xf>
    <xf numFmtId="3" fontId="8" fillId="5" borderId="13" xfId="0" applyNumberFormat="1" applyFont="1" applyFill="1" applyBorder="1" applyAlignment="1" applyProtection="1">
      <alignment horizontal="left" vertical="top" wrapText="1"/>
      <protection locked="0"/>
    </xf>
    <xf numFmtId="49" fontId="8" fillId="5" borderId="9" xfId="0" applyNumberFormat="1" applyFont="1" applyFill="1" applyBorder="1" applyAlignment="1" applyProtection="1">
      <alignment horizontal="left" vertical="top" wrapText="1"/>
      <protection locked="0"/>
    </xf>
    <xf numFmtId="49" fontId="0" fillId="0" borderId="12" xfId="0" applyNumberFormat="1" applyBorder="1" applyAlignment="1">
      <alignment horizontal="left" wrapText="1"/>
    </xf>
    <xf numFmtId="167" fontId="0" fillId="0" borderId="12" xfId="0" applyNumberFormat="1" applyBorder="1" applyAlignment="1">
      <alignment horizontal="left" vertical="top"/>
    </xf>
    <xf numFmtId="0" fontId="0" fillId="0" borderId="36" xfId="0" applyBorder="1" applyAlignment="1">
      <alignment horizontal="left" vertical="top"/>
    </xf>
    <xf numFmtId="0" fontId="0" fillId="0" borderId="37" xfId="0" applyBorder="1" applyAlignment="1">
      <alignment horizontal="left" vertical="top"/>
    </xf>
    <xf numFmtId="49" fontId="0" fillId="0" borderId="37" xfId="0" applyNumberFormat="1" applyBorder="1" applyAlignment="1">
      <alignment horizontal="left" vertical="top" wrapText="1"/>
    </xf>
    <xf numFmtId="0" fontId="0" fillId="0" borderId="38" xfId="0" applyBorder="1" applyAlignment="1">
      <alignment horizontal="left" vertical="top" wrapText="1"/>
    </xf>
    <xf numFmtId="49" fontId="0" fillId="0" borderId="12" xfId="0" applyNumberFormat="1" applyBorder="1" applyAlignment="1">
      <alignment horizontal="left" vertical="top"/>
    </xf>
    <xf numFmtId="0" fontId="5" fillId="0" borderId="20" xfId="0" applyFont="1" applyBorder="1" applyAlignment="1">
      <alignment horizontal="left" vertical="top"/>
    </xf>
    <xf numFmtId="49" fontId="5" fillId="0" borderId="19" xfId="0" applyNumberFormat="1" applyFont="1" applyBorder="1" applyAlignment="1">
      <alignment horizontal="left" vertical="top" wrapText="1"/>
    </xf>
    <xf numFmtId="0" fontId="5" fillId="0" borderId="31" xfId="0" applyFont="1" applyBorder="1" applyAlignment="1">
      <alignment horizontal="left" vertical="top"/>
    </xf>
    <xf numFmtId="49" fontId="5" fillId="0" borderId="32" xfId="0" applyNumberFormat="1" applyFont="1" applyBorder="1" applyAlignment="1">
      <alignment horizontal="left" vertical="top" wrapText="1"/>
    </xf>
    <xf numFmtId="49" fontId="5" fillId="0" borderId="12" xfId="0" applyNumberFormat="1" applyFont="1" applyBorder="1" applyAlignment="1">
      <alignment horizontal="left" vertical="top" wrapText="1"/>
    </xf>
    <xf numFmtId="1" fontId="0" fillId="0" borderId="15" xfId="1" applyNumberFormat="1" applyFont="1" applyBorder="1" applyAlignment="1" applyProtection="1">
      <alignment horizontal="left"/>
    </xf>
    <xf numFmtId="1" fontId="0" fillId="0" borderId="17" xfId="1" applyNumberFormat="1" applyFont="1" applyBorder="1" applyAlignment="1" applyProtection="1">
      <alignment horizontal="left"/>
    </xf>
    <xf numFmtId="1" fontId="0" fillId="0" borderId="32" xfId="1" applyNumberFormat="1" applyFont="1" applyBorder="1" applyAlignment="1" applyProtection="1">
      <alignment horizontal="left"/>
    </xf>
    <xf numFmtId="164" fontId="5" fillId="0" borderId="0" xfId="0" applyNumberFormat="1" applyFont="1" applyAlignment="1">
      <alignment horizontal="left" vertical="top" wrapText="1"/>
    </xf>
    <xf numFmtId="168" fontId="5" fillId="0" borderId="12" xfId="0" applyNumberFormat="1" applyFont="1" applyBorder="1" applyAlignment="1">
      <alignment horizontal="left" vertical="top" wrapText="1"/>
    </xf>
    <xf numFmtId="170" fontId="5" fillId="0" borderId="0" xfId="0" applyNumberFormat="1" applyFont="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5" fillId="0" borderId="21" xfId="0" applyFont="1" applyBorder="1" applyAlignment="1">
      <alignment horizontal="left" vertical="top" wrapText="1"/>
    </xf>
    <xf numFmtId="0" fontId="0" fillId="0" borderId="0" xfId="0" applyAlignment="1">
      <alignment horizontal="left" wrapText="1"/>
    </xf>
    <xf numFmtId="0" fontId="0" fillId="0" borderId="12" xfId="0" applyBorder="1" applyAlignment="1">
      <alignment horizontal="left" wrapText="1"/>
    </xf>
    <xf numFmtId="170" fontId="0" fillId="0" borderId="0" xfId="0" applyNumberFormat="1" applyAlignment="1">
      <alignment horizontal="left" wrapText="1"/>
    </xf>
    <xf numFmtId="49" fontId="8" fillId="6" borderId="13" xfId="0" applyNumberFormat="1" applyFont="1" applyFill="1" applyBorder="1" applyAlignment="1">
      <alignment horizontal="left" vertical="top" wrapText="1"/>
    </xf>
    <xf numFmtId="49" fontId="8" fillId="6" borderId="9" xfId="0" applyNumberFormat="1" applyFont="1" applyFill="1" applyBorder="1" applyAlignment="1">
      <alignment horizontal="left" vertical="top" wrapText="1"/>
    </xf>
    <xf numFmtId="0" fontId="8" fillId="4" borderId="0" xfId="0" applyFont="1" applyFill="1"/>
    <xf numFmtId="0" fontId="9" fillId="6" borderId="9" xfId="0" applyFont="1" applyFill="1" applyBorder="1" applyAlignment="1">
      <alignment horizontal="center" vertical="top" wrapText="1"/>
    </xf>
    <xf numFmtId="1" fontId="8" fillId="6" borderId="9" xfId="0" applyNumberFormat="1" applyFont="1" applyFill="1" applyBorder="1" applyAlignment="1">
      <alignment horizontal="center" vertical="top" wrapText="1"/>
    </xf>
    <xf numFmtId="0" fontId="9" fillId="6" borderId="13" xfId="0" applyFont="1" applyFill="1" applyBorder="1" applyAlignment="1">
      <alignment horizontal="left" vertical="top" wrapText="1"/>
    </xf>
    <xf numFmtId="0" fontId="9" fillId="6" borderId="9" xfId="0" applyFont="1" applyFill="1" applyBorder="1" applyAlignment="1">
      <alignment horizontal="left" vertical="top" wrapText="1"/>
    </xf>
    <xf numFmtId="166" fontId="11" fillId="4" borderId="0" xfId="0" applyNumberFormat="1" applyFont="1" applyFill="1" applyAlignment="1">
      <alignment horizontal="left"/>
    </xf>
    <xf numFmtId="0" fontId="8" fillId="4" borderId="0" xfId="0" applyFont="1" applyFill="1" applyAlignment="1">
      <alignment horizontal="left" indent="2"/>
    </xf>
    <xf numFmtId="164" fontId="5" fillId="0" borderId="17" xfId="0" applyNumberFormat="1" applyFont="1" applyBorder="1" applyAlignment="1">
      <alignment horizontal="left" vertical="top" wrapText="1"/>
    </xf>
    <xf numFmtId="168" fontId="5" fillId="0" borderId="32" xfId="0" applyNumberFormat="1" applyFont="1" applyBorder="1" applyAlignment="1">
      <alignment horizontal="left" vertical="top" wrapText="1"/>
    </xf>
    <xf numFmtId="170" fontId="5" fillId="0" borderId="17" xfId="0" applyNumberFormat="1" applyFont="1" applyBorder="1" applyAlignment="1">
      <alignment horizontal="left" vertical="top" wrapText="1"/>
    </xf>
    <xf numFmtId="0" fontId="5" fillId="0" borderId="32" xfId="0" applyFont="1" applyBorder="1" applyAlignment="1">
      <alignment horizontal="left" vertical="top" wrapText="1"/>
    </xf>
    <xf numFmtId="0" fontId="0" fillId="0" borderId="32" xfId="0" applyBorder="1" applyAlignment="1">
      <alignment horizontal="left" wrapText="1"/>
    </xf>
    <xf numFmtId="0" fontId="0" fillId="0" borderId="17" xfId="0" applyBorder="1" applyAlignment="1">
      <alignment horizontal="left" wrapText="1"/>
    </xf>
    <xf numFmtId="170" fontId="0" fillId="0" borderId="17" xfId="0" applyNumberFormat="1" applyBorder="1" applyAlignment="1">
      <alignment horizontal="left" wrapText="1"/>
    </xf>
    <xf numFmtId="0" fontId="10" fillId="2" borderId="2" xfId="0" applyFont="1" applyFill="1" applyBorder="1" applyAlignment="1">
      <alignment horizontal="center" vertical="top" wrapText="1"/>
    </xf>
    <xf numFmtId="0" fontId="10" fillId="2" borderId="0" xfId="0" applyFont="1" applyFill="1" applyAlignment="1">
      <alignment horizontal="center" vertical="top" wrapText="1"/>
    </xf>
    <xf numFmtId="0" fontId="8" fillId="4" borderId="0" xfId="0" applyFont="1" applyFill="1" applyAlignment="1">
      <alignment horizontal="left" vertical="top" wrapText="1"/>
    </xf>
    <xf numFmtId="0" fontId="9" fillId="4" borderId="0" xfId="0" applyFont="1" applyFill="1" applyAlignment="1">
      <alignment horizontal="left" vertical="top" wrapText="1"/>
    </xf>
    <xf numFmtId="0" fontId="13" fillId="3" borderId="2" xfId="0" applyFont="1" applyFill="1" applyBorder="1" applyAlignment="1">
      <alignment horizontal="center" vertical="top"/>
    </xf>
    <xf numFmtId="0" fontId="8" fillId="4" borderId="6" xfId="0" applyFont="1" applyFill="1" applyBorder="1" applyAlignment="1">
      <alignment horizontal="left" vertical="top" wrapText="1"/>
    </xf>
    <xf numFmtId="0" fontId="12" fillId="0" borderId="0" xfId="0" applyFont="1" applyAlignment="1">
      <alignment horizontal="center" vertical="top" wrapText="1"/>
    </xf>
    <xf numFmtId="0" fontId="10" fillId="2" borderId="10" xfId="0" applyFont="1" applyFill="1" applyBorder="1" applyAlignment="1">
      <alignment horizontal="center" vertical="top" wrapText="1"/>
    </xf>
    <xf numFmtId="1" fontId="8" fillId="5" borderId="9" xfId="0" applyNumberFormat="1" applyFont="1" applyFill="1" applyBorder="1" applyAlignment="1" applyProtection="1">
      <alignment horizontal="left" vertical="top" wrapText="1"/>
      <protection locked="0"/>
    </xf>
    <xf numFmtId="1" fontId="8" fillId="5" borderId="11" xfId="0" applyNumberFormat="1" applyFont="1" applyFill="1" applyBorder="1" applyAlignment="1" applyProtection="1">
      <alignment horizontal="left" vertical="top" wrapText="1"/>
      <protection locked="0"/>
    </xf>
    <xf numFmtId="49" fontId="8" fillId="5" borderId="9" xfId="0" applyNumberFormat="1" applyFont="1" applyFill="1" applyBorder="1" applyAlignment="1" applyProtection="1">
      <alignment horizontal="left" vertical="top" wrapText="1"/>
      <protection locked="0"/>
    </xf>
    <xf numFmtId="49" fontId="8" fillId="5" borderId="11" xfId="0" applyNumberFormat="1" applyFont="1" applyFill="1" applyBorder="1" applyAlignment="1" applyProtection="1">
      <alignment horizontal="left" vertical="top" wrapText="1"/>
      <protection locked="0"/>
    </xf>
    <xf numFmtId="164" fontId="11" fillId="4" borderId="6" xfId="0" applyNumberFormat="1" applyFont="1" applyFill="1" applyBorder="1" applyAlignment="1">
      <alignment horizontal="left" vertical="top"/>
    </xf>
    <xf numFmtId="166" fontId="11" fillId="4" borderId="0" xfId="0" applyNumberFormat="1" applyFont="1" applyFill="1" applyAlignment="1">
      <alignment horizontal="left"/>
    </xf>
    <xf numFmtId="3" fontId="8" fillId="6" borderId="9" xfId="0" applyNumberFormat="1" applyFont="1" applyFill="1" applyBorder="1" applyAlignment="1">
      <alignment horizontal="left" vertical="top" wrapText="1"/>
    </xf>
    <xf numFmtId="3" fontId="8" fillId="6" borderId="11" xfId="0" applyNumberFormat="1" applyFont="1" applyFill="1" applyBorder="1" applyAlignment="1">
      <alignment horizontal="left" vertical="top" wrapText="1"/>
    </xf>
    <xf numFmtId="3" fontId="8" fillId="5" borderId="9" xfId="0" applyNumberFormat="1" applyFont="1" applyFill="1" applyBorder="1" applyAlignment="1" applyProtection="1">
      <alignment horizontal="left" vertical="top" wrapText="1"/>
      <protection locked="0"/>
    </xf>
    <xf numFmtId="3" fontId="8" fillId="5" borderId="11" xfId="0" applyNumberFormat="1" applyFont="1" applyFill="1" applyBorder="1" applyAlignment="1" applyProtection="1">
      <alignment horizontal="left" vertical="top" wrapText="1"/>
      <protection locked="0"/>
    </xf>
    <xf numFmtId="165" fontId="11" fillId="4" borderId="6" xfId="0" applyNumberFormat="1" applyFont="1" applyFill="1" applyBorder="1" applyAlignment="1">
      <alignment horizontal="right" vertical="top"/>
    </xf>
    <xf numFmtId="0" fontId="8" fillId="5" borderId="25" xfId="0" applyFont="1" applyFill="1" applyBorder="1"/>
    <xf numFmtId="0" fontId="8" fillId="5" borderId="27" xfId="0" applyFont="1" applyFill="1" applyBorder="1"/>
    <xf numFmtId="0" fontId="8" fillId="5" borderId="26" xfId="0" applyFont="1" applyFill="1" applyBorder="1"/>
    <xf numFmtId="0" fontId="8" fillId="5" borderId="28" xfId="0" applyFont="1" applyFill="1" applyBorder="1"/>
    <xf numFmtId="0" fontId="8" fillId="5" borderId="29" xfId="0" applyFont="1" applyFill="1" applyBorder="1"/>
    <xf numFmtId="0" fontId="8" fillId="5" borderId="30" xfId="0" applyFont="1" applyFill="1" applyBorder="1"/>
    <xf numFmtId="49" fontId="8" fillId="6" borderId="9" xfId="0" applyNumberFormat="1" applyFont="1" applyFill="1" applyBorder="1" applyAlignment="1">
      <alignment horizontal="left" vertical="top" wrapText="1"/>
    </xf>
    <xf numFmtId="49" fontId="8" fillId="6" borderId="11" xfId="0" applyNumberFormat="1" applyFont="1" applyFill="1" applyBorder="1" applyAlignment="1">
      <alignment horizontal="left" vertical="top" wrapText="1"/>
    </xf>
    <xf numFmtId="0" fontId="11" fillId="4" borderId="0" xfId="0" applyFont="1" applyFill="1" applyAlignment="1">
      <alignment horizontal="left" vertical="top"/>
    </xf>
  </cellXfs>
  <cellStyles count="2">
    <cellStyle name="Currency" xfId="1" builtinId="4"/>
    <cellStyle name="Normal" xfId="0" builtinId="0"/>
  </cellStyles>
  <dxfs count="5">
    <dxf>
      <font>
        <b/>
        <i val="0"/>
        <color rgb="FF00B050"/>
      </font>
    </dxf>
    <dxf>
      <font>
        <b/>
        <i val="0"/>
        <color rgb="FF00B050"/>
      </font>
    </dxf>
    <dxf>
      <font>
        <b/>
        <i val="0"/>
        <color rgb="FF00B050"/>
      </font>
    </dxf>
    <dxf>
      <font>
        <b/>
        <i val="0"/>
        <color rgb="FF00B050"/>
      </font>
    </dxf>
    <dxf>
      <font>
        <b/>
        <i val="0"/>
        <color rgb="FF00B050"/>
      </font>
    </dxf>
  </dxfs>
  <tableStyles count="0" defaultTableStyle="TableStyleMedium2" defaultPivotStyle="PivotStyleLight16"/>
  <colors>
    <mruColors>
      <color rgb="FFFBDD40"/>
      <color rgb="FFE6F0EB"/>
      <color rgb="FFA7CBB9"/>
      <color rgb="FF046A38"/>
      <color rgb="FF2C3136"/>
      <color rgb="FFDDFB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microsoft.com/office/2006/relationships/vbaProject" Target="vbaProject.bin"/><Relationship Id="rId2" Type="http://schemas.openxmlformats.org/officeDocument/2006/relationships/worksheet" Target="worksheets/sheet2.xml"/><Relationship Id="rId16" Type="http://schemas.microsoft.com/office/2023/09/relationships/Python" Target="pyth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FA7B0434-CE1A-45E5-8BC4-974747D97D87}"/>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258539</xdr:colOff>
      <xdr:row>2</xdr:row>
      <xdr:rowOff>295275</xdr:rowOff>
    </xdr:to>
    <xdr:pic>
      <xdr:nvPicPr>
        <xdr:cNvPr id="2" name="Picture 1">
          <a:extLst>
            <a:ext uri="{FF2B5EF4-FFF2-40B4-BE49-F238E27FC236}">
              <a16:creationId xmlns:a16="http://schemas.microsoft.com/office/drawing/2014/main" id="{5B0849DE-9ADB-4275-B26F-EEDAB0E9FEF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258539</xdr:colOff>
      <xdr:row>2</xdr:row>
      <xdr:rowOff>295275</xdr:rowOff>
    </xdr:to>
    <xdr:pic>
      <xdr:nvPicPr>
        <xdr:cNvPr id="2" name="Picture 1">
          <a:extLst>
            <a:ext uri="{FF2B5EF4-FFF2-40B4-BE49-F238E27FC236}">
              <a16:creationId xmlns:a16="http://schemas.microsoft.com/office/drawing/2014/main" id="{BB63409A-A5CE-4408-82C8-03DD15EAB86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258539</xdr:colOff>
      <xdr:row>2</xdr:row>
      <xdr:rowOff>295275</xdr:rowOff>
    </xdr:to>
    <xdr:pic>
      <xdr:nvPicPr>
        <xdr:cNvPr id="2" name="Picture 1">
          <a:extLst>
            <a:ext uri="{FF2B5EF4-FFF2-40B4-BE49-F238E27FC236}">
              <a16:creationId xmlns:a16="http://schemas.microsoft.com/office/drawing/2014/main" id="{41DC8512-E4FD-4FE7-8851-6B4185A124E7}"/>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68BC4C67-BE63-4E6B-8A59-225A12DF0A4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A1522298-6041-418A-B4E8-E4622CD153C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306164</xdr:colOff>
      <xdr:row>2</xdr:row>
      <xdr:rowOff>295275</xdr:rowOff>
    </xdr:to>
    <xdr:pic>
      <xdr:nvPicPr>
        <xdr:cNvPr id="3" name="Picture 1">
          <a:extLst>
            <a:ext uri="{FF2B5EF4-FFF2-40B4-BE49-F238E27FC236}">
              <a16:creationId xmlns:a16="http://schemas.microsoft.com/office/drawing/2014/main" id="{EB85DF7A-1D38-40DC-B19B-A9D06BB3021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twoCellAnchor>
    <xdr:from>
      <xdr:col>2</xdr:col>
      <xdr:colOff>0</xdr:colOff>
      <xdr:row>19</xdr:row>
      <xdr:rowOff>0</xdr:rowOff>
    </xdr:from>
    <xdr:to>
      <xdr:col>3</xdr:col>
      <xdr:colOff>1400175</xdr:colOff>
      <xdr:row>23</xdr:row>
      <xdr:rowOff>0</xdr:rowOff>
    </xdr:to>
    <xdr:sp macro="" textlink="">
      <xdr:nvSpPr>
        <xdr:cNvPr id="2" name="Rectangle 1">
          <a:extLst>
            <a:ext uri="{FF2B5EF4-FFF2-40B4-BE49-F238E27FC236}">
              <a16:creationId xmlns:a16="http://schemas.microsoft.com/office/drawing/2014/main" id="{D174D7D4-C948-40E6-A079-72695D767114}"/>
            </a:ext>
          </a:extLst>
        </xdr:cNvPr>
        <xdr:cNvSpPr/>
      </xdr:nvSpPr>
      <xdr:spPr>
        <a:xfrm>
          <a:off x="762000" y="39909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latin typeface="Aptos Narrow" panose="020B0004020202020204" pitchFamily="34" charset="0"/>
            </a:rPr>
            <a:t>Convert to PDF</a:t>
          </a:r>
        </a:p>
      </xdr:txBody>
    </xdr:sp>
    <xdr:clientData/>
  </xdr:twoCellAnchor>
  <mc:AlternateContent xmlns:mc="http://schemas.openxmlformats.org/markup-compatibility/2006">
    <mc:Choice xmlns:a14="http://schemas.microsoft.com/office/drawing/2010/main" Requires="a14">
      <xdr:twoCellAnchor>
        <xdr:from>
          <xdr:col>2</xdr:col>
          <xdr:colOff>0</xdr:colOff>
          <xdr:row>19</xdr:row>
          <xdr:rowOff>0</xdr:rowOff>
        </xdr:from>
        <xdr:to>
          <xdr:col>3</xdr:col>
          <xdr:colOff>1400175</xdr:colOff>
          <xdr:row>23</xdr:row>
          <xdr:rowOff>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6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Aptos Narrow"/>
                </a:rPr>
                <a:t>Convert to PDF</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769DC-634F-4E73-A4C0-DD95898E411B}">
  <sheetPr codeName="Sheet1">
    <tabColor rgb="FFFBDD40"/>
    <pageSetUpPr fitToPage="1"/>
  </sheetPr>
  <dimension ref="B1:F72"/>
  <sheetViews>
    <sheetView showGridLines="0" showRowColHeaders="0" tabSelected="1" zoomScaleNormal="100" workbookViewId="0">
      <selection activeCell="C2" sqref="C2"/>
    </sheetView>
  </sheetViews>
  <sheetFormatPr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2"/>
      <c r="C4" s="125" t="s">
        <v>95</v>
      </c>
      <c r="D4" s="125"/>
      <c r="E4" s="125"/>
      <c r="F4" s="13"/>
    </row>
    <row r="5" spans="2:6" ht="24.95" customHeight="1" x14ac:dyDescent="0.25">
      <c r="B5" s="14"/>
      <c r="C5" s="126"/>
      <c r="D5" s="126"/>
      <c r="E5" s="126"/>
      <c r="F5" s="15"/>
    </row>
    <row r="6" spans="2:6" ht="20.100000000000001" customHeight="1" x14ac:dyDescent="0.25">
      <c r="B6" s="16"/>
      <c r="C6" s="129" t="s">
        <v>0</v>
      </c>
      <c r="D6" s="129"/>
      <c r="E6" s="129"/>
      <c r="F6" s="17"/>
    </row>
    <row r="7" spans="2:6" ht="15" customHeight="1" x14ac:dyDescent="0.25">
      <c r="B7" s="1"/>
      <c r="C7" s="111"/>
      <c r="D7" s="111"/>
      <c r="E7" s="111"/>
      <c r="F7" s="2"/>
    </row>
    <row r="8" spans="2:6" ht="15" customHeight="1" x14ac:dyDescent="0.25">
      <c r="B8" s="18" t="s">
        <v>4</v>
      </c>
      <c r="C8" s="127" t="s">
        <v>4320</v>
      </c>
      <c r="D8" s="127"/>
      <c r="E8" s="127"/>
      <c r="F8" s="2"/>
    </row>
    <row r="9" spans="2:6" ht="15" customHeight="1" x14ac:dyDescent="0.25">
      <c r="B9" s="1"/>
      <c r="C9" s="127"/>
      <c r="D9" s="127"/>
      <c r="E9" s="127"/>
      <c r="F9" s="2"/>
    </row>
    <row r="10" spans="2:6" ht="15" customHeight="1" x14ac:dyDescent="0.25">
      <c r="B10" s="18" t="s">
        <v>4</v>
      </c>
      <c r="C10" s="127" t="s">
        <v>237</v>
      </c>
      <c r="D10" s="127"/>
      <c r="E10" s="127"/>
      <c r="F10" s="2"/>
    </row>
    <row r="11" spans="2:6" ht="15" customHeight="1" x14ac:dyDescent="0.25">
      <c r="B11" s="1"/>
      <c r="C11" s="127"/>
      <c r="D11" s="127"/>
      <c r="E11" s="127"/>
      <c r="F11" s="2"/>
    </row>
    <row r="12" spans="2:6" ht="15" customHeight="1" x14ac:dyDescent="0.25">
      <c r="B12" s="18" t="s">
        <v>4</v>
      </c>
      <c r="C12" s="127" t="s">
        <v>6</v>
      </c>
      <c r="D12" s="127"/>
      <c r="E12" s="127"/>
      <c r="F12" s="2"/>
    </row>
    <row r="13" spans="2:6" ht="15" customHeight="1" x14ac:dyDescent="0.25">
      <c r="B13" s="1"/>
      <c r="C13" s="127"/>
      <c r="D13" s="127"/>
      <c r="E13" s="127"/>
      <c r="F13" s="2"/>
    </row>
    <row r="14" spans="2:6" ht="15" customHeight="1" x14ac:dyDescent="0.25">
      <c r="B14" s="1"/>
      <c r="C14" s="127"/>
      <c r="D14" s="127"/>
      <c r="E14" s="127"/>
      <c r="F14" s="2"/>
    </row>
    <row r="15" spans="2:6" ht="15" customHeight="1" x14ac:dyDescent="0.25">
      <c r="B15" s="18" t="s">
        <v>4</v>
      </c>
      <c r="C15" s="127" t="s">
        <v>7</v>
      </c>
      <c r="D15" s="127"/>
      <c r="E15" s="127"/>
      <c r="F15" s="2"/>
    </row>
    <row r="16" spans="2:6" ht="15" customHeight="1" x14ac:dyDescent="0.25">
      <c r="B16" s="1"/>
      <c r="C16" s="127"/>
      <c r="D16" s="127"/>
      <c r="E16" s="127"/>
      <c r="F16" s="2"/>
    </row>
    <row r="17" spans="2:6" ht="15" customHeight="1" x14ac:dyDescent="0.25">
      <c r="B17" s="1"/>
      <c r="C17" s="127"/>
      <c r="D17" s="127"/>
      <c r="E17" s="127"/>
      <c r="F17" s="2"/>
    </row>
    <row r="18" spans="2:6" ht="15" customHeight="1" x14ac:dyDescent="0.25">
      <c r="B18" s="18" t="s">
        <v>4</v>
      </c>
      <c r="C18" s="127" t="s">
        <v>238</v>
      </c>
      <c r="D18" s="127"/>
      <c r="E18" s="127"/>
      <c r="F18" s="2"/>
    </row>
    <row r="19" spans="2:6" ht="15" customHeight="1" x14ac:dyDescent="0.25">
      <c r="B19" s="1"/>
      <c r="C19" s="127"/>
      <c r="D19" s="127"/>
      <c r="E19" s="127"/>
      <c r="F19" s="2"/>
    </row>
    <row r="20" spans="2:6" ht="15" customHeight="1" x14ac:dyDescent="0.25">
      <c r="B20" s="18" t="s">
        <v>4</v>
      </c>
      <c r="C20" s="128" t="s">
        <v>4318</v>
      </c>
      <c r="D20" s="127"/>
      <c r="E20" s="127"/>
      <c r="F20" s="2"/>
    </row>
    <row r="21" spans="2:6" ht="15" customHeight="1" x14ac:dyDescent="0.25">
      <c r="B21" s="1"/>
      <c r="C21" s="127"/>
      <c r="D21" s="127"/>
      <c r="E21" s="127"/>
      <c r="F21" s="2"/>
    </row>
    <row r="22" spans="2:6" ht="15" customHeight="1" x14ac:dyDescent="0.25">
      <c r="B22" s="1"/>
      <c r="C22" s="127"/>
      <c r="D22" s="127"/>
      <c r="E22" s="127"/>
      <c r="F22" s="2"/>
    </row>
    <row r="23" spans="2:6" ht="15" customHeight="1" x14ac:dyDescent="0.25">
      <c r="B23" s="18" t="s">
        <v>4</v>
      </c>
      <c r="C23" s="127" t="s">
        <v>8</v>
      </c>
      <c r="D23" s="127"/>
      <c r="E23" s="127"/>
      <c r="F23" s="2"/>
    </row>
    <row r="24" spans="2:6" ht="15" customHeight="1" x14ac:dyDescent="0.25">
      <c r="B24" s="1"/>
      <c r="C24" s="127"/>
      <c r="D24" s="127"/>
      <c r="E24" s="127"/>
      <c r="F24" s="2"/>
    </row>
    <row r="25" spans="2:6" ht="15" customHeight="1" x14ac:dyDescent="0.25">
      <c r="B25" s="18" t="s">
        <v>4</v>
      </c>
      <c r="C25" s="127" t="s">
        <v>239</v>
      </c>
      <c r="D25" s="127"/>
      <c r="E25" s="127"/>
      <c r="F25" s="2"/>
    </row>
    <row r="26" spans="2:6" ht="15" customHeight="1" x14ac:dyDescent="0.25">
      <c r="B26" s="1"/>
      <c r="C26" s="127"/>
      <c r="D26" s="127"/>
      <c r="E26" s="127"/>
      <c r="F26" s="2"/>
    </row>
    <row r="27" spans="2:6" ht="15" customHeight="1" x14ac:dyDescent="0.25">
      <c r="B27" s="18" t="s">
        <v>4</v>
      </c>
      <c r="C27" s="128" t="s">
        <v>4319</v>
      </c>
      <c r="D27" s="127"/>
      <c r="E27" s="127"/>
      <c r="F27" s="2"/>
    </row>
    <row r="28" spans="2:6" ht="15" customHeight="1" x14ac:dyDescent="0.25">
      <c r="B28" s="1"/>
      <c r="C28" s="130"/>
      <c r="D28" s="130"/>
      <c r="E28" s="130"/>
      <c r="F28" s="2"/>
    </row>
    <row r="29" spans="2:6" ht="20.100000000000001" customHeight="1" x14ac:dyDescent="0.25">
      <c r="B29" s="16"/>
      <c r="C29" s="129" t="s">
        <v>1</v>
      </c>
      <c r="D29" s="129"/>
      <c r="E29" s="129"/>
      <c r="F29" s="17"/>
    </row>
    <row r="30" spans="2:6" ht="15" customHeight="1" x14ac:dyDescent="0.25">
      <c r="B30" s="1"/>
      <c r="C30" s="111"/>
      <c r="D30" s="111"/>
      <c r="E30" s="111"/>
      <c r="F30" s="2"/>
    </row>
    <row r="31" spans="2:6" ht="15" customHeight="1" x14ac:dyDescent="0.25">
      <c r="B31" s="18" t="s">
        <v>4</v>
      </c>
      <c r="C31" s="127" t="s">
        <v>96</v>
      </c>
      <c r="D31" s="127"/>
      <c r="E31" s="127"/>
      <c r="F31" s="2"/>
    </row>
    <row r="32" spans="2:6" ht="15" customHeight="1" x14ac:dyDescent="0.25">
      <c r="B32" s="1"/>
      <c r="C32" s="127"/>
      <c r="D32" s="127"/>
      <c r="E32" s="127"/>
      <c r="F32" s="2"/>
    </row>
    <row r="33" spans="2:6" ht="15" customHeight="1" x14ac:dyDescent="0.25">
      <c r="B33" s="1"/>
      <c r="C33" s="127"/>
      <c r="D33" s="127"/>
      <c r="E33" s="127"/>
      <c r="F33" s="2"/>
    </row>
    <row r="34" spans="2:6" ht="15" customHeight="1" x14ac:dyDescent="0.25">
      <c r="B34" s="18" t="s">
        <v>4</v>
      </c>
      <c r="C34" s="127" t="s">
        <v>93</v>
      </c>
      <c r="D34" s="127"/>
      <c r="E34" s="127"/>
      <c r="F34" s="2"/>
    </row>
    <row r="35" spans="2:6" ht="15" customHeight="1" x14ac:dyDescent="0.25">
      <c r="B35" s="1"/>
      <c r="C35" s="127"/>
      <c r="D35" s="127"/>
      <c r="E35" s="127"/>
      <c r="F35" s="2"/>
    </row>
    <row r="36" spans="2:6" ht="15" customHeight="1" x14ac:dyDescent="0.25">
      <c r="B36" s="18" t="s">
        <v>4</v>
      </c>
      <c r="C36" s="128" t="s">
        <v>240</v>
      </c>
      <c r="D36" s="127"/>
      <c r="E36" s="127"/>
      <c r="F36" s="2"/>
    </row>
    <row r="37" spans="2:6" ht="15" customHeight="1" x14ac:dyDescent="0.25">
      <c r="B37" s="1"/>
      <c r="C37" s="127"/>
      <c r="D37" s="127"/>
      <c r="E37" s="127"/>
      <c r="F37" s="2"/>
    </row>
    <row r="38" spans="2:6" ht="15" customHeight="1" x14ac:dyDescent="0.25">
      <c r="B38" s="1"/>
      <c r="C38" s="130"/>
      <c r="D38" s="130"/>
      <c r="E38" s="130"/>
      <c r="F38" s="2"/>
    </row>
    <row r="39" spans="2:6" ht="20.100000000000001" customHeight="1" x14ac:dyDescent="0.25">
      <c r="B39" s="16"/>
      <c r="C39" s="129" t="s">
        <v>53</v>
      </c>
      <c r="D39" s="129"/>
      <c r="E39" s="129"/>
      <c r="F39" s="17"/>
    </row>
    <row r="40" spans="2:6" ht="15" customHeight="1" x14ac:dyDescent="0.25">
      <c r="B40" s="1"/>
      <c r="C40" s="111"/>
      <c r="D40" s="111"/>
      <c r="E40" s="111"/>
      <c r="F40" s="2"/>
    </row>
    <row r="41" spans="2:6" ht="15" customHeight="1" x14ac:dyDescent="0.25">
      <c r="B41" s="18" t="s">
        <v>4</v>
      </c>
      <c r="C41" s="127" t="s">
        <v>4346</v>
      </c>
      <c r="D41" s="127"/>
      <c r="E41" s="127"/>
      <c r="F41" s="2"/>
    </row>
    <row r="42" spans="2:6" ht="15" customHeight="1" x14ac:dyDescent="0.25">
      <c r="B42" s="1"/>
      <c r="C42" s="127"/>
      <c r="D42" s="127"/>
      <c r="E42" s="127"/>
      <c r="F42" s="2"/>
    </row>
    <row r="43" spans="2:6" ht="15" customHeight="1" x14ac:dyDescent="0.25">
      <c r="B43" s="1"/>
      <c r="C43" s="127"/>
      <c r="D43" s="127"/>
      <c r="E43" s="127"/>
      <c r="F43" s="2"/>
    </row>
    <row r="44" spans="2:6" ht="15" customHeight="1" x14ac:dyDescent="0.25">
      <c r="B44" s="1"/>
      <c r="C44" s="127"/>
      <c r="D44" s="127"/>
      <c r="E44" s="127"/>
      <c r="F44" s="2"/>
    </row>
    <row r="45" spans="2:6" ht="15" customHeight="1" x14ac:dyDescent="0.25">
      <c r="B45" s="18" t="s">
        <v>4</v>
      </c>
      <c r="C45" s="127" t="s">
        <v>243</v>
      </c>
      <c r="D45" s="127"/>
      <c r="E45" s="127"/>
      <c r="F45" s="2"/>
    </row>
    <row r="46" spans="2:6" ht="15" customHeight="1" x14ac:dyDescent="0.25">
      <c r="B46" s="1"/>
      <c r="C46" s="127"/>
      <c r="D46" s="127"/>
      <c r="E46" s="127"/>
      <c r="F46" s="2"/>
    </row>
    <row r="47" spans="2:6" ht="15" customHeight="1" x14ac:dyDescent="0.25">
      <c r="B47" s="1"/>
      <c r="C47" s="127"/>
      <c r="D47" s="127"/>
      <c r="E47" s="127"/>
      <c r="F47" s="2"/>
    </row>
    <row r="48" spans="2:6" ht="15" customHeight="1" x14ac:dyDescent="0.25">
      <c r="B48" s="18" t="s">
        <v>4</v>
      </c>
      <c r="C48" s="127" t="s">
        <v>244</v>
      </c>
      <c r="D48" s="127"/>
      <c r="E48" s="127"/>
      <c r="F48" s="2"/>
    </row>
    <row r="49" spans="2:6" ht="15" customHeight="1" x14ac:dyDescent="0.25">
      <c r="B49" s="1"/>
      <c r="C49" s="127"/>
      <c r="D49" s="127"/>
      <c r="E49" s="127"/>
      <c r="F49" s="2"/>
    </row>
    <row r="50" spans="2:6" ht="15" customHeight="1" x14ac:dyDescent="0.25">
      <c r="B50" s="1"/>
      <c r="C50" s="127"/>
      <c r="D50" s="127"/>
      <c r="E50" s="127"/>
      <c r="F50" s="2"/>
    </row>
    <row r="51" spans="2:6" ht="15" customHeight="1" x14ac:dyDescent="0.25">
      <c r="B51" s="1"/>
      <c r="C51" s="130"/>
      <c r="D51" s="130"/>
      <c r="E51" s="130"/>
      <c r="F51" s="2"/>
    </row>
    <row r="52" spans="2:6" ht="20.100000000000001" customHeight="1" x14ac:dyDescent="0.25">
      <c r="B52" s="16"/>
      <c r="C52" s="129" t="s">
        <v>2</v>
      </c>
      <c r="D52" s="129"/>
      <c r="E52" s="129"/>
      <c r="F52" s="17"/>
    </row>
    <row r="53" spans="2:6" ht="15" customHeight="1" x14ac:dyDescent="0.25">
      <c r="B53" s="1"/>
      <c r="C53" s="111"/>
      <c r="D53" s="111"/>
      <c r="E53" s="111"/>
      <c r="F53" s="2"/>
    </row>
    <row r="54" spans="2:6" ht="15" customHeight="1" x14ac:dyDescent="0.25">
      <c r="B54" s="18" t="s">
        <v>4</v>
      </c>
      <c r="C54" s="127" t="s">
        <v>4317</v>
      </c>
      <c r="D54" s="127"/>
      <c r="E54" s="127"/>
      <c r="F54" s="2"/>
    </row>
    <row r="55" spans="2:6" ht="15" customHeight="1" x14ac:dyDescent="0.25">
      <c r="B55" s="1"/>
      <c r="C55" s="127"/>
      <c r="D55" s="127"/>
      <c r="E55" s="127"/>
      <c r="F55" s="2"/>
    </row>
    <row r="56" spans="2:6" ht="15" customHeight="1" x14ac:dyDescent="0.25">
      <c r="B56" s="1"/>
      <c r="C56" s="127"/>
      <c r="D56" s="127"/>
      <c r="E56" s="127"/>
      <c r="F56" s="2"/>
    </row>
    <row r="57" spans="2:6" ht="15" customHeight="1" x14ac:dyDescent="0.25">
      <c r="B57" s="1"/>
      <c r="C57" s="127"/>
      <c r="D57" s="127"/>
      <c r="E57" s="127"/>
      <c r="F57" s="2"/>
    </row>
    <row r="58" spans="2:6" ht="15" customHeight="1" x14ac:dyDescent="0.25">
      <c r="B58" s="1"/>
      <c r="C58" s="127"/>
      <c r="D58" s="127"/>
      <c r="E58" s="127"/>
      <c r="F58" s="2"/>
    </row>
    <row r="59" spans="2:6" ht="15" customHeight="1" x14ac:dyDescent="0.25">
      <c r="B59" s="1"/>
      <c r="C59" s="127"/>
      <c r="D59" s="127"/>
      <c r="E59" s="127"/>
      <c r="F59" s="2"/>
    </row>
    <row r="60" spans="2:6" ht="15" customHeight="1" x14ac:dyDescent="0.25">
      <c r="B60" s="1"/>
      <c r="C60" s="127"/>
      <c r="D60" s="127"/>
      <c r="E60" s="127"/>
      <c r="F60" s="2"/>
    </row>
    <row r="61" spans="2:6" ht="15" customHeight="1" x14ac:dyDescent="0.25">
      <c r="B61" s="1"/>
      <c r="C61" s="127"/>
      <c r="D61" s="127"/>
      <c r="E61" s="127"/>
      <c r="F61" s="2"/>
    </row>
    <row r="62" spans="2:6" ht="15" customHeight="1" x14ac:dyDescent="0.25">
      <c r="B62" s="1"/>
      <c r="C62" s="130"/>
      <c r="D62" s="130"/>
      <c r="E62" s="130"/>
      <c r="F62" s="2"/>
    </row>
    <row r="63" spans="2:6" ht="20.100000000000001" customHeight="1" x14ac:dyDescent="0.25">
      <c r="B63" s="16"/>
      <c r="C63" s="129" t="s">
        <v>3</v>
      </c>
      <c r="D63" s="129"/>
      <c r="E63" s="129"/>
      <c r="F63" s="17"/>
    </row>
    <row r="64" spans="2:6" ht="15" customHeight="1" x14ac:dyDescent="0.25">
      <c r="B64" s="1"/>
      <c r="C64" s="111"/>
      <c r="D64" s="111"/>
      <c r="E64" s="111"/>
      <c r="F64" s="2"/>
    </row>
    <row r="65" spans="2:6" ht="15" customHeight="1" x14ac:dyDescent="0.25">
      <c r="B65" s="18" t="s">
        <v>4</v>
      </c>
      <c r="C65" s="127" t="s">
        <v>4321</v>
      </c>
      <c r="D65" s="127"/>
      <c r="E65" s="127"/>
      <c r="F65" s="2"/>
    </row>
    <row r="66" spans="2:6" ht="15" customHeight="1" x14ac:dyDescent="0.25">
      <c r="B66" s="1"/>
      <c r="C66" s="127"/>
      <c r="D66" s="127"/>
      <c r="E66" s="127"/>
      <c r="F66" s="2"/>
    </row>
    <row r="67" spans="2:6" ht="15" customHeight="1" x14ac:dyDescent="0.25">
      <c r="B67" s="1"/>
      <c r="C67" s="127"/>
      <c r="D67" s="127"/>
      <c r="E67" s="127"/>
      <c r="F67" s="2"/>
    </row>
    <row r="68" spans="2:6" ht="15" customHeight="1" x14ac:dyDescent="0.25">
      <c r="B68" s="1"/>
      <c r="C68" s="127"/>
      <c r="D68" s="127"/>
      <c r="E68" s="127"/>
      <c r="F68" s="2"/>
    </row>
    <row r="69" spans="2:6" ht="15" customHeight="1" x14ac:dyDescent="0.25">
      <c r="B69" s="18" t="s">
        <v>4</v>
      </c>
      <c r="C69" s="127" t="s">
        <v>5</v>
      </c>
      <c r="D69" s="127"/>
      <c r="E69" s="127"/>
      <c r="F69" s="2"/>
    </row>
    <row r="70" spans="2:6" ht="15" customHeight="1" x14ac:dyDescent="0.25">
      <c r="B70" s="1"/>
      <c r="C70" s="127"/>
      <c r="D70" s="127"/>
      <c r="E70" s="127"/>
      <c r="F70" s="2"/>
    </row>
    <row r="71" spans="2:6" ht="15" customHeight="1" x14ac:dyDescent="0.25">
      <c r="B71" s="1"/>
      <c r="C71" s="127"/>
      <c r="D71" s="127"/>
      <c r="E71" s="127"/>
      <c r="F71" s="2"/>
    </row>
    <row r="72" spans="2:6" ht="15" customHeight="1" x14ac:dyDescent="0.25">
      <c r="B72" s="3"/>
      <c r="C72" s="8">
        <v>3</v>
      </c>
      <c r="D72" s="4"/>
      <c r="E72" s="9">
        <v>45693</v>
      </c>
      <c r="F72" s="5"/>
    </row>
  </sheetData>
  <sheetProtection algorithmName="SHA-512" hashValue="78a80eyHtmCfa44Vhmo9QxiPxcTelfhEFrLZVZM5l0kbjnn2hVjCWdOUcTLJWoF6oyh7O7pNk25TcyN6U3OdYA==" saltValue="jUNvbb6DgBS/a9XY02zGXw==" spinCount="100000" sheet="1" objects="1" scenarios="1" selectLockedCells="1" selectUnlockedCells="1"/>
  <mergeCells count="24">
    <mergeCell ref="C69:E71"/>
    <mergeCell ref="C52:E52"/>
    <mergeCell ref="C54:E62"/>
    <mergeCell ref="C34:E35"/>
    <mergeCell ref="C31:E33"/>
    <mergeCell ref="C36:E38"/>
    <mergeCell ref="C63:E63"/>
    <mergeCell ref="C65:E68"/>
    <mergeCell ref="C39:E39"/>
    <mergeCell ref="C41:E44"/>
    <mergeCell ref="C45:E47"/>
    <mergeCell ref="C48:E51"/>
    <mergeCell ref="C4:E5"/>
    <mergeCell ref="C18:E19"/>
    <mergeCell ref="C20:E22"/>
    <mergeCell ref="C29:E29"/>
    <mergeCell ref="C10:E11"/>
    <mergeCell ref="C6:E6"/>
    <mergeCell ref="C8:E9"/>
    <mergeCell ref="C12:E14"/>
    <mergeCell ref="C15:E17"/>
    <mergeCell ref="C23:E24"/>
    <mergeCell ref="C25:E26"/>
    <mergeCell ref="C27:E28"/>
  </mergeCells>
  <printOptions horizontalCentered="1"/>
  <pageMargins left="0.25" right="0.25" top="0.25" bottom="0.25" header="0" footer="0"/>
  <pageSetup scale="8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5AA58-8499-4A44-9B93-F6D5D770D5EB}">
  <sheetPr codeName="Sheet2">
    <tabColor rgb="FF046A38"/>
    <pageSetUpPr fitToPage="1"/>
  </sheetPr>
  <dimension ref="B1:G58"/>
  <sheetViews>
    <sheetView showGridLines="0" showRowColHeaders="0" zoomScaleNormal="100" workbookViewId="0">
      <selection activeCell="C7" sqref="C7:D7"/>
    </sheetView>
  </sheetViews>
  <sheetFormatPr defaultColWidth="8.7109375" defaultRowHeight="15" customHeight="1" x14ac:dyDescent="0.25"/>
  <cols>
    <col min="1" max="3" width="5.7109375" customWidth="1"/>
    <col min="4" max="4" width="45.7109375" customWidth="1"/>
    <col min="5" max="5" width="27.7109375" customWidth="1"/>
    <col min="6" max="6" width="28"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32" t="s">
        <v>208</v>
      </c>
      <c r="D4" s="132"/>
      <c r="E4" s="132"/>
      <c r="F4" s="132"/>
      <c r="G4" s="7"/>
    </row>
    <row r="5" spans="2:7" ht="15" customHeight="1" x14ac:dyDescent="0.25">
      <c r="B5" s="1"/>
      <c r="C5" s="111"/>
      <c r="D5" s="111"/>
      <c r="E5" s="111"/>
      <c r="F5" s="111"/>
      <c r="G5" s="2"/>
    </row>
    <row r="6" spans="2:7" ht="15" customHeight="1" x14ac:dyDescent="0.25">
      <c r="B6" s="1"/>
      <c r="C6" s="111" t="s">
        <v>9</v>
      </c>
      <c r="D6" s="111"/>
      <c r="E6" s="111"/>
      <c r="F6" s="111"/>
      <c r="G6" s="2"/>
    </row>
    <row r="7" spans="2:7" ht="15" customHeight="1" x14ac:dyDescent="0.25">
      <c r="B7" s="1"/>
      <c r="C7" s="135"/>
      <c r="D7" s="136"/>
      <c r="E7" s="111"/>
      <c r="F7" s="111"/>
      <c r="G7" s="2"/>
    </row>
    <row r="8" spans="2:7" ht="15" customHeight="1" x14ac:dyDescent="0.25">
      <c r="B8" s="1"/>
      <c r="C8" s="111"/>
      <c r="D8" s="111"/>
      <c r="E8" s="111"/>
      <c r="F8" s="111"/>
      <c r="G8" s="2"/>
    </row>
    <row r="9" spans="2:7" ht="15" customHeight="1" x14ac:dyDescent="0.25">
      <c r="B9" s="1"/>
      <c r="C9" s="111" t="s">
        <v>10</v>
      </c>
      <c r="D9" s="111"/>
      <c r="E9" s="111"/>
      <c r="F9" s="111"/>
      <c r="G9" s="2"/>
    </row>
    <row r="10" spans="2:7" ht="15" customHeight="1" x14ac:dyDescent="0.25">
      <c r="B10" s="1"/>
      <c r="C10" s="133"/>
      <c r="D10" s="134"/>
      <c r="E10" s="111"/>
      <c r="F10" s="111"/>
      <c r="G10" s="2"/>
    </row>
    <row r="11" spans="2:7" ht="15" customHeight="1" x14ac:dyDescent="0.25">
      <c r="B11" s="1"/>
      <c r="C11" s="111"/>
      <c r="D11" s="111"/>
      <c r="E11" s="111"/>
      <c r="F11" s="111"/>
      <c r="G11" s="2"/>
    </row>
    <row r="12" spans="2:7" ht="15" customHeight="1" x14ac:dyDescent="0.25">
      <c r="B12" s="1"/>
      <c r="C12" s="111" t="s">
        <v>85</v>
      </c>
      <c r="D12" s="111"/>
      <c r="E12" s="111"/>
      <c r="F12" s="111"/>
      <c r="G12" s="2"/>
    </row>
    <row r="13" spans="2:7" ht="15" customHeight="1" x14ac:dyDescent="0.25">
      <c r="B13" s="1"/>
      <c r="C13" s="133">
        <v>1</v>
      </c>
      <c r="D13" s="134"/>
      <c r="E13" s="111"/>
      <c r="F13" s="111"/>
      <c r="G13" s="2"/>
    </row>
    <row r="14" spans="2:7" ht="15" customHeight="1" x14ac:dyDescent="0.25">
      <c r="B14" s="1"/>
      <c r="C14" s="111"/>
      <c r="D14" s="111"/>
      <c r="E14" s="111"/>
      <c r="F14" s="111"/>
      <c r="G14" s="2"/>
    </row>
    <row r="15" spans="2:7" ht="15" customHeight="1" x14ac:dyDescent="0.35">
      <c r="B15" s="1"/>
      <c r="C15" s="111" t="s">
        <v>4301</v>
      </c>
      <c r="D15" s="111"/>
      <c r="E15" s="111"/>
      <c r="F15" s="111"/>
      <c r="G15" s="2"/>
    </row>
    <row r="16" spans="2:7" ht="15" customHeight="1" x14ac:dyDescent="0.25">
      <c r="B16" s="1"/>
      <c r="C16" s="112" t="s">
        <v>36</v>
      </c>
      <c r="D16" s="115" t="s">
        <v>35</v>
      </c>
      <c r="E16" s="115" t="s">
        <v>37</v>
      </c>
      <c r="F16" s="114" t="s">
        <v>86</v>
      </c>
      <c r="G16" s="2"/>
    </row>
    <row r="17" spans="2:7" ht="15" customHeight="1" x14ac:dyDescent="0.25">
      <c r="B17" s="1"/>
      <c r="C17" s="113">
        <v>1</v>
      </c>
      <c r="D17" s="84" t="s">
        <v>4306</v>
      </c>
      <c r="E17" s="84" t="s">
        <v>4306</v>
      </c>
      <c r="F17" s="83"/>
      <c r="G17" s="2"/>
    </row>
    <row r="18" spans="2:7" ht="15" hidden="1" customHeight="1" x14ac:dyDescent="0.25">
      <c r="B18" s="1"/>
      <c r="C18" s="113">
        <v>2</v>
      </c>
      <c r="D18" s="110"/>
      <c r="E18" s="110"/>
      <c r="F18" s="19"/>
      <c r="G18" s="2"/>
    </row>
    <row r="19" spans="2:7" ht="15" hidden="1" customHeight="1" x14ac:dyDescent="0.25">
      <c r="B19" s="1"/>
      <c r="C19" s="113">
        <v>3</v>
      </c>
      <c r="D19" s="110"/>
      <c r="E19" s="110"/>
      <c r="F19" s="19"/>
      <c r="G19" s="2"/>
    </row>
    <row r="20" spans="2:7" ht="15" hidden="1" customHeight="1" x14ac:dyDescent="0.25">
      <c r="B20" s="1"/>
      <c r="C20" s="113">
        <v>4</v>
      </c>
      <c r="D20" s="110"/>
      <c r="E20" s="110"/>
      <c r="F20" s="19"/>
      <c r="G20" s="2"/>
    </row>
    <row r="21" spans="2:7" ht="15" hidden="1" customHeight="1" x14ac:dyDescent="0.25">
      <c r="B21" s="1"/>
      <c r="C21" s="113">
        <v>5</v>
      </c>
      <c r="D21" s="110"/>
      <c r="E21" s="110"/>
      <c r="F21" s="19"/>
      <c r="G21" s="2"/>
    </row>
    <row r="22" spans="2:7" ht="15" hidden="1" customHeight="1" x14ac:dyDescent="0.25">
      <c r="B22" s="1"/>
      <c r="C22" s="113">
        <v>6</v>
      </c>
      <c r="D22" s="110"/>
      <c r="E22" s="110"/>
      <c r="F22" s="19"/>
      <c r="G22" s="2"/>
    </row>
    <row r="23" spans="2:7" ht="15" hidden="1" customHeight="1" x14ac:dyDescent="0.25">
      <c r="B23" s="1"/>
      <c r="C23" s="113">
        <v>7</v>
      </c>
      <c r="D23" s="110"/>
      <c r="E23" s="110"/>
      <c r="F23" s="19"/>
      <c r="G23" s="2"/>
    </row>
    <row r="24" spans="2:7" ht="15" hidden="1" customHeight="1" x14ac:dyDescent="0.25">
      <c r="B24" s="1"/>
      <c r="C24" s="113">
        <v>8</v>
      </c>
      <c r="D24" s="110"/>
      <c r="E24" s="110"/>
      <c r="F24" s="19"/>
      <c r="G24" s="2"/>
    </row>
    <row r="25" spans="2:7" ht="15" hidden="1" customHeight="1" x14ac:dyDescent="0.25">
      <c r="B25" s="1"/>
      <c r="C25" s="113">
        <v>9</v>
      </c>
      <c r="D25" s="110"/>
      <c r="E25" s="110"/>
      <c r="F25" s="19"/>
      <c r="G25" s="2"/>
    </row>
    <row r="26" spans="2:7" ht="15" hidden="1" customHeight="1" x14ac:dyDescent="0.25">
      <c r="B26" s="1"/>
      <c r="C26" s="113">
        <v>10</v>
      </c>
      <c r="D26" s="110"/>
      <c r="E26" s="110"/>
      <c r="F26" s="19"/>
      <c r="G26" s="2"/>
    </row>
    <row r="27" spans="2:7" ht="15" hidden="1" customHeight="1" x14ac:dyDescent="0.25">
      <c r="B27" s="1"/>
      <c r="C27" s="113">
        <v>11</v>
      </c>
      <c r="D27" s="110"/>
      <c r="E27" s="110"/>
      <c r="F27" s="19"/>
      <c r="G27" s="2"/>
    </row>
    <row r="28" spans="2:7" ht="15" hidden="1" customHeight="1" x14ac:dyDescent="0.25">
      <c r="B28" s="1"/>
      <c r="C28" s="113">
        <v>12</v>
      </c>
      <c r="D28" s="110"/>
      <c r="E28" s="110"/>
      <c r="F28" s="19"/>
      <c r="G28" s="2"/>
    </row>
    <row r="29" spans="2:7" ht="15" hidden="1" customHeight="1" x14ac:dyDescent="0.25">
      <c r="B29" s="1"/>
      <c r="C29" s="113">
        <v>13</v>
      </c>
      <c r="D29" s="110"/>
      <c r="E29" s="110"/>
      <c r="F29" s="19"/>
      <c r="G29" s="2"/>
    </row>
    <row r="30" spans="2:7" ht="15" hidden="1" customHeight="1" x14ac:dyDescent="0.25">
      <c r="B30" s="1"/>
      <c r="C30" s="113">
        <v>14</v>
      </c>
      <c r="D30" s="110"/>
      <c r="E30" s="110"/>
      <c r="F30" s="19"/>
      <c r="G30" s="2"/>
    </row>
    <row r="31" spans="2:7" ht="15" hidden="1" customHeight="1" x14ac:dyDescent="0.25">
      <c r="B31" s="1"/>
      <c r="C31" s="113">
        <v>15</v>
      </c>
      <c r="D31" s="110"/>
      <c r="E31" s="110"/>
      <c r="F31" s="19"/>
      <c r="G31" s="2"/>
    </row>
    <row r="32" spans="2:7" ht="15" hidden="1" customHeight="1" x14ac:dyDescent="0.25">
      <c r="B32" s="1"/>
      <c r="C32" s="113">
        <v>16</v>
      </c>
      <c r="D32" s="110"/>
      <c r="E32" s="110"/>
      <c r="F32" s="19"/>
      <c r="G32" s="2"/>
    </row>
    <row r="33" spans="2:7" ht="15" hidden="1" customHeight="1" x14ac:dyDescent="0.25">
      <c r="B33" s="1"/>
      <c r="C33" s="113">
        <v>17</v>
      </c>
      <c r="D33" s="110"/>
      <c r="E33" s="110"/>
      <c r="F33" s="19"/>
      <c r="G33" s="2"/>
    </row>
    <row r="34" spans="2:7" ht="15" hidden="1" customHeight="1" x14ac:dyDescent="0.25">
      <c r="B34" s="1"/>
      <c r="C34" s="113">
        <v>18</v>
      </c>
      <c r="D34" s="110"/>
      <c r="E34" s="110"/>
      <c r="F34" s="19"/>
      <c r="G34" s="2"/>
    </row>
    <row r="35" spans="2:7" ht="15" hidden="1" customHeight="1" x14ac:dyDescent="0.25">
      <c r="B35" s="1"/>
      <c r="C35" s="113">
        <v>19</v>
      </c>
      <c r="D35" s="110"/>
      <c r="E35" s="110"/>
      <c r="F35" s="19"/>
      <c r="G35" s="2"/>
    </row>
    <row r="36" spans="2:7" ht="15" hidden="1" customHeight="1" x14ac:dyDescent="0.25">
      <c r="B36" s="1"/>
      <c r="C36" s="113">
        <v>20</v>
      </c>
      <c r="D36" s="110"/>
      <c r="E36" s="110"/>
      <c r="F36" s="19"/>
      <c r="G36" s="2"/>
    </row>
    <row r="37" spans="2:7" ht="15" customHeight="1" x14ac:dyDescent="0.25">
      <c r="B37" s="1"/>
      <c r="C37" s="111"/>
      <c r="D37" s="111"/>
      <c r="E37" s="111"/>
      <c r="F37" s="111"/>
      <c r="G37" s="2"/>
    </row>
    <row r="38" spans="2:7" ht="15" customHeight="1" x14ac:dyDescent="0.25">
      <c r="B38" s="1"/>
      <c r="C38" s="111" t="s">
        <v>4291</v>
      </c>
      <c r="D38" s="111"/>
      <c r="E38" s="111"/>
      <c r="F38" s="111"/>
      <c r="G38" s="2"/>
    </row>
    <row r="39" spans="2:7" ht="15" customHeight="1" x14ac:dyDescent="0.35">
      <c r="B39" s="1"/>
      <c r="C39" s="139">
        <f>IFERROR(SUM(I.Compliance.FacilityObligation),"")</f>
        <v>0</v>
      </c>
      <c r="D39" s="140"/>
      <c r="E39" s="111" t="s">
        <v>52</v>
      </c>
      <c r="F39" s="111"/>
      <c r="G39" s="2"/>
    </row>
    <row r="40" spans="2:7" ht="15" customHeight="1" x14ac:dyDescent="0.25">
      <c r="B40" s="1"/>
      <c r="C40" s="111"/>
      <c r="D40" s="111"/>
      <c r="E40" s="111"/>
      <c r="F40" s="111"/>
      <c r="G40" s="2"/>
    </row>
    <row r="41" spans="2:7" ht="20.100000000000001" customHeight="1" x14ac:dyDescent="0.25">
      <c r="B41" s="16"/>
      <c r="C41" s="129" t="s">
        <v>4282</v>
      </c>
      <c r="D41" s="129"/>
      <c r="E41" s="129"/>
      <c r="F41" s="129"/>
      <c r="G41" s="17"/>
    </row>
    <row r="42" spans="2:7" ht="15" customHeight="1" x14ac:dyDescent="0.25">
      <c r="B42" s="1"/>
      <c r="C42" s="111"/>
      <c r="D42" s="111"/>
      <c r="E42" s="111"/>
      <c r="F42" s="111"/>
      <c r="G42" s="2"/>
    </row>
    <row r="43" spans="2:7" ht="15" customHeight="1" x14ac:dyDescent="0.25">
      <c r="B43" s="1"/>
      <c r="C43" s="111" t="s">
        <v>48</v>
      </c>
      <c r="D43" s="111"/>
      <c r="E43" s="111"/>
      <c r="F43" s="111"/>
      <c r="G43" s="2"/>
    </row>
    <row r="44" spans="2:7" ht="15" customHeight="1" x14ac:dyDescent="0.35">
      <c r="B44" s="1"/>
      <c r="C44" s="141"/>
      <c r="D44" s="142"/>
      <c r="E44" s="111" t="s">
        <v>52</v>
      </c>
      <c r="F44" s="111"/>
      <c r="G44" s="2"/>
    </row>
    <row r="45" spans="2:7" ht="15" customHeight="1" x14ac:dyDescent="0.25">
      <c r="B45" s="1"/>
      <c r="C45" s="111"/>
      <c r="D45" s="111"/>
      <c r="E45" s="111"/>
      <c r="F45" s="111"/>
      <c r="G45" s="2"/>
    </row>
    <row r="46" spans="2:7" ht="15" customHeight="1" x14ac:dyDescent="0.25">
      <c r="B46" s="1"/>
      <c r="C46" s="111" t="s">
        <v>49</v>
      </c>
      <c r="D46" s="111"/>
      <c r="E46" s="111"/>
      <c r="F46" s="111"/>
      <c r="G46" s="2"/>
    </row>
    <row r="47" spans="2:7" ht="15" customHeight="1" x14ac:dyDescent="0.35">
      <c r="B47" s="1"/>
      <c r="C47" s="141"/>
      <c r="D47" s="142"/>
      <c r="E47" s="111" t="s">
        <v>52</v>
      </c>
      <c r="F47" s="111"/>
      <c r="G47" s="2"/>
    </row>
    <row r="48" spans="2:7" ht="15" customHeight="1" x14ac:dyDescent="0.25">
      <c r="B48" s="1"/>
      <c r="C48" s="111"/>
      <c r="D48" s="111"/>
      <c r="E48" s="111"/>
      <c r="F48" s="111"/>
      <c r="G48" s="2"/>
    </row>
    <row r="49" spans="2:7" ht="15" customHeight="1" x14ac:dyDescent="0.25">
      <c r="B49" s="1"/>
      <c r="C49" s="111" t="s">
        <v>88</v>
      </c>
      <c r="D49" s="111"/>
      <c r="E49" s="111"/>
      <c r="F49" s="111"/>
      <c r="G49" s="2"/>
    </row>
    <row r="50" spans="2:7" ht="15" customHeight="1" x14ac:dyDescent="0.35">
      <c r="B50" s="1"/>
      <c r="C50" s="139">
        <f>IFERROR(MAX(R.Compliance.Obligation-I.Compliance.FulfilledPerformance-I.Compliance.FulfilledCCUS,0),"")</f>
        <v>0</v>
      </c>
      <c r="D50" s="140"/>
      <c r="E50" s="111" t="s">
        <v>52</v>
      </c>
      <c r="F50" s="111"/>
      <c r="G50" s="2"/>
    </row>
    <row r="51" spans="2:7" ht="15" customHeight="1" x14ac:dyDescent="0.25">
      <c r="B51" s="1"/>
      <c r="C51" s="111"/>
      <c r="D51" s="111"/>
      <c r="E51" s="111"/>
      <c r="F51" s="111"/>
      <c r="G51" s="2"/>
    </row>
    <row r="52" spans="2:7" ht="15" customHeight="1" x14ac:dyDescent="0.25">
      <c r="B52" s="1"/>
      <c r="C52" s="138"/>
      <c r="D52" s="138"/>
      <c r="E52" s="111"/>
      <c r="F52" s="111"/>
      <c r="G52" s="2"/>
    </row>
    <row r="53" spans="2:7" ht="15" customHeight="1" x14ac:dyDescent="0.25">
      <c r="B53" s="1"/>
      <c r="C53" s="111"/>
      <c r="D53" s="111"/>
      <c r="E53" s="111"/>
      <c r="F53" s="111"/>
      <c r="G53" s="2"/>
    </row>
    <row r="54" spans="2:7" ht="15" customHeight="1" x14ac:dyDescent="0.25">
      <c r="B54" s="3"/>
      <c r="C54" s="137">
        <f>R.Instructions.VersionNumber</f>
        <v>3</v>
      </c>
      <c r="D54" s="137"/>
      <c r="E54" s="4"/>
      <c r="F54" s="9">
        <f>R.Instructions.VersionDate</f>
        <v>45693</v>
      </c>
      <c r="G54" s="5"/>
    </row>
    <row r="56" spans="2:7" ht="15" customHeight="1" x14ac:dyDescent="0.25">
      <c r="C56" s="131" t="str">
        <f>IFERROR(VLOOKUP("Incomplete",Developer!H4:I69,2,FALSE),"Sheet complete.")</f>
        <v>Enter the regulated emitter name.</v>
      </c>
      <c r="D56" s="131"/>
      <c r="E56" s="131"/>
      <c r="F56" s="131"/>
    </row>
    <row r="57" spans="2:7" ht="15" customHeight="1" x14ac:dyDescent="0.25">
      <c r="C57" s="131"/>
      <c r="D57" s="131"/>
      <c r="E57" s="131"/>
      <c r="F57" s="131"/>
    </row>
    <row r="58" spans="2:7" ht="15" customHeight="1" x14ac:dyDescent="0.25">
      <c r="C58" s="131"/>
      <c r="D58" s="131"/>
      <c r="E58" s="131"/>
      <c r="F58" s="131"/>
    </row>
  </sheetData>
  <sheetProtection algorithmName="SHA-512" hashValue="ma5YAUPYyYEABW0LTAhXumDDWKRDc8v9Ga8ooGdsVGLSzJqdJ7xXBULaTwyDgCrVYaLC4SEai0N4AyQqPaMA0Q==" saltValue="UKqUxNBpAvqMk148X3UBiw==" spinCount="100000" sheet="1" objects="1" scenarios="1" selectLockedCells="1"/>
  <mergeCells count="12">
    <mergeCell ref="C56:F58"/>
    <mergeCell ref="C4:F4"/>
    <mergeCell ref="C13:D13"/>
    <mergeCell ref="C10:D10"/>
    <mergeCell ref="C7:D7"/>
    <mergeCell ref="C54:D54"/>
    <mergeCell ref="C52:D52"/>
    <mergeCell ref="C39:D39"/>
    <mergeCell ref="C41:F41"/>
    <mergeCell ref="C44:D44"/>
    <mergeCell ref="C47:D47"/>
    <mergeCell ref="C50:D50"/>
  </mergeCells>
  <conditionalFormatting sqref="C56">
    <cfRule type="cellIs" dxfId="4" priority="1" stopIfTrue="1" operator="equal">
      <formula>"Sheet complete."</formula>
    </cfRule>
  </conditionalFormatting>
  <dataValidations count="2">
    <dataValidation type="list" allowBlank="1" showInputMessage="1" showErrorMessage="1" errorTitle="Compliance Information" error="The compliance year must be between 2023 and 2030." sqref="C10" xr:uid="{A05BB6F1-0B7C-4C1D-897F-2BB2A0D520DE}">
      <formula1>"2023,2024,2025,2026,2027,2028,2029,2030"</formula1>
    </dataValidation>
    <dataValidation type="list" allowBlank="1" showInputMessage="1" showErrorMessage="1" errorTitle="Compliance Information" error="The number of facilities must be between 1 and 20." sqref="C13" xr:uid="{857756D4-8714-499F-8EA2-9AD47AF1D8E3}">
      <formula1>R.Compliance.RowNumber</formula1>
    </dataValidation>
  </dataValidations>
  <printOptions horizontalCentered="1"/>
  <pageMargins left="0.25" right="0.25" top="0.25" bottom="0.25" header="0" footer="0"/>
  <pageSetup scale="8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235FC-2FC7-4EFA-A82D-E67AD6F08748}">
  <sheetPr codeName="Sheet3">
    <tabColor rgb="FF046A38"/>
    <pageSetUpPr fitToPage="1"/>
  </sheetPr>
  <dimension ref="B1:G1028"/>
  <sheetViews>
    <sheetView showGridLines="0" showRowColHeaders="0" zoomScaleNormal="100" workbookViewId="0">
      <selection activeCell="C10" sqref="C10:D10"/>
    </sheetView>
  </sheetViews>
  <sheetFormatPr defaultRowHeight="15" customHeight="1" x14ac:dyDescent="0.25"/>
  <cols>
    <col min="1" max="3" width="5.7109375" customWidth="1"/>
    <col min="4" max="5" width="45.7109375" customWidth="1"/>
    <col min="6" max="6" width="10"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32" t="s">
        <v>91</v>
      </c>
      <c r="D4" s="132"/>
      <c r="E4" s="132"/>
      <c r="F4" s="132"/>
      <c r="G4" s="7"/>
    </row>
    <row r="5" spans="2:7" ht="15" customHeight="1" x14ac:dyDescent="0.25">
      <c r="B5" s="1"/>
      <c r="C5" s="111"/>
      <c r="D5" s="111"/>
      <c r="E5" s="111"/>
      <c r="F5" s="111"/>
      <c r="G5" s="2"/>
    </row>
    <row r="6" spans="2:7" ht="15" customHeight="1" x14ac:dyDescent="0.25">
      <c r="B6" s="1"/>
      <c r="C6" s="111" t="s">
        <v>48</v>
      </c>
      <c r="D6" s="111"/>
      <c r="E6" s="111"/>
      <c r="F6" s="111"/>
      <c r="G6" s="2"/>
    </row>
    <row r="7" spans="2:7" ht="15" customHeight="1" x14ac:dyDescent="0.35">
      <c r="B7" s="1"/>
      <c r="C7" s="139">
        <f>I.Compliance.FulfilledPerformance</f>
        <v>0</v>
      </c>
      <c r="D7" s="140"/>
      <c r="E7" s="111" t="s">
        <v>38</v>
      </c>
      <c r="F7" s="111"/>
      <c r="G7" s="2"/>
    </row>
    <row r="8" spans="2:7" ht="15" customHeight="1" x14ac:dyDescent="0.25">
      <c r="B8" s="1"/>
      <c r="C8" s="111"/>
      <c r="D8" s="111"/>
      <c r="E8" s="111"/>
      <c r="F8" s="111"/>
      <c r="G8" s="2"/>
    </row>
    <row r="9" spans="2:7" ht="15" customHeight="1" x14ac:dyDescent="0.25">
      <c r="B9" s="1"/>
      <c r="C9" s="111" t="s">
        <v>209</v>
      </c>
      <c r="D9" s="111"/>
      <c r="E9" s="111"/>
      <c r="F9" s="111"/>
      <c r="G9" s="2"/>
    </row>
    <row r="10" spans="2:7" ht="15" customHeight="1" x14ac:dyDescent="0.25">
      <c r="B10" s="1"/>
      <c r="C10" s="139"/>
      <c r="D10" s="140"/>
      <c r="E10" s="111"/>
      <c r="F10" s="111"/>
      <c r="G10" s="2"/>
    </row>
    <row r="11" spans="2:7" ht="15" customHeight="1" x14ac:dyDescent="0.25">
      <c r="B11" s="1"/>
      <c r="C11" s="111"/>
      <c r="D11" s="111"/>
      <c r="E11" s="111"/>
      <c r="F11" s="111"/>
      <c r="G11" s="2"/>
    </row>
    <row r="12" spans="2:7" ht="15" customHeight="1" x14ac:dyDescent="0.25">
      <c r="B12" s="1"/>
      <c r="C12" s="127" t="s">
        <v>4280</v>
      </c>
      <c r="D12" s="127"/>
      <c r="E12" s="127"/>
      <c r="F12" s="127"/>
      <c r="G12" s="2"/>
    </row>
    <row r="13" spans="2:7" ht="15" customHeight="1" x14ac:dyDescent="0.25">
      <c r="B13" s="1"/>
      <c r="C13" s="127"/>
      <c r="D13" s="127"/>
      <c r="E13" s="127"/>
      <c r="F13" s="127"/>
      <c r="G13" s="2"/>
    </row>
    <row r="14" spans="2:7" ht="15" customHeight="1" x14ac:dyDescent="0.25">
      <c r="B14" s="1"/>
      <c r="C14" s="127"/>
      <c r="D14" s="127"/>
      <c r="E14" s="127"/>
      <c r="F14" s="127"/>
      <c r="G14" s="2"/>
    </row>
    <row r="15" spans="2:7" ht="15" customHeight="1" x14ac:dyDescent="0.25">
      <c r="B15" s="1"/>
      <c r="C15" s="127"/>
      <c r="D15" s="127"/>
      <c r="E15" s="127"/>
      <c r="F15" s="127"/>
      <c r="G15" s="2"/>
    </row>
    <row r="16" spans="2:7" ht="15" customHeight="1" x14ac:dyDescent="0.25">
      <c r="B16" s="1"/>
      <c r="C16" s="127"/>
      <c r="D16" s="127"/>
      <c r="E16" s="127"/>
      <c r="F16" s="127"/>
      <c r="G16" s="2"/>
    </row>
    <row r="17" spans="2:7" ht="15" customHeight="1" x14ac:dyDescent="0.25">
      <c r="B17" s="1"/>
      <c r="C17" s="112" t="s">
        <v>36</v>
      </c>
      <c r="D17" s="115" t="s">
        <v>4313</v>
      </c>
      <c r="E17" s="115" t="s">
        <v>4314</v>
      </c>
      <c r="F17" s="114" t="s">
        <v>50</v>
      </c>
      <c r="G17" s="2"/>
    </row>
    <row r="18" spans="2:7" ht="15" customHeight="1" x14ac:dyDescent="0.25">
      <c r="B18" s="1"/>
      <c r="C18" s="113">
        <v>1</v>
      </c>
      <c r="D18" s="110"/>
      <c r="E18" s="110"/>
      <c r="F18" s="19" t="str">
        <f>IFERROR(IF(AND(LEFT(D18,6)=LEFT(E18,6),RIGHT(E18,9)-RIGHT(D18,9)&gt;=0),RIGHT(E18,9)-RIGHT(D18,9)+1,""),"")</f>
        <v/>
      </c>
      <c r="G18" s="2"/>
    </row>
    <row r="19" spans="2:7" ht="15" customHeight="1" x14ac:dyDescent="0.25">
      <c r="B19" s="1"/>
      <c r="C19" s="113">
        <v>2</v>
      </c>
      <c r="D19" s="110"/>
      <c r="E19" s="110"/>
      <c r="F19" s="19" t="str">
        <f t="shared" ref="F19:F82" si="0">IFERROR(IF(AND(LEFT(D19,6)=LEFT(E19,6),RIGHT(E19,9)-RIGHT(D19,9)&gt;=0),RIGHT(E19,9)-RIGHT(D19,9)+1,""),"")</f>
        <v/>
      </c>
      <c r="G19" s="2"/>
    </row>
    <row r="20" spans="2:7" ht="15" customHeight="1" x14ac:dyDescent="0.25">
      <c r="B20" s="1"/>
      <c r="C20" s="113">
        <v>3</v>
      </c>
      <c r="D20" s="110"/>
      <c r="E20" s="110"/>
      <c r="F20" s="19" t="str">
        <f t="shared" si="0"/>
        <v/>
      </c>
      <c r="G20" s="2"/>
    </row>
    <row r="21" spans="2:7" ht="15" customHeight="1" x14ac:dyDescent="0.25">
      <c r="B21" s="1"/>
      <c r="C21" s="113">
        <v>4</v>
      </c>
      <c r="D21" s="110"/>
      <c r="E21" s="110"/>
      <c r="F21" s="19" t="str">
        <f t="shared" si="0"/>
        <v/>
      </c>
      <c r="G21" s="2"/>
    </row>
    <row r="22" spans="2:7" ht="15" customHeight="1" x14ac:dyDescent="0.25">
      <c r="B22" s="1"/>
      <c r="C22" s="113">
        <v>5</v>
      </c>
      <c r="D22" s="110"/>
      <c r="E22" s="110"/>
      <c r="F22" s="19" t="str">
        <f t="shared" si="0"/>
        <v/>
      </c>
      <c r="G22" s="2"/>
    </row>
    <row r="23" spans="2:7" ht="15" customHeight="1" x14ac:dyDescent="0.25">
      <c r="B23" s="1"/>
      <c r="C23" s="113">
        <v>6</v>
      </c>
      <c r="D23" s="110"/>
      <c r="E23" s="110"/>
      <c r="F23" s="19" t="str">
        <f t="shared" si="0"/>
        <v/>
      </c>
      <c r="G23" s="2"/>
    </row>
    <row r="24" spans="2:7" ht="15" customHeight="1" x14ac:dyDescent="0.25">
      <c r="B24" s="1"/>
      <c r="C24" s="113">
        <v>7</v>
      </c>
      <c r="D24" s="110"/>
      <c r="E24" s="110"/>
      <c r="F24" s="19" t="str">
        <f t="shared" si="0"/>
        <v/>
      </c>
      <c r="G24" s="2"/>
    </row>
    <row r="25" spans="2:7" ht="15" customHeight="1" x14ac:dyDescent="0.25">
      <c r="B25" s="1"/>
      <c r="C25" s="113">
        <v>8</v>
      </c>
      <c r="D25" s="110"/>
      <c r="E25" s="110"/>
      <c r="F25" s="19" t="str">
        <f t="shared" si="0"/>
        <v/>
      </c>
      <c r="G25" s="2"/>
    </row>
    <row r="26" spans="2:7" ht="15" customHeight="1" x14ac:dyDescent="0.25">
      <c r="B26" s="1"/>
      <c r="C26" s="113">
        <v>9</v>
      </c>
      <c r="D26" s="110"/>
      <c r="E26" s="110"/>
      <c r="F26" s="19" t="str">
        <f t="shared" si="0"/>
        <v/>
      </c>
      <c r="G26" s="2"/>
    </row>
    <row r="27" spans="2:7" ht="15" customHeight="1" x14ac:dyDescent="0.25">
      <c r="B27" s="1"/>
      <c r="C27" s="113">
        <v>10</v>
      </c>
      <c r="D27" s="110"/>
      <c r="E27" s="110"/>
      <c r="F27" s="19" t="str">
        <f t="shared" si="0"/>
        <v/>
      </c>
      <c r="G27" s="2"/>
    </row>
    <row r="28" spans="2:7" ht="15" customHeight="1" x14ac:dyDescent="0.25">
      <c r="B28" s="1"/>
      <c r="C28" s="113">
        <v>11</v>
      </c>
      <c r="D28" s="110"/>
      <c r="E28" s="110"/>
      <c r="F28" s="19" t="str">
        <f t="shared" si="0"/>
        <v/>
      </c>
      <c r="G28" s="2"/>
    </row>
    <row r="29" spans="2:7" ht="15" customHeight="1" x14ac:dyDescent="0.25">
      <c r="B29" s="1"/>
      <c r="C29" s="113">
        <v>12</v>
      </c>
      <c r="D29" s="110"/>
      <c r="E29" s="110"/>
      <c r="F29" s="19" t="str">
        <f t="shared" si="0"/>
        <v/>
      </c>
      <c r="G29" s="2"/>
    </row>
    <row r="30" spans="2:7" ht="15" customHeight="1" x14ac:dyDescent="0.25">
      <c r="B30" s="1"/>
      <c r="C30" s="113">
        <v>13</v>
      </c>
      <c r="D30" s="110"/>
      <c r="E30" s="110"/>
      <c r="F30" s="19" t="str">
        <f t="shared" si="0"/>
        <v/>
      </c>
      <c r="G30" s="2"/>
    </row>
    <row r="31" spans="2:7" ht="15" customHeight="1" x14ac:dyDescent="0.25">
      <c r="B31" s="1"/>
      <c r="C31" s="113">
        <v>14</v>
      </c>
      <c r="D31" s="110"/>
      <c r="E31" s="110"/>
      <c r="F31" s="19" t="str">
        <f t="shared" si="0"/>
        <v/>
      </c>
      <c r="G31" s="2"/>
    </row>
    <row r="32" spans="2:7" ht="15" customHeight="1" x14ac:dyDescent="0.25">
      <c r="B32" s="1"/>
      <c r="C32" s="113">
        <v>15</v>
      </c>
      <c r="D32" s="110"/>
      <c r="E32" s="110"/>
      <c r="F32" s="19" t="str">
        <f t="shared" si="0"/>
        <v/>
      </c>
      <c r="G32" s="2"/>
    </row>
    <row r="33" spans="2:7" ht="15" customHeight="1" x14ac:dyDescent="0.25">
      <c r="B33" s="1"/>
      <c r="C33" s="113">
        <v>16</v>
      </c>
      <c r="D33" s="110"/>
      <c r="E33" s="110"/>
      <c r="F33" s="19" t="str">
        <f t="shared" si="0"/>
        <v/>
      </c>
      <c r="G33" s="2"/>
    </row>
    <row r="34" spans="2:7" ht="15" customHeight="1" x14ac:dyDescent="0.25">
      <c r="B34" s="1"/>
      <c r="C34" s="113">
        <v>17</v>
      </c>
      <c r="D34" s="110"/>
      <c r="E34" s="110"/>
      <c r="F34" s="19" t="str">
        <f t="shared" si="0"/>
        <v/>
      </c>
      <c r="G34" s="2"/>
    </row>
    <row r="35" spans="2:7" ht="15" customHeight="1" x14ac:dyDescent="0.25">
      <c r="B35" s="1"/>
      <c r="C35" s="113">
        <v>18</v>
      </c>
      <c r="D35" s="110"/>
      <c r="E35" s="110"/>
      <c r="F35" s="19" t="str">
        <f t="shared" si="0"/>
        <v/>
      </c>
      <c r="G35" s="2"/>
    </row>
    <row r="36" spans="2:7" ht="15" customHeight="1" x14ac:dyDescent="0.25">
      <c r="B36" s="1"/>
      <c r="C36" s="113">
        <v>19</v>
      </c>
      <c r="D36" s="110"/>
      <c r="E36" s="110"/>
      <c r="F36" s="19" t="str">
        <f t="shared" si="0"/>
        <v/>
      </c>
      <c r="G36" s="2"/>
    </row>
    <row r="37" spans="2:7" ht="15" customHeight="1" x14ac:dyDescent="0.25">
      <c r="B37" s="1"/>
      <c r="C37" s="113">
        <v>20</v>
      </c>
      <c r="D37" s="110"/>
      <c r="E37" s="110"/>
      <c r="F37" s="19" t="str">
        <f t="shared" si="0"/>
        <v/>
      </c>
      <c r="G37" s="2"/>
    </row>
    <row r="38" spans="2:7" ht="15" customHeight="1" x14ac:dyDescent="0.25">
      <c r="B38" s="1"/>
      <c r="C38" s="113">
        <v>21</v>
      </c>
      <c r="D38" s="110"/>
      <c r="E38" s="110"/>
      <c r="F38" s="19" t="str">
        <f t="shared" si="0"/>
        <v/>
      </c>
      <c r="G38" s="2"/>
    </row>
    <row r="39" spans="2:7" ht="15" customHeight="1" x14ac:dyDescent="0.25">
      <c r="B39" s="1"/>
      <c r="C39" s="113">
        <v>22</v>
      </c>
      <c r="D39" s="110"/>
      <c r="E39" s="110"/>
      <c r="F39" s="19" t="str">
        <f t="shared" si="0"/>
        <v/>
      </c>
      <c r="G39" s="2"/>
    </row>
    <row r="40" spans="2:7" ht="15" customHeight="1" x14ac:dyDescent="0.25">
      <c r="B40" s="1"/>
      <c r="C40" s="113">
        <v>23</v>
      </c>
      <c r="D40" s="110"/>
      <c r="E40" s="110"/>
      <c r="F40" s="19" t="str">
        <f t="shared" si="0"/>
        <v/>
      </c>
      <c r="G40" s="2"/>
    </row>
    <row r="41" spans="2:7" ht="15" customHeight="1" x14ac:dyDescent="0.25">
      <c r="B41" s="1"/>
      <c r="C41" s="113">
        <v>24</v>
      </c>
      <c r="D41" s="110"/>
      <c r="E41" s="110"/>
      <c r="F41" s="19" t="str">
        <f t="shared" si="0"/>
        <v/>
      </c>
      <c r="G41" s="2"/>
    </row>
    <row r="42" spans="2:7" ht="15" customHeight="1" x14ac:dyDescent="0.25">
      <c r="B42" s="1"/>
      <c r="C42" s="113">
        <v>25</v>
      </c>
      <c r="D42" s="110"/>
      <c r="E42" s="110"/>
      <c r="F42" s="19" t="str">
        <f t="shared" si="0"/>
        <v/>
      </c>
      <c r="G42" s="2"/>
    </row>
    <row r="43" spans="2:7" ht="15" customHeight="1" x14ac:dyDescent="0.25">
      <c r="B43" s="1"/>
      <c r="C43" s="113">
        <v>26</v>
      </c>
      <c r="D43" s="110"/>
      <c r="E43" s="110"/>
      <c r="F43" s="19" t="str">
        <f t="shared" si="0"/>
        <v/>
      </c>
      <c r="G43" s="2"/>
    </row>
    <row r="44" spans="2:7" ht="15" customHeight="1" x14ac:dyDescent="0.25">
      <c r="B44" s="1"/>
      <c r="C44" s="113">
        <v>27</v>
      </c>
      <c r="D44" s="110"/>
      <c r="E44" s="110"/>
      <c r="F44" s="19" t="str">
        <f t="shared" si="0"/>
        <v/>
      </c>
      <c r="G44" s="2"/>
    </row>
    <row r="45" spans="2:7" ht="15" customHeight="1" x14ac:dyDescent="0.25">
      <c r="B45" s="1"/>
      <c r="C45" s="113">
        <v>28</v>
      </c>
      <c r="D45" s="110"/>
      <c r="E45" s="110"/>
      <c r="F45" s="19" t="str">
        <f t="shared" si="0"/>
        <v/>
      </c>
      <c r="G45" s="2"/>
    </row>
    <row r="46" spans="2:7" ht="15" customHeight="1" x14ac:dyDescent="0.25">
      <c r="B46" s="1"/>
      <c r="C46" s="113">
        <v>29</v>
      </c>
      <c r="D46" s="110"/>
      <c r="E46" s="110"/>
      <c r="F46" s="19" t="str">
        <f t="shared" si="0"/>
        <v/>
      </c>
      <c r="G46" s="2"/>
    </row>
    <row r="47" spans="2:7" ht="15" customHeight="1" x14ac:dyDescent="0.25">
      <c r="B47" s="1"/>
      <c r="C47" s="113">
        <v>30</v>
      </c>
      <c r="D47" s="110"/>
      <c r="E47" s="110"/>
      <c r="F47" s="19" t="str">
        <f t="shared" si="0"/>
        <v/>
      </c>
      <c r="G47" s="2"/>
    </row>
    <row r="48" spans="2:7" ht="15" customHeight="1" x14ac:dyDescent="0.25">
      <c r="B48" s="1"/>
      <c r="C48" s="113">
        <v>31</v>
      </c>
      <c r="D48" s="110"/>
      <c r="E48" s="110"/>
      <c r="F48" s="19" t="str">
        <f t="shared" si="0"/>
        <v/>
      </c>
      <c r="G48" s="2"/>
    </row>
    <row r="49" spans="2:7" ht="15" customHeight="1" x14ac:dyDescent="0.25">
      <c r="B49" s="1"/>
      <c r="C49" s="113">
        <v>32</v>
      </c>
      <c r="D49" s="110"/>
      <c r="E49" s="110"/>
      <c r="F49" s="19" t="str">
        <f t="shared" si="0"/>
        <v/>
      </c>
      <c r="G49" s="2"/>
    </row>
    <row r="50" spans="2:7" ht="15" customHeight="1" x14ac:dyDescent="0.25">
      <c r="B50" s="1"/>
      <c r="C50" s="113">
        <v>33</v>
      </c>
      <c r="D50" s="110"/>
      <c r="E50" s="110"/>
      <c r="F50" s="19" t="str">
        <f t="shared" si="0"/>
        <v/>
      </c>
      <c r="G50" s="2"/>
    </row>
    <row r="51" spans="2:7" ht="15" customHeight="1" x14ac:dyDescent="0.25">
      <c r="B51" s="1"/>
      <c r="C51" s="113">
        <v>34</v>
      </c>
      <c r="D51" s="110"/>
      <c r="E51" s="110"/>
      <c r="F51" s="19" t="str">
        <f t="shared" si="0"/>
        <v/>
      </c>
      <c r="G51" s="2"/>
    </row>
    <row r="52" spans="2:7" ht="15" customHeight="1" x14ac:dyDescent="0.25">
      <c r="B52" s="1"/>
      <c r="C52" s="113">
        <v>35</v>
      </c>
      <c r="D52" s="110"/>
      <c r="E52" s="110"/>
      <c r="F52" s="19" t="str">
        <f t="shared" si="0"/>
        <v/>
      </c>
      <c r="G52" s="2"/>
    </row>
    <row r="53" spans="2:7" ht="15" customHeight="1" x14ac:dyDescent="0.25">
      <c r="B53" s="1"/>
      <c r="C53" s="113">
        <v>36</v>
      </c>
      <c r="D53" s="110"/>
      <c r="E53" s="110"/>
      <c r="F53" s="19" t="str">
        <f t="shared" si="0"/>
        <v/>
      </c>
      <c r="G53" s="2"/>
    </row>
    <row r="54" spans="2:7" ht="15" customHeight="1" x14ac:dyDescent="0.25">
      <c r="B54" s="1"/>
      <c r="C54" s="113">
        <v>37</v>
      </c>
      <c r="D54" s="110"/>
      <c r="E54" s="110"/>
      <c r="F54" s="19" t="str">
        <f t="shared" si="0"/>
        <v/>
      </c>
      <c r="G54" s="2"/>
    </row>
    <row r="55" spans="2:7" ht="15" customHeight="1" x14ac:dyDescent="0.25">
      <c r="B55" s="1"/>
      <c r="C55" s="113">
        <v>38</v>
      </c>
      <c r="D55" s="110"/>
      <c r="E55" s="110"/>
      <c r="F55" s="19" t="str">
        <f t="shared" si="0"/>
        <v/>
      </c>
      <c r="G55" s="2"/>
    </row>
    <row r="56" spans="2:7" ht="15" customHeight="1" x14ac:dyDescent="0.25">
      <c r="B56" s="1"/>
      <c r="C56" s="113">
        <v>39</v>
      </c>
      <c r="D56" s="110"/>
      <c r="E56" s="110"/>
      <c r="F56" s="19" t="str">
        <f t="shared" si="0"/>
        <v/>
      </c>
      <c r="G56" s="2"/>
    </row>
    <row r="57" spans="2:7" ht="15" customHeight="1" x14ac:dyDescent="0.25">
      <c r="B57" s="1"/>
      <c r="C57" s="113">
        <v>40</v>
      </c>
      <c r="D57" s="110"/>
      <c r="E57" s="110"/>
      <c r="F57" s="19" t="str">
        <f t="shared" si="0"/>
        <v/>
      </c>
      <c r="G57" s="2"/>
    </row>
    <row r="58" spans="2:7" ht="15" customHeight="1" x14ac:dyDescent="0.25">
      <c r="B58" s="1"/>
      <c r="C58" s="113">
        <v>41</v>
      </c>
      <c r="D58" s="110"/>
      <c r="E58" s="110"/>
      <c r="F58" s="19" t="str">
        <f t="shared" si="0"/>
        <v/>
      </c>
      <c r="G58" s="2"/>
    </row>
    <row r="59" spans="2:7" ht="15" customHeight="1" x14ac:dyDescent="0.25">
      <c r="B59" s="1"/>
      <c r="C59" s="113">
        <v>42</v>
      </c>
      <c r="D59" s="110"/>
      <c r="E59" s="110"/>
      <c r="F59" s="19" t="str">
        <f t="shared" si="0"/>
        <v/>
      </c>
      <c r="G59" s="2"/>
    </row>
    <row r="60" spans="2:7" ht="15" customHeight="1" x14ac:dyDescent="0.25">
      <c r="B60" s="1"/>
      <c r="C60" s="113">
        <v>43</v>
      </c>
      <c r="D60" s="110"/>
      <c r="E60" s="110"/>
      <c r="F60" s="19" t="str">
        <f t="shared" si="0"/>
        <v/>
      </c>
      <c r="G60" s="2"/>
    </row>
    <row r="61" spans="2:7" ht="15" customHeight="1" x14ac:dyDescent="0.25">
      <c r="B61" s="1"/>
      <c r="C61" s="113">
        <v>44</v>
      </c>
      <c r="D61" s="110"/>
      <c r="E61" s="110"/>
      <c r="F61" s="19" t="str">
        <f t="shared" si="0"/>
        <v/>
      </c>
      <c r="G61" s="2"/>
    </row>
    <row r="62" spans="2:7" ht="15" customHeight="1" x14ac:dyDescent="0.25">
      <c r="B62" s="1"/>
      <c r="C62" s="113">
        <v>45</v>
      </c>
      <c r="D62" s="110"/>
      <c r="E62" s="110"/>
      <c r="F62" s="19" t="str">
        <f t="shared" si="0"/>
        <v/>
      </c>
      <c r="G62" s="2"/>
    </row>
    <row r="63" spans="2:7" ht="15" customHeight="1" x14ac:dyDescent="0.25">
      <c r="B63" s="1"/>
      <c r="C63" s="113">
        <v>46</v>
      </c>
      <c r="D63" s="110"/>
      <c r="E63" s="110"/>
      <c r="F63" s="19" t="str">
        <f t="shared" si="0"/>
        <v/>
      </c>
      <c r="G63" s="2"/>
    </row>
    <row r="64" spans="2:7" ht="15" customHeight="1" x14ac:dyDescent="0.25">
      <c r="B64" s="1"/>
      <c r="C64" s="113">
        <v>47</v>
      </c>
      <c r="D64" s="110"/>
      <c r="E64" s="110"/>
      <c r="F64" s="19" t="str">
        <f t="shared" si="0"/>
        <v/>
      </c>
      <c r="G64" s="2"/>
    </row>
    <row r="65" spans="2:7" ht="15" customHeight="1" x14ac:dyDescent="0.25">
      <c r="B65" s="1"/>
      <c r="C65" s="113">
        <v>48</v>
      </c>
      <c r="D65" s="110"/>
      <c r="E65" s="110"/>
      <c r="F65" s="19" t="str">
        <f t="shared" si="0"/>
        <v/>
      </c>
      <c r="G65" s="2"/>
    </row>
    <row r="66" spans="2:7" ht="15" customHeight="1" x14ac:dyDescent="0.25">
      <c r="B66" s="1"/>
      <c r="C66" s="113">
        <v>49</v>
      </c>
      <c r="D66" s="110"/>
      <c r="E66" s="110"/>
      <c r="F66" s="19" t="str">
        <f t="shared" si="0"/>
        <v/>
      </c>
      <c r="G66" s="2"/>
    </row>
    <row r="67" spans="2:7" ht="15" customHeight="1" x14ac:dyDescent="0.25">
      <c r="B67" s="1"/>
      <c r="C67" s="113">
        <v>50</v>
      </c>
      <c r="D67" s="110"/>
      <c r="E67" s="110"/>
      <c r="F67" s="19" t="str">
        <f t="shared" si="0"/>
        <v/>
      </c>
      <c r="G67" s="2"/>
    </row>
    <row r="68" spans="2:7" ht="15" customHeight="1" x14ac:dyDescent="0.25">
      <c r="B68" s="1"/>
      <c r="C68" s="113">
        <v>51</v>
      </c>
      <c r="D68" s="110"/>
      <c r="E68" s="110"/>
      <c r="F68" s="19" t="str">
        <f t="shared" si="0"/>
        <v/>
      </c>
      <c r="G68" s="2"/>
    </row>
    <row r="69" spans="2:7" ht="15" customHeight="1" x14ac:dyDescent="0.25">
      <c r="B69" s="1"/>
      <c r="C69" s="113">
        <v>52</v>
      </c>
      <c r="D69" s="110"/>
      <c r="E69" s="110"/>
      <c r="F69" s="19" t="str">
        <f t="shared" si="0"/>
        <v/>
      </c>
      <c r="G69" s="2"/>
    </row>
    <row r="70" spans="2:7" ht="15" customHeight="1" x14ac:dyDescent="0.25">
      <c r="B70" s="1"/>
      <c r="C70" s="113">
        <v>53</v>
      </c>
      <c r="D70" s="110"/>
      <c r="E70" s="110"/>
      <c r="F70" s="19" t="str">
        <f t="shared" si="0"/>
        <v/>
      </c>
      <c r="G70" s="2"/>
    </row>
    <row r="71" spans="2:7" ht="15" customHeight="1" x14ac:dyDescent="0.25">
      <c r="B71" s="1"/>
      <c r="C71" s="113">
        <v>54</v>
      </c>
      <c r="D71" s="110"/>
      <c r="E71" s="110"/>
      <c r="F71" s="19" t="str">
        <f t="shared" si="0"/>
        <v/>
      </c>
      <c r="G71" s="2"/>
    </row>
    <row r="72" spans="2:7" ht="15" customHeight="1" x14ac:dyDescent="0.25">
      <c r="B72" s="1"/>
      <c r="C72" s="113">
        <v>55</v>
      </c>
      <c r="D72" s="110"/>
      <c r="E72" s="110"/>
      <c r="F72" s="19" t="str">
        <f t="shared" si="0"/>
        <v/>
      </c>
      <c r="G72" s="2"/>
    </row>
    <row r="73" spans="2:7" ht="15" customHeight="1" x14ac:dyDescent="0.25">
      <c r="B73" s="1"/>
      <c r="C73" s="113">
        <v>56</v>
      </c>
      <c r="D73" s="110"/>
      <c r="E73" s="110"/>
      <c r="F73" s="19" t="str">
        <f t="shared" si="0"/>
        <v/>
      </c>
      <c r="G73" s="2"/>
    </row>
    <row r="74" spans="2:7" ht="15" customHeight="1" x14ac:dyDescent="0.25">
      <c r="B74" s="1"/>
      <c r="C74" s="113">
        <v>57</v>
      </c>
      <c r="D74" s="110"/>
      <c r="E74" s="110"/>
      <c r="F74" s="19" t="str">
        <f t="shared" si="0"/>
        <v/>
      </c>
      <c r="G74" s="2"/>
    </row>
    <row r="75" spans="2:7" ht="15" customHeight="1" x14ac:dyDescent="0.25">
      <c r="B75" s="1"/>
      <c r="C75" s="113">
        <v>58</v>
      </c>
      <c r="D75" s="110"/>
      <c r="E75" s="110"/>
      <c r="F75" s="19" t="str">
        <f t="shared" si="0"/>
        <v/>
      </c>
      <c r="G75" s="2"/>
    </row>
    <row r="76" spans="2:7" ht="15" customHeight="1" x14ac:dyDescent="0.25">
      <c r="B76" s="1"/>
      <c r="C76" s="113">
        <v>59</v>
      </c>
      <c r="D76" s="110"/>
      <c r="E76" s="110"/>
      <c r="F76" s="19" t="str">
        <f t="shared" si="0"/>
        <v/>
      </c>
      <c r="G76" s="2"/>
    </row>
    <row r="77" spans="2:7" ht="15" customHeight="1" x14ac:dyDescent="0.25">
      <c r="B77" s="1"/>
      <c r="C77" s="113">
        <v>60</v>
      </c>
      <c r="D77" s="110"/>
      <c r="E77" s="110"/>
      <c r="F77" s="19" t="str">
        <f t="shared" si="0"/>
        <v/>
      </c>
      <c r="G77" s="2"/>
    </row>
    <row r="78" spans="2:7" ht="15" customHeight="1" x14ac:dyDescent="0.25">
      <c r="B78" s="1"/>
      <c r="C78" s="113">
        <v>61</v>
      </c>
      <c r="D78" s="110"/>
      <c r="E78" s="110"/>
      <c r="F78" s="19" t="str">
        <f t="shared" si="0"/>
        <v/>
      </c>
      <c r="G78" s="2"/>
    </row>
    <row r="79" spans="2:7" ht="15" customHeight="1" x14ac:dyDescent="0.25">
      <c r="B79" s="1"/>
      <c r="C79" s="113">
        <v>62</v>
      </c>
      <c r="D79" s="110"/>
      <c r="E79" s="110"/>
      <c r="F79" s="19" t="str">
        <f t="shared" si="0"/>
        <v/>
      </c>
      <c r="G79" s="2"/>
    </row>
    <row r="80" spans="2:7" ht="15" customHeight="1" x14ac:dyDescent="0.25">
      <c r="B80" s="1"/>
      <c r="C80" s="113">
        <v>63</v>
      </c>
      <c r="D80" s="110"/>
      <c r="E80" s="110"/>
      <c r="F80" s="19" t="str">
        <f t="shared" si="0"/>
        <v/>
      </c>
      <c r="G80" s="2"/>
    </row>
    <row r="81" spans="2:7" ht="15" customHeight="1" x14ac:dyDescent="0.25">
      <c r="B81" s="1"/>
      <c r="C81" s="113">
        <v>64</v>
      </c>
      <c r="D81" s="110"/>
      <c r="E81" s="110"/>
      <c r="F81" s="19" t="str">
        <f t="shared" si="0"/>
        <v/>
      </c>
      <c r="G81" s="2"/>
    </row>
    <row r="82" spans="2:7" ht="15" customHeight="1" x14ac:dyDescent="0.25">
      <c r="B82" s="1"/>
      <c r="C82" s="113">
        <v>65</v>
      </c>
      <c r="D82" s="110"/>
      <c r="E82" s="110"/>
      <c r="F82" s="19" t="str">
        <f t="shared" si="0"/>
        <v/>
      </c>
      <c r="G82" s="2"/>
    </row>
    <row r="83" spans="2:7" ht="15" customHeight="1" x14ac:dyDescent="0.25">
      <c r="B83" s="1"/>
      <c r="C83" s="113">
        <v>66</v>
      </c>
      <c r="D83" s="110"/>
      <c r="E83" s="110"/>
      <c r="F83" s="19" t="str">
        <f t="shared" ref="F83:F146" si="1">IFERROR(IF(AND(LEFT(D83,6)=LEFT(E83,6),RIGHT(E83,9)-RIGHT(D83,9)&gt;=0),RIGHT(E83,9)-RIGHT(D83,9)+1,""),"")</f>
        <v/>
      </c>
      <c r="G83" s="2"/>
    </row>
    <row r="84" spans="2:7" ht="15" customHeight="1" x14ac:dyDescent="0.25">
      <c r="B84" s="1"/>
      <c r="C84" s="113">
        <v>67</v>
      </c>
      <c r="D84" s="110"/>
      <c r="E84" s="110"/>
      <c r="F84" s="19" t="str">
        <f t="shared" si="1"/>
        <v/>
      </c>
      <c r="G84" s="2"/>
    </row>
    <row r="85" spans="2:7" ht="15" customHeight="1" x14ac:dyDescent="0.25">
      <c r="B85" s="1"/>
      <c r="C85" s="113">
        <v>68</v>
      </c>
      <c r="D85" s="110"/>
      <c r="E85" s="110"/>
      <c r="F85" s="19" t="str">
        <f t="shared" si="1"/>
        <v/>
      </c>
      <c r="G85" s="2"/>
    </row>
    <row r="86" spans="2:7" ht="15" customHeight="1" x14ac:dyDescent="0.25">
      <c r="B86" s="1"/>
      <c r="C86" s="113">
        <v>69</v>
      </c>
      <c r="D86" s="110"/>
      <c r="E86" s="110"/>
      <c r="F86" s="19" t="str">
        <f t="shared" si="1"/>
        <v/>
      </c>
      <c r="G86" s="2"/>
    </row>
    <row r="87" spans="2:7" ht="15" customHeight="1" x14ac:dyDescent="0.25">
      <c r="B87" s="1"/>
      <c r="C87" s="113">
        <v>70</v>
      </c>
      <c r="D87" s="110"/>
      <c r="E87" s="110"/>
      <c r="F87" s="19" t="str">
        <f t="shared" si="1"/>
        <v/>
      </c>
      <c r="G87" s="2"/>
    </row>
    <row r="88" spans="2:7" ht="15" customHeight="1" x14ac:dyDescent="0.25">
      <c r="B88" s="1"/>
      <c r="C88" s="113">
        <v>71</v>
      </c>
      <c r="D88" s="110"/>
      <c r="E88" s="110"/>
      <c r="F88" s="19" t="str">
        <f t="shared" si="1"/>
        <v/>
      </c>
      <c r="G88" s="2"/>
    </row>
    <row r="89" spans="2:7" ht="15" customHeight="1" x14ac:dyDescent="0.25">
      <c r="B89" s="1"/>
      <c r="C89" s="113">
        <v>72</v>
      </c>
      <c r="D89" s="110"/>
      <c r="E89" s="110"/>
      <c r="F89" s="19" t="str">
        <f t="shared" si="1"/>
        <v/>
      </c>
      <c r="G89" s="2"/>
    </row>
    <row r="90" spans="2:7" ht="15" customHeight="1" x14ac:dyDescent="0.25">
      <c r="B90" s="1"/>
      <c r="C90" s="113">
        <v>73</v>
      </c>
      <c r="D90" s="110"/>
      <c r="E90" s="110"/>
      <c r="F90" s="19" t="str">
        <f t="shared" si="1"/>
        <v/>
      </c>
      <c r="G90" s="2"/>
    </row>
    <row r="91" spans="2:7" ht="15" customHeight="1" x14ac:dyDescent="0.25">
      <c r="B91" s="1"/>
      <c r="C91" s="113">
        <v>74</v>
      </c>
      <c r="D91" s="110"/>
      <c r="E91" s="110"/>
      <c r="F91" s="19" t="str">
        <f t="shared" si="1"/>
        <v/>
      </c>
      <c r="G91" s="2"/>
    </row>
    <row r="92" spans="2:7" ht="15" customHeight="1" x14ac:dyDescent="0.25">
      <c r="B92" s="1"/>
      <c r="C92" s="113">
        <v>75</v>
      </c>
      <c r="D92" s="110"/>
      <c r="E92" s="110"/>
      <c r="F92" s="19" t="str">
        <f t="shared" si="1"/>
        <v/>
      </c>
      <c r="G92" s="2"/>
    </row>
    <row r="93" spans="2:7" ht="15" customHeight="1" x14ac:dyDescent="0.25">
      <c r="B93" s="1"/>
      <c r="C93" s="113">
        <v>76</v>
      </c>
      <c r="D93" s="110"/>
      <c r="E93" s="110"/>
      <c r="F93" s="19" t="str">
        <f t="shared" si="1"/>
        <v/>
      </c>
      <c r="G93" s="2"/>
    </row>
    <row r="94" spans="2:7" ht="15" customHeight="1" x14ac:dyDescent="0.25">
      <c r="B94" s="1"/>
      <c r="C94" s="113">
        <v>77</v>
      </c>
      <c r="D94" s="110"/>
      <c r="E94" s="110"/>
      <c r="F94" s="19" t="str">
        <f t="shared" si="1"/>
        <v/>
      </c>
      <c r="G94" s="2"/>
    </row>
    <row r="95" spans="2:7" ht="15" customHeight="1" x14ac:dyDescent="0.25">
      <c r="B95" s="1"/>
      <c r="C95" s="113">
        <v>78</v>
      </c>
      <c r="D95" s="110"/>
      <c r="E95" s="110"/>
      <c r="F95" s="19" t="str">
        <f t="shared" si="1"/>
        <v/>
      </c>
      <c r="G95" s="2"/>
    </row>
    <row r="96" spans="2:7" ht="15" customHeight="1" x14ac:dyDescent="0.25">
      <c r="B96" s="1"/>
      <c r="C96" s="113">
        <v>79</v>
      </c>
      <c r="D96" s="110"/>
      <c r="E96" s="110"/>
      <c r="F96" s="19" t="str">
        <f t="shared" si="1"/>
        <v/>
      </c>
      <c r="G96" s="2"/>
    </row>
    <row r="97" spans="2:7" ht="15" customHeight="1" x14ac:dyDescent="0.25">
      <c r="B97" s="1"/>
      <c r="C97" s="113">
        <v>80</v>
      </c>
      <c r="D97" s="110"/>
      <c r="E97" s="110"/>
      <c r="F97" s="19" t="str">
        <f t="shared" si="1"/>
        <v/>
      </c>
      <c r="G97" s="2"/>
    </row>
    <row r="98" spans="2:7" ht="15" customHeight="1" x14ac:dyDescent="0.25">
      <c r="B98" s="1"/>
      <c r="C98" s="113">
        <v>81</v>
      </c>
      <c r="D98" s="110"/>
      <c r="E98" s="110"/>
      <c r="F98" s="19" t="str">
        <f t="shared" si="1"/>
        <v/>
      </c>
      <c r="G98" s="2"/>
    </row>
    <row r="99" spans="2:7" ht="15" customHeight="1" x14ac:dyDescent="0.25">
      <c r="B99" s="1"/>
      <c r="C99" s="113">
        <v>82</v>
      </c>
      <c r="D99" s="110"/>
      <c r="E99" s="110"/>
      <c r="F99" s="19" t="str">
        <f t="shared" si="1"/>
        <v/>
      </c>
      <c r="G99" s="2"/>
    </row>
    <row r="100" spans="2:7" ht="15" customHeight="1" x14ac:dyDescent="0.25">
      <c r="B100" s="1"/>
      <c r="C100" s="113">
        <v>83</v>
      </c>
      <c r="D100" s="110"/>
      <c r="E100" s="110"/>
      <c r="F100" s="19" t="str">
        <f t="shared" si="1"/>
        <v/>
      </c>
      <c r="G100" s="2"/>
    </row>
    <row r="101" spans="2:7" ht="15" customHeight="1" x14ac:dyDescent="0.25">
      <c r="B101" s="1"/>
      <c r="C101" s="113">
        <v>84</v>
      </c>
      <c r="D101" s="110"/>
      <c r="E101" s="110"/>
      <c r="F101" s="19" t="str">
        <f t="shared" si="1"/>
        <v/>
      </c>
      <c r="G101" s="2"/>
    </row>
    <row r="102" spans="2:7" ht="15" customHeight="1" x14ac:dyDescent="0.25">
      <c r="B102" s="1"/>
      <c r="C102" s="113">
        <v>85</v>
      </c>
      <c r="D102" s="110"/>
      <c r="E102" s="110"/>
      <c r="F102" s="19" t="str">
        <f t="shared" si="1"/>
        <v/>
      </c>
      <c r="G102" s="2"/>
    </row>
    <row r="103" spans="2:7" ht="15" customHeight="1" x14ac:dyDescent="0.25">
      <c r="B103" s="1"/>
      <c r="C103" s="113">
        <v>86</v>
      </c>
      <c r="D103" s="110"/>
      <c r="E103" s="110"/>
      <c r="F103" s="19" t="str">
        <f t="shared" si="1"/>
        <v/>
      </c>
      <c r="G103" s="2"/>
    </row>
    <row r="104" spans="2:7" ht="15" customHeight="1" x14ac:dyDescent="0.25">
      <c r="B104" s="1"/>
      <c r="C104" s="113">
        <v>87</v>
      </c>
      <c r="D104" s="110"/>
      <c r="E104" s="110"/>
      <c r="F104" s="19" t="str">
        <f t="shared" si="1"/>
        <v/>
      </c>
      <c r="G104" s="2"/>
    </row>
    <row r="105" spans="2:7" ht="15" customHeight="1" x14ac:dyDescent="0.25">
      <c r="B105" s="1"/>
      <c r="C105" s="113">
        <v>88</v>
      </c>
      <c r="D105" s="110"/>
      <c r="E105" s="110"/>
      <c r="F105" s="19" t="str">
        <f t="shared" si="1"/>
        <v/>
      </c>
      <c r="G105" s="2"/>
    </row>
    <row r="106" spans="2:7" ht="15" customHeight="1" x14ac:dyDescent="0.25">
      <c r="B106" s="1"/>
      <c r="C106" s="113">
        <v>89</v>
      </c>
      <c r="D106" s="110"/>
      <c r="E106" s="110"/>
      <c r="F106" s="19" t="str">
        <f t="shared" si="1"/>
        <v/>
      </c>
      <c r="G106" s="2"/>
    </row>
    <row r="107" spans="2:7" ht="15" customHeight="1" x14ac:dyDescent="0.25">
      <c r="B107" s="1"/>
      <c r="C107" s="113">
        <v>90</v>
      </c>
      <c r="D107" s="110"/>
      <c r="E107" s="110"/>
      <c r="F107" s="19" t="str">
        <f t="shared" si="1"/>
        <v/>
      </c>
      <c r="G107" s="2"/>
    </row>
    <row r="108" spans="2:7" ht="15" customHeight="1" x14ac:dyDescent="0.25">
      <c r="B108" s="1"/>
      <c r="C108" s="113">
        <v>91</v>
      </c>
      <c r="D108" s="110"/>
      <c r="E108" s="110"/>
      <c r="F108" s="19" t="str">
        <f t="shared" si="1"/>
        <v/>
      </c>
      <c r="G108" s="2"/>
    </row>
    <row r="109" spans="2:7" ht="15" customHeight="1" x14ac:dyDescent="0.25">
      <c r="B109" s="1"/>
      <c r="C109" s="113">
        <v>92</v>
      </c>
      <c r="D109" s="110"/>
      <c r="E109" s="110"/>
      <c r="F109" s="19" t="str">
        <f t="shared" si="1"/>
        <v/>
      </c>
      <c r="G109" s="2"/>
    </row>
    <row r="110" spans="2:7" ht="15" customHeight="1" x14ac:dyDescent="0.25">
      <c r="B110" s="1"/>
      <c r="C110" s="113">
        <v>93</v>
      </c>
      <c r="D110" s="110"/>
      <c r="E110" s="110"/>
      <c r="F110" s="19" t="str">
        <f t="shared" si="1"/>
        <v/>
      </c>
      <c r="G110" s="2"/>
    </row>
    <row r="111" spans="2:7" ht="15" customHeight="1" x14ac:dyDescent="0.25">
      <c r="B111" s="1"/>
      <c r="C111" s="113">
        <v>94</v>
      </c>
      <c r="D111" s="110"/>
      <c r="E111" s="110"/>
      <c r="F111" s="19" t="str">
        <f t="shared" si="1"/>
        <v/>
      </c>
      <c r="G111" s="2"/>
    </row>
    <row r="112" spans="2:7" ht="15" customHeight="1" x14ac:dyDescent="0.25">
      <c r="B112" s="1"/>
      <c r="C112" s="113">
        <v>95</v>
      </c>
      <c r="D112" s="110"/>
      <c r="E112" s="110"/>
      <c r="F112" s="19" t="str">
        <f t="shared" si="1"/>
        <v/>
      </c>
      <c r="G112" s="2"/>
    </row>
    <row r="113" spans="2:7" ht="15" customHeight="1" x14ac:dyDescent="0.25">
      <c r="B113" s="1"/>
      <c r="C113" s="113">
        <v>96</v>
      </c>
      <c r="D113" s="110"/>
      <c r="E113" s="110"/>
      <c r="F113" s="19" t="str">
        <f t="shared" si="1"/>
        <v/>
      </c>
      <c r="G113" s="2"/>
    </row>
    <row r="114" spans="2:7" ht="15" customHeight="1" x14ac:dyDescent="0.25">
      <c r="B114" s="1"/>
      <c r="C114" s="113">
        <v>97</v>
      </c>
      <c r="D114" s="110"/>
      <c r="E114" s="110"/>
      <c r="F114" s="19" t="str">
        <f t="shared" si="1"/>
        <v/>
      </c>
      <c r="G114" s="2"/>
    </row>
    <row r="115" spans="2:7" ht="15" customHeight="1" x14ac:dyDescent="0.25">
      <c r="B115" s="1"/>
      <c r="C115" s="113">
        <v>98</v>
      </c>
      <c r="D115" s="110"/>
      <c r="E115" s="110"/>
      <c r="F115" s="19" t="str">
        <f t="shared" si="1"/>
        <v/>
      </c>
      <c r="G115" s="2"/>
    </row>
    <row r="116" spans="2:7" ht="15" customHeight="1" x14ac:dyDescent="0.25">
      <c r="B116" s="1"/>
      <c r="C116" s="113">
        <v>99</v>
      </c>
      <c r="D116" s="110"/>
      <c r="E116" s="110"/>
      <c r="F116" s="19" t="str">
        <f t="shared" si="1"/>
        <v/>
      </c>
      <c r="G116" s="2"/>
    </row>
    <row r="117" spans="2:7" ht="15" customHeight="1" x14ac:dyDescent="0.25">
      <c r="B117" s="1"/>
      <c r="C117" s="113">
        <v>100</v>
      </c>
      <c r="D117" s="110"/>
      <c r="E117" s="110"/>
      <c r="F117" s="19" t="str">
        <f t="shared" si="1"/>
        <v/>
      </c>
      <c r="G117" s="2"/>
    </row>
    <row r="118" spans="2:7" ht="15" customHeight="1" x14ac:dyDescent="0.25">
      <c r="B118" s="1"/>
      <c r="C118" s="113">
        <v>101</v>
      </c>
      <c r="D118" s="110"/>
      <c r="E118" s="110"/>
      <c r="F118" s="19" t="str">
        <f t="shared" si="1"/>
        <v/>
      </c>
      <c r="G118" s="2"/>
    </row>
    <row r="119" spans="2:7" ht="15" customHeight="1" x14ac:dyDescent="0.25">
      <c r="B119" s="1"/>
      <c r="C119" s="113">
        <v>102</v>
      </c>
      <c r="D119" s="110"/>
      <c r="E119" s="110"/>
      <c r="F119" s="19" t="str">
        <f t="shared" si="1"/>
        <v/>
      </c>
      <c r="G119" s="2"/>
    </row>
    <row r="120" spans="2:7" ht="15" customHeight="1" x14ac:dyDescent="0.25">
      <c r="B120" s="1"/>
      <c r="C120" s="113">
        <v>103</v>
      </c>
      <c r="D120" s="110"/>
      <c r="E120" s="110"/>
      <c r="F120" s="19" t="str">
        <f t="shared" si="1"/>
        <v/>
      </c>
      <c r="G120" s="2"/>
    </row>
    <row r="121" spans="2:7" ht="15" customHeight="1" x14ac:dyDescent="0.25">
      <c r="B121" s="1"/>
      <c r="C121" s="113">
        <v>104</v>
      </c>
      <c r="D121" s="110"/>
      <c r="E121" s="110"/>
      <c r="F121" s="19" t="str">
        <f t="shared" si="1"/>
        <v/>
      </c>
      <c r="G121" s="2"/>
    </row>
    <row r="122" spans="2:7" ht="15" customHeight="1" x14ac:dyDescent="0.25">
      <c r="B122" s="1"/>
      <c r="C122" s="113">
        <v>105</v>
      </c>
      <c r="D122" s="110"/>
      <c r="E122" s="110"/>
      <c r="F122" s="19" t="str">
        <f t="shared" si="1"/>
        <v/>
      </c>
      <c r="G122" s="2"/>
    </row>
    <row r="123" spans="2:7" ht="15" customHeight="1" x14ac:dyDescent="0.25">
      <c r="B123" s="1"/>
      <c r="C123" s="113">
        <v>106</v>
      </c>
      <c r="D123" s="110"/>
      <c r="E123" s="110"/>
      <c r="F123" s="19" t="str">
        <f t="shared" si="1"/>
        <v/>
      </c>
      <c r="G123" s="2"/>
    </row>
    <row r="124" spans="2:7" ht="15" customHeight="1" x14ac:dyDescent="0.25">
      <c r="B124" s="1"/>
      <c r="C124" s="113">
        <v>107</v>
      </c>
      <c r="D124" s="110"/>
      <c r="E124" s="110"/>
      <c r="F124" s="19" t="str">
        <f t="shared" si="1"/>
        <v/>
      </c>
      <c r="G124" s="2"/>
    </row>
    <row r="125" spans="2:7" ht="15" customHeight="1" x14ac:dyDescent="0.25">
      <c r="B125" s="1"/>
      <c r="C125" s="113">
        <v>108</v>
      </c>
      <c r="D125" s="110"/>
      <c r="E125" s="110"/>
      <c r="F125" s="19" t="str">
        <f t="shared" si="1"/>
        <v/>
      </c>
      <c r="G125" s="2"/>
    </row>
    <row r="126" spans="2:7" ht="15" customHeight="1" x14ac:dyDescent="0.25">
      <c r="B126" s="1"/>
      <c r="C126" s="113">
        <v>109</v>
      </c>
      <c r="D126" s="110"/>
      <c r="E126" s="110"/>
      <c r="F126" s="19" t="str">
        <f t="shared" si="1"/>
        <v/>
      </c>
      <c r="G126" s="2"/>
    </row>
    <row r="127" spans="2:7" ht="15" customHeight="1" x14ac:dyDescent="0.25">
      <c r="B127" s="1"/>
      <c r="C127" s="113">
        <v>110</v>
      </c>
      <c r="D127" s="110"/>
      <c r="E127" s="110"/>
      <c r="F127" s="19" t="str">
        <f t="shared" si="1"/>
        <v/>
      </c>
      <c r="G127" s="2"/>
    </row>
    <row r="128" spans="2:7" ht="15" customHeight="1" x14ac:dyDescent="0.25">
      <c r="B128" s="1"/>
      <c r="C128" s="113">
        <v>111</v>
      </c>
      <c r="D128" s="110"/>
      <c r="E128" s="110"/>
      <c r="F128" s="19" t="str">
        <f t="shared" si="1"/>
        <v/>
      </c>
      <c r="G128" s="2"/>
    </row>
    <row r="129" spans="2:7" ht="15" customHeight="1" x14ac:dyDescent="0.25">
      <c r="B129" s="1"/>
      <c r="C129" s="113">
        <v>112</v>
      </c>
      <c r="D129" s="110"/>
      <c r="E129" s="110"/>
      <c r="F129" s="19" t="str">
        <f t="shared" si="1"/>
        <v/>
      </c>
      <c r="G129" s="2"/>
    </row>
    <row r="130" spans="2:7" ht="15" customHeight="1" x14ac:dyDescent="0.25">
      <c r="B130" s="1"/>
      <c r="C130" s="113">
        <v>113</v>
      </c>
      <c r="D130" s="110"/>
      <c r="E130" s="110"/>
      <c r="F130" s="19" t="str">
        <f t="shared" si="1"/>
        <v/>
      </c>
      <c r="G130" s="2"/>
    </row>
    <row r="131" spans="2:7" ht="15" customHeight="1" x14ac:dyDescent="0.25">
      <c r="B131" s="1"/>
      <c r="C131" s="113">
        <v>114</v>
      </c>
      <c r="D131" s="110"/>
      <c r="E131" s="110"/>
      <c r="F131" s="19" t="str">
        <f t="shared" si="1"/>
        <v/>
      </c>
      <c r="G131" s="2"/>
    </row>
    <row r="132" spans="2:7" ht="15" customHeight="1" x14ac:dyDescent="0.25">
      <c r="B132" s="1"/>
      <c r="C132" s="113">
        <v>115</v>
      </c>
      <c r="D132" s="110"/>
      <c r="E132" s="110"/>
      <c r="F132" s="19" t="str">
        <f t="shared" si="1"/>
        <v/>
      </c>
      <c r="G132" s="2"/>
    </row>
    <row r="133" spans="2:7" ht="15" customHeight="1" x14ac:dyDescent="0.25">
      <c r="B133" s="1"/>
      <c r="C133" s="113">
        <v>116</v>
      </c>
      <c r="D133" s="110"/>
      <c r="E133" s="110"/>
      <c r="F133" s="19" t="str">
        <f t="shared" si="1"/>
        <v/>
      </c>
      <c r="G133" s="2"/>
    </row>
    <row r="134" spans="2:7" ht="15" customHeight="1" x14ac:dyDescent="0.25">
      <c r="B134" s="1"/>
      <c r="C134" s="113">
        <v>117</v>
      </c>
      <c r="D134" s="110"/>
      <c r="E134" s="110"/>
      <c r="F134" s="19" t="str">
        <f t="shared" si="1"/>
        <v/>
      </c>
      <c r="G134" s="2"/>
    </row>
    <row r="135" spans="2:7" ht="15" customHeight="1" x14ac:dyDescent="0.25">
      <c r="B135" s="1"/>
      <c r="C135" s="113">
        <v>118</v>
      </c>
      <c r="D135" s="110"/>
      <c r="E135" s="110"/>
      <c r="F135" s="19" t="str">
        <f t="shared" si="1"/>
        <v/>
      </c>
      <c r="G135" s="2"/>
    </row>
    <row r="136" spans="2:7" ht="15" customHeight="1" x14ac:dyDescent="0.25">
      <c r="B136" s="1"/>
      <c r="C136" s="113">
        <v>119</v>
      </c>
      <c r="D136" s="110"/>
      <c r="E136" s="110"/>
      <c r="F136" s="19" t="str">
        <f t="shared" si="1"/>
        <v/>
      </c>
      <c r="G136" s="2"/>
    </row>
    <row r="137" spans="2:7" ht="15" customHeight="1" x14ac:dyDescent="0.25">
      <c r="B137" s="1"/>
      <c r="C137" s="113">
        <v>120</v>
      </c>
      <c r="D137" s="110"/>
      <c r="E137" s="110"/>
      <c r="F137" s="19" t="str">
        <f t="shared" si="1"/>
        <v/>
      </c>
      <c r="G137" s="2"/>
    </row>
    <row r="138" spans="2:7" ht="15" customHeight="1" x14ac:dyDescent="0.25">
      <c r="B138" s="1"/>
      <c r="C138" s="113">
        <v>121</v>
      </c>
      <c r="D138" s="110"/>
      <c r="E138" s="110"/>
      <c r="F138" s="19" t="str">
        <f t="shared" si="1"/>
        <v/>
      </c>
      <c r="G138" s="2"/>
    </row>
    <row r="139" spans="2:7" ht="15" customHeight="1" x14ac:dyDescent="0.25">
      <c r="B139" s="1"/>
      <c r="C139" s="113">
        <v>122</v>
      </c>
      <c r="D139" s="110"/>
      <c r="E139" s="110"/>
      <c r="F139" s="19" t="str">
        <f t="shared" si="1"/>
        <v/>
      </c>
      <c r="G139" s="2"/>
    </row>
    <row r="140" spans="2:7" ht="15" customHeight="1" x14ac:dyDescent="0.25">
      <c r="B140" s="1"/>
      <c r="C140" s="113">
        <v>123</v>
      </c>
      <c r="D140" s="110"/>
      <c r="E140" s="110"/>
      <c r="F140" s="19" t="str">
        <f t="shared" si="1"/>
        <v/>
      </c>
      <c r="G140" s="2"/>
    </row>
    <row r="141" spans="2:7" ht="15" customHeight="1" x14ac:dyDescent="0.25">
      <c r="B141" s="1"/>
      <c r="C141" s="113">
        <v>124</v>
      </c>
      <c r="D141" s="110"/>
      <c r="E141" s="110"/>
      <c r="F141" s="19" t="str">
        <f t="shared" si="1"/>
        <v/>
      </c>
      <c r="G141" s="2"/>
    </row>
    <row r="142" spans="2:7" ht="15" customHeight="1" x14ac:dyDescent="0.25">
      <c r="B142" s="1"/>
      <c r="C142" s="113">
        <v>125</v>
      </c>
      <c r="D142" s="110"/>
      <c r="E142" s="110"/>
      <c r="F142" s="19" t="str">
        <f t="shared" si="1"/>
        <v/>
      </c>
      <c r="G142" s="2"/>
    </row>
    <row r="143" spans="2:7" ht="15" customHeight="1" x14ac:dyDescent="0.25">
      <c r="B143" s="1"/>
      <c r="C143" s="113">
        <v>126</v>
      </c>
      <c r="D143" s="110"/>
      <c r="E143" s="110"/>
      <c r="F143" s="19" t="str">
        <f t="shared" si="1"/>
        <v/>
      </c>
      <c r="G143" s="2"/>
    </row>
    <row r="144" spans="2:7" ht="15" customHeight="1" x14ac:dyDescent="0.25">
      <c r="B144" s="1"/>
      <c r="C144" s="113">
        <v>127</v>
      </c>
      <c r="D144" s="110"/>
      <c r="E144" s="110"/>
      <c r="F144" s="19" t="str">
        <f t="shared" si="1"/>
        <v/>
      </c>
      <c r="G144" s="2"/>
    </row>
    <row r="145" spans="2:7" ht="15" customHeight="1" x14ac:dyDescent="0.25">
      <c r="B145" s="1"/>
      <c r="C145" s="113">
        <v>128</v>
      </c>
      <c r="D145" s="110"/>
      <c r="E145" s="110"/>
      <c r="F145" s="19" t="str">
        <f t="shared" si="1"/>
        <v/>
      </c>
      <c r="G145" s="2"/>
    </row>
    <row r="146" spans="2:7" ht="15" customHeight="1" x14ac:dyDescent="0.25">
      <c r="B146" s="1"/>
      <c r="C146" s="113">
        <v>129</v>
      </c>
      <c r="D146" s="110"/>
      <c r="E146" s="110"/>
      <c r="F146" s="19" t="str">
        <f t="shared" si="1"/>
        <v/>
      </c>
      <c r="G146" s="2"/>
    </row>
    <row r="147" spans="2:7" ht="15" customHeight="1" x14ac:dyDescent="0.25">
      <c r="B147" s="1"/>
      <c r="C147" s="113">
        <v>130</v>
      </c>
      <c r="D147" s="110"/>
      <c r="E147" s="110"/>
      <c r="F147" s="19" t="str">
        <f t="shared" ref="F147:F210" si="2">IFERROR(IF(AND(LEFT(D147,6)=LEFT(E147,6),RIGHT(E147,9)-RIGHT(D147,9)&gt;=0),RIGHT(E147,9)-RIGHT(D147,9)+1,""),"")</f>
        <v/>
      </c>
      <c r="G147" s="2"/>
    </row>
    <row r="148" spans="2:7" ht="15" customHeight="1" x14ac:dyDescent="0.25">
      <c r="B148" s="1"/>
      <c r="C148" s="113">
        <v>131</v>
      </c>
      <c r="D148" s="110"/>
      <c r="E148" s="110"/>
      <c r="F148" s="19" t="str">
        <f t="shared" si="2"/>
        <v/>
      </c>
      <c r="G148" s="2"/>
    </row>
    <row r="149" spans="2:7" ht="15" customHeight="1" x14ac:dyDescent="0.25">
      <c r="B149" s="1"/>
      <c r="C149" s="113">
        <v>132</v>
      </c>
      <c r="D149" s="110"/>
      <c r="E149" s="110"/>
      <c r="F149" s="19" t="str">
        <f t="shared" si="2"/>
        <v/>
      </c>
      <c r="G149" s="2"/>
    </row>
    <row r="150" spans="2:7" ht="15" customHeight="1" x14ac:dyDescent="0.25">
      <c r="B150" s="1"/>
      <c r="C150" s="113">
        <v>133</v>
      </c>
      <c r="D150" s="110"/>
      <c r="E150" s="110"/>
      <c r="F150" s="19" t="str">
        <f t="shared" si="2"/>
        <v/>
      </c>
      <c r="G150" s="2"/>
    </row>
    <row r="151" spans="2:7" ht="15" customHeight="1" x14ac:dyDescent="0.25">
      <c r="B151" s="1"/>
      <c r="C151" s="113">
        <v>134</v>
      </c>
      <c r="D151" s="110"/>
      <c r="E151" s="110"/>
      <c r="F151" s="19" t="str">
        <f t="shared" si="2"/>
        <v/>
      </c>
      <c r="G151" s="2"/>
    </row>
    <row r="152" spans="2:7" ht="15" customHeight="1" x14ac:dyDescent="0.25">
      <c r="B152" s="1"/>
      <c r="C152" s="113">
        <v>135</v>
      </c>
      <c r="D152" s="110"/>
      <c r="E152" s="110"/>
      <c r="F152" s="19" t="str">
        <f t="shared" si="2"/>
        <v/>
      </c>
      <c r="G152" s="2"/>
    </row>
    <row r="153" spans="2:7" ht="15" customHeight="1" x14ac:dyDescent="0.25">
      <c r="B153" s="1"/>
      <c r="C153" s="113">
        <v>136</v>
      </c>
      <c r="D153" s="110"/>
      <c r="E153" s="110"/>
      <c r="F153" s="19" t="str">
        <f t="shared" si="2"/>
        <v/>
      </c>
      <c r="G153" s="2"/>
    </row>
    <row r="154" spans="2:7" ht="15" customHeight="1" x14ac:dyDescent="0.25">
      <c r="B154" s="1"/>
      <c r="C154" s="113">
        <v>137</v>
      </c>
      <c r="D154" s="110"/>
      <c r="E154" s="110"/>
      <c r="F154" s="19" t="str">
        <f t="shared" si="2"/>
        <v/>
      </c>
      <c r="G154" s="2"/>
    </row>
    <row r="155" spans="2:7" ht="15" customHeight="1" x14ac:dyDescent="0.25">
      <c r="B155" s="1"/>
      <c r="C155" s="113">
        <v>138</v>
      </c>
      <c r="D155" s="110"/>
      <c r="E155" s="110"/>
      <c r="F155" s="19" t="str">
        <f t="shared" si="2"/>
        <v/>
      </c>
      <c r="G155" s="2"/>
    </row>
    <row r="156" spans="2:7" ht="15" customHeight="1" x14ac:dyDescent="0.25">
      <c r="B156" s="1"/>
      <c r="C156" s="113">
        <v>139</v>
      </c>
      <c r="D156" s="110"/>
      <c r="E156" s="110"/>
      <c r="F156" s="19" t="str">
        <f t="shared" si="2"/>
        <v/>
      </c>
      <c r="G156" s="2"/>
    </row>
    <row r="157" spans="2:7" ht="15" customHeight="1" x14ac:dyDescent="0.25">
      <c r="B157" s="1"/>
      <c r="C157" s="113">
        <v>140</v>
      </c>
      <c r="D157" s="110"/>
      <c r="E157" s="110"/>
      <c r="F157" s="19" t="str">
        <f t="shared" si="2"/>
        <v/>
      </c>
      <c r="G157" s="2"/>
    </row>
    <row r="158" spans="2:7" ht="15" customHeight="1" x14ac:dyDescent="0.25">
      <c r="B158" s="1"/>
      <c r="C158" s="113">
        <v>141</v>
      </c>
      <c r="D158" s="110"/>
      <c r="E158" s="110"/>
      <c r="F158" s="19" t="str">
        <f t="shared" si="2"/>
        <v/>
      </c>
      <c r="G158" s="2"/>
    </row>
    <row r="159" spans="2:7" ht="15" customHeight="1" x14ac:dyDescent="0.25">
      <c r="B159" s="1"/>
      <c r="C159" s="113">
        <v>142</v>
      </c>
      <c r="D159" s="110"/>
      <c r="E159" s="110"/>
      <c r="F159" s="19" t="str">
        <f t="shared" si="2"/>
        <v/>
      </c>
      <c r="G159" s="2"/>
    </row>
    <row r="160" spans="2:7" ht="15" customHeight="1" x14ac:dyDescent="0.25">
      <c r="B160" s="1"/>
      <c r="C160" s="113">
        <v>143</v>
      </c>
      <c r="D160" s="110"/>
      <c r="E160" s="110"/>
      <c r="F160" s="19" t="str">
        <f t="shared" si="2"/>
        <v/>
      </c>
      <c r="G160" s="2"/>
    </row>
    <row r="161" spans="2:7" ht="15" customHeight="1" x14ac:dyDescent="0.25">
      <c r="B161" s="1"/>
      <c r="C161" s="113">
        <v>144</v>
      </c>
      <c r="D161" s="110"/>
      <c r="E161" s="110"/>
      <c r="F161" s="19" t="str">
        <f t="shared" si="2"/>
        <v/>
      </c>
      <c r="G161" s="2"/>
    </row>
    <row r="162" spans="2:7" ht="15" customHeight="1" x14ac:dyDescent="0.25">
      <c r="B162" s="1"/>
      <c r="C162" s="113">
        <v>145</v>
      </c>
      <c r="D162" s="110"/>
      <c r="E162" s="110"/>
      <c r="F162" s="19" t="str">
        <f t="shared" si="2"/>
        <v/>
      </c>
      <c r="G162" s="2"/>
    </row>
    <row r="163" spans="2:7" ht="15" customHeight="1" x14ac:dyDescent="0.25">
      <c r="B163" s="1"/>
      <c r="C163" s="113">
        <v>146</v>
      </c>
      <c r="D163" s="110"/>
      <c r="E163" s="110"/>
      <c r="F163" s="19" t="str">
        <f t="shared" si="2"/>
        <v/>
      </c>
      <c r="G163" s="2"/>
    </row>
    <row r="164" spans="2:7" ht="15" customHeight="1" x14ac:dyDescent="0.25">
      <c r="B164" s="1"/>
      <c r="C164" s="113">
        <v>147</v>
      </c>
      <c r="D164" s="110"/>
      <c r="E164" s="110"/>
      <c r="F164" s="19" t="str">
        <f t="shared" si="2"/>
        <v/>
      </c>
      <c r="G164" s="2"/>
    </row>
    <row r="165" spans="2:7" ht="15" customHeight="1" x14ac:dyDescent="0.25">
      <c r="B165" s="1"/>
      <c r="C165" s="113">
        <v>148</v>
      </c>
      <c r="D165" s="110"/>
      <c r="E165" s="110"/>
      <c r="F165" s="19" t="str">
        <f t="shared" si="2"/>
        <v/>
      </c>
      <c r="G165" s="2"/>
    </row>
    <row r="166" spans="2:7" ht="15" customHeight="1" x14ac:dyDescent="0.25">
      <c r="B166" s="1"/>
      <c r="C166" s="113">
        <v>149</v>
      </c>
      <c r="D166" s="110"/>
      <c r="E166" s="110"/>
      <c r="F166" s="19" t="str">
        <f t="shared" si="2"/>
        <v/>
      </c>
      <c r="G166" s="2"/>
    </row>
    <row r="167" spans="2:7" ht="15" customHeight="1" x14ac:dyDescent="0.25">
      <c r="B167" s="1"/>
      <c r="C167" s="113">
        <v>150</v>
      </c>
      <c r="D167" s="110"/>
      <c r="E167" s="110"/>
      <c r="F167" s="19" t="str">
        <f t="shared" si="2"/>
        <v/>
      </c>
      <c r="G167" s="2"/>
    </row>
    <row r="168" spans="2:7" ht="15" customHeight="1" x14ac:dyDescent="0.25">
      <c r="B168" s="1"/>
      <c r="C168" s="113">
        <v>151</v>
      </c>
      <c r="D168" s="110"/>
      <c r="E168" s="110"/>
      <c r="F168" s="19" t="str">
        <f t="shared" si="2"/>
        <v/>
      </c>
      <c r="G168" s="2"/>
    </row>
    <row r="169" spans="2:7" ht="15" customHeight="1" x14ac:dyDescent="0.25">
      <c r="B169" s="1"/>
      <c r="C169" s="113">
        <v>152</v>
      </c>
      <c r="D169" s="110"/>
      <c r="E169" s="110"/>
      <c r="F169" s="19" t="str">
        <f t="shared" si="2"/>
        <v/>
      </c>
      <c r="G169" s="2"/>
    </row>
    <row r="170" spans="2:7" ht="15" customHeight="1" x14ac:dyDescent="0.25">
      <c r="B170" s="1"/>
      <c r="C170" s="113">
        <v>153</v>
      </c>
      <c r="D170" s="110"/>
      <c r="E170" s="110"/>
      <c r="F170" s="19" t="str">
        <f t="shared" si="2"/>
        <v/>
      </c>
      <c r="G170" s="2"/>
    </row>
    <row r="171" spans="2:7" ht="15" customHeight="1" x14ac:dyDescent="0.25">
      <c r="B171" s="1"/>
      <c r="C171" s="113">
        <v>154</v>
      </c>
      <c r="D171" s="110"/>
      <c r="E171" s="110"/>
      <c r="F171" s="19" t="str">
        <f t="shared" si="2"/>
        <v/>
      </c>
      <c r="G171" s="2"/>
    </row>
    <row r="172" spans="2:7" ht="15" customHeight="1" x14ac:dyDescent="0.25">
      <c r="B172" s="1"/>
      <c r="C172" s="113">
        <v>155</v>
      </c>
      <c r="D172" s="110"/>
      <c r="E172" s="110"/>
      <c r="F172" s="19" t="str">
        <f t="shared" si="2"/>
        <v/>
      </c>
      <c r="G172" s="2"/>
    </row>
    <row r="173" spans="2:7" ht="15" customHeight="1" x14ac:dyDescent="0.25">
      <c r="B173" s="1"/>
      <c r="C173" s="113">
        <v>156</v>
      </c>
      <c r="D173" s="110"/>
      <c r="E173" s="110"/>
      <c r="F173" s="19" t="str">
        <f t="shared" si="2"/>
        <v/>
      </c>
      <c r="G173" s="2"/>
    </row>
    <row r="174" spans="2:7" ht="15" customHeight="1" x14ac:dyDescent="0.25">
      <c r="B174" s="1"/>
      <c r="C174" s="113">
        <v>157</v>
      </c>
      <c r="D174" s="110"/>
      <c r="E174" s="110"/>
      <c r="F174" s="19" t="str">
        <f t="shared" si="2"/>
        <v/>
      </c>
      <c r="G174" s="2"/>
    </row>
    <row r="175" spans="2:7" ht="15" customHeight="1" x14ac:dyDescent="0.25">
      <c r="B175" s="1"/>
      <c r="C175" s="113">
        <v>158</v>
      </c>
      <c r="D175" s="110"/>
      <c r="E175" s="110"/>
      <c r="F175" s="19" t="str">
        <f t="shared" si="2"/>
        <v/>
      </c>
      <c r="G175" s="2"/>
    </row>
    <row r="176" spans="2:7" ht="15" customHeight="1" x14ac:dyDescent="0.25">
      <c r="B176" s="1"/>
      <c r="C176" s="113">
        <v>159</v>
      </c>
      <c r="D176" s="110"/>
      <c r="E176" s="110"/>
      <c r="F176" s="19" t="str">
        <f t="shared" si="2"/>
        <v/>
      </c>
      <c r="G176" s="2"/>
    </row>
    <row r="177" spans="2:7" ht="15" customHeight="1" x14ac:dyDescent="0.25">
      <c r="B177" s="1"/>
      <c r="C177" s="113">
        <v>160</v>
      </c>
      <c r="D177" s="110"/>
      <c r="E177" s="110"/>
      <c r="F177" s="19" t="str">
        <f t="shared" si="2"/>
        <v/>
      </c>
      <c r="G177" s="2"/>
    </row>
    <row r="178" spans="2:7" ht="15" customHeight="1" x14ac:dyDescent="0.25">
      <c r="B178" s="1"/>
      <c r="C178" s="113">
        <v>161</v>
      </c>
      <c r="D178" s="110"/>
      <c r="E178" s="110"/>
      <c r="F178" s="19" t="str">
        <f t="shared" si="2"/>
        <v/>
      </c>
      <c r="G178" s="2"/>
    </row>
    <row r="179" spans="2:7" ht="15" customHeight="1" x14ac:dyDescent="0.25">
      <c r="B179" s="1"/>
      <c r="C179" s="113">
        <v>162</v>
      </c>
      <c r="D179" s="110"/>
      <c r="E179" s="110"/>
      <c r="F179" s="19" t="str">
        <f t="shared" si="2"/>
        <v/>
      </c>
      <c r="G179" s="2"/>
    </row>
    <row r="180" spans="2:7" ht="15" customHeight="1" x14ac:dyDescent="0.25">
      <c r="B180" s="1"/>
      <c r="C180" s="113">
        <v>163</v>
      </c>
      <c r="D180" s="110"/>
      <c r="E180" s="110"/>
      <c r="F180" s="19" t="str">
        <f t="shared" si="2"/>
        <v/>
      </c>
      <c r="G180" s="2"/>
    </row>
    <row r="181" spans="2:7" ht="15" customHeight="1" x14ac:dyDescent="0.25">
      <c r="B181" s="1"/>
      <c r="C181" s="113">
        <v>164</v>
      </c>
      <c r="D181" s="110"/>
      <c r="E181" s="110"/>
      <c r="F181" s="19" t="str">
        <f t="shared" si="2"/>
        <v/>
      </c>
      <c r="G181" s="2"/>
    </row>
    <row r="182" spans="2:7" ht="15" customHeight="1" x14ac:dyDescent="0.25">
      <c r="B182" s="1"/>
      <c r="C182" s="113">
        <v>165</v>
      </c>
      <c r="D182" s="110"/>
      <c r="E182" s="110"/>
      <c r="F182" s="19" t="str">
        <f t="shared" si="2"/>
        <v/>
      </c>
      <c r="G182" s="2"/>
    </row>
    <row r="183" spans="2:7" ht="15" customHeight="1" x14ac:dyDescent="0.25">
      <c r="B183" s="1"/>
      <c r="C183" s="113">
        <v>166</v>
      </c>
      <c r="D183" s="110"/>
      <c r="E183" s="110"/>
      <c r="F183" s="19" t="str">
        <f t="shared" si="2"/>
        <v/>
      </c>
      <c r="G183" s="2"/>
    </row>
    <row r="184" spans="2:7" ht="15" customHeight="1" x14ac:dyDescent="0.25">
      <c r="B184" s="1"/>
      <c r="C184" s="113">
        <v>167</v>
      </c>
      <c r="D184" s="110"/>
      <c r="E184" s="110"/>
      <c r="F184" s="19" t="str">
        <f t="shared" si="2"/>
        <v/>
      </c>
      <c r="G184" s="2"/>
    </row>
    <row r="185" spans="2:7" ht="15" customHeight="1" x14ac:dyDescent="0.25">
      <c r="B185" s="1"/>
      <c r="C185" s="113">
        <v>168</v>
      </c>
      <c r="D185" s="110"/>
      <c r="E185" s="110"/>
      <c r="F185" s="19" t="str">
        <f t="shared" si="2"/>
        <v/>
      </c>
      <c r="G185" s="2"/>
    </row>
    <row r="186" spans="2:7" ht="15" customHeight="1" x14ac:dyDescent="0.25">
      <c r="B186" s="1"/>
      <c r="C186" s="113">
        <v>169</v>
      </c>
      <c r="D186" s="110"/>
      <c r="E186" s="110"/>
      <c r="F186" s="19" t="str">
        <f t="shared" si="2"/>
        <v/>
      </c>
      <c r="G186" s="2"/>
    </row>
    <row r="187" spans="2:7" ht="15" customHeight="1" x14ac:dyDescent="0.25">
      <c r="B187" s="1"/>
      <c r="C187" s="113">
        <v>170</v>
      </c>
      <c r="D187" s="110"/>
      <c r="E187" s="110"/>
      <c r="F187" s="19" t="str">
        <f t="shared" si="2"/>
        <v/>
      </c>
      <c r="G187" s="2"/>
    </row>
    <row r="188" spans="2:7" ht="15" customHeight="1" x14ac:dyDescent="0.25">
      <c r="B188" s="1"/>
      <c r="C188" s="113">
        <v>171</v>
      </c>
      <c r="D188" s="110"/>
      <c r="E188" s="110"/>
      <c r="F188" s="19" t="str">
        <f t="shared" si="2"/>
        <v/>
      </c>
      <c r="G188" s="2"/>
    </row>
    <row r="189" spans="2:7" ht="15" customHeight="1" x14ac:dyDescent="0.25">
      <c r="B189" s="1"/>
      <c r="C189" s="113">
        <v>172</v>
      </c>
      <c r="D189" s="110"/>
      <c r="E189" s="110"/>
      <c r="F189" s="19" t="str">
        <f t="shared" si="2"/>
        <v/>
      </c>
      <c r="G189" s="2"/>
    </row>
    <row r="190" spans="2:7" ht="15" customHeight="1" x14ac:dyDescent="0.25">
      <c r="B190" s="1"/>
      <c r="C190" s="113">
        <v>173</v>
      </c>
      <c r="D190" s="110"/>
      <c r="E190" s="110"/>
      <c r="F190" s="19" t="str">
        <f t="shared" si="2"/>
        <v/>
      </c>
      <c r="G190" s="2"/>
    </row>
    <row r="191" spans="2:7" ht="15" customHeight="1" x14ac:dyDescent="0.25">
      <c r="B191" s="1"/>
      <c r="C191" s="113">
        <v>174</v>
      </c>
      <c r="D191" s="110"/>
      <c r="E191" s="110"/>
      <c r="F191" s="19" t="str">
        <f t="shared" si="2"/>
        <v/>
      </c>
      <c r="G191" s="2"/>
    </row>
    <row r="192" spans="2:7" ht="15" customHeight="1" x14ac:dyDescent="0.25">
      <c r="B192" s="1"/>
      <c r="C192" s="113">
        <v>175</v>
      </c>
      <c r="D192" s="110"/>
      <c r="E192" s="110"/>
      <c r="F192" s="19" t="str">
        <f t="shared" si="2"/>
        <v/>
      </c>
      <c r="G192" s="2"/>
    </row>
    <row r="193" spans="2:7" ht="15" customHeight="1" x14ac:dyDescent="0.25">
      <c r="B193" s="1"/>
      <c r="C193" s="113">
        <v>176</v>
      </c>
      <c r="D193" s="110"/>
      <c r="E193" s="110"/>
      <c r="F193" s="19" t="str">
        <f t="shared" si="2"/>
        <v/>
      </c>
      <c r="G193" s="2"/>
    </row>
    <row r="194" spans="2:7" ht="15" customHeight="1" x14ac:dyDescent="0.25">
      <c r="B194" s="1"/>
      <c r="C194" s="113">
        <v>177</v>
      </c>
      <c r="D194" s="110"/>
      <c r="E194" s="110"/>
      <c r="F194" s="19" t="str">
        <f t="shared" si="2"/>
        <v/>
      </c>
      <c r="G194" s="2"/>
    </row>
    <row r="195" spans="2:7" ht="15" customHeight="1" x14ac:dyDescent="0.25">
      <c r="B195" s="1"/>
      <c r="C195" s="113">
        <v>178</v>
      </c>
      <c r="D195" s="110"/>
      <c r="E195" s="110"/>
      <c r="F195" s="19" t="str">
        <f t="shared" si="2"/>
        <v/>
      </c>
      <c r="G195" s="2"/>
    </row>
    <row r="196" spans="2:7" ht="15" customHeight="1" x14ac:dyDescent="0.25">
      <c r="B196" s="1"/>
      <c r="C196" s="113">
        <v>179</v>
      </c>
      <c r="D196" s="110"/>
      <c r="E196" s="110"/>
      <c r="F196" s="19" t="str">
        <f t="shared" si="2"/>
        <v/>
      </c>
      <c r="G196" s="2"/>
    </row>
    <row r="197" spans="2:7" ht="15" customHeight="1" x14ac:dyDescent="0.25">
      <c r="B197" s="1"/>
      <c r="C197" s="113">
        <v>180</v>
      </c>
      <c r="D197" s="110"/>
      <c r="E197" s="110"/>
      <c r="F197" s="19" t="str">
        <f t="shared" si="2"/>
        <v/>
      </c>
      <c r="G197" s="2"/>
    </row>
    <row r="198" spans="2:7" ht="15" customHeight="1" x14ac:dyDescent="0.25">
      <c r="B198" s="1"/>
      <c r="C198" s="113">
        <v>181</v>
      </c>
      <c r="D198" s="110"/>
      <c r="E198" s="110"/>
      <c r="F198" s="19" t="str">
        <f t="shared" si="2"/>
        <v/>
      </c>
      <c r="G198" s="2"/>
    </row>
    <row r="199" spans="2:7" ht="15" customHeight="1" x14ac:dyDescent="0.25">
      <c r="B199" s="1"/>
      <c r="C199" s="113">
        <v>182</v>
      </c>
      <c r="D199" s="110"/>
      <c r="E199" s="110"/>
      <c r="F199" s="19" t="str">
        <f t="shared" si="2"/>
        <v/>
      </c>
      <c r="G199" s="2"/>
    </row>
    <row r="200" spans="2:7" ht="15" customHeight="1" x14ac:dyDescent="0.25">
      <c r="B200" s="1"/>
      <c r="C200" s="113">
        <v>183</v>
      </c>
      <c r="D200" s="110"/>
      <c r="E200" s="110"/>
      <c r="F200" s="19" t="str">
        <f t="shared" si="2"/>
        <v/>
      </c>
      <c r="G200" s="2"/>
    </row>
    <row r="201" spans="2:7" ht="15" customHeight="1" x14ac:dyDescent="0.25">
      <c r="B201" s="1"/>
      <c r="C201" s="113">
        <v>184</v>
      </c>
      <c r="D201" s="110"/>
      <c r="E201" s="110"/>
      <c r="F201" s="19" t="str">
        <f t="shared" si="2"/>
        <v/>
      </c>
      <c r="G201" s="2"/>
    </row>
    <row r="202" spans="2:7" ht="15" customHeight="1" x14ac:dyDescent="0.25">
      <c r="B202" s="1"/>
      <c r="C202" s="113">
        <v>185</v>
      </c>
      <c r="D202" s="110"/>
      <c r="E202" s="110"/>
      <c r="F202" s="19" t="str">
        <f t="shared" si="2"/>
        <v/>
      </c>
      <c r="G202" s="2"/>
    </row>
    <row r="203" spans="2:7" ht="15" customHeight="1" x14ac:dyDescent="0.25">
      <c r="B203" s="1"/>
      <c r="C203" s="113">
        <v>186</v>
      </c>
      <c r="D203" s="110"/>
      <c r="E203" s="110"/>
      <c r="F203" s="19" t="str">
        <f t="shared" si="2"/>
        <v/>
      </c>
      <c r="G203" s="2"/>
    </row>
    <row r="204" spans="2:7" ht="15" customHeight="1" x14ac:dyDescent="0.25">
      <c r="B204" s="1"/>
      <c r="C204" s="113">
        <v>187</v>
      </c>
      <c r="D204" s="110"/>
      <c r="E204" s="110"/>
      <c r="F204" s="19" t="str">
        <f t="shared" si="2"/>
        <v/>
      </c>
      <c r="G204" s="2"/>
    </row>
    <row r="205" spans="2:7" ht="15" customHeight="1" x14ac:dyDescent="0.25">
      <c r="B205" s="1"/>
      <c r="C205" s="113">
        <v>188</v>
      </c>
      <c r="D205" s="110"/>
      <c r="E205" s="110"/>
      <c r="F205" s="19" t="str">
        <f t="shared" si="2"/>
        <v/>
      </c>
      <c r="G205" s="2"/>
    </row>
    <row r="206" spans="2:7" ht="15" customHeight="1" x14ac:dyDescent="0.25">
      <c r="B206" s="1"/>
      <c r="C206" s="113">
        <v>189</v>
      </c>
      <c r="D206" s="110"/>
      <c r="E206" s="110"/>
      <c r="F206" s="19" t="str">
        <f t="shared" si="2"/>
        <v/>
      </c>
      <c r="G206" s="2"/>
    </row>
    <row r="207" spans="2:7" ht="15" customHeight="1" x14ac:dyDescent="0.25">
      <c r="B207" s="1"/>
      <c r="C207" s="113">
        <v>190</v>
      </c>
      <c r="D207" s="110"/>
      <c r="E207" s="110"/>
      <c r="F207" s="19" t="str">
        <f t="shared" si="2"/>
        <v/>
      </c>
      <c r="G207" s="2"/>
    </row>
    <row r="208" spans="2:7" ht="15" customHeight="1" x14ac:dyDescent="0.25">
      <c r="B208" s="1"/>
      <c r="C208" s="113">
        <v>191</v>
      </c>
      <c r="D208" s="110"/>
      <c r="E208" s="110"/>
      <c r="F208" s="19" t="str">
        <f t="shared" si="2"/>
        <v/>
      </c>
      <c r="G208" s="2"/>
    </row>
    <row r="209" spans="2:7" ht="15" customHeight="1" x14ac:dyDescent="0.25">
      <c r="B209" s="1"/>
      <c r="C209" s="113">
        <v>192</v>
      </c>
      <c r="D209" s="110"/>
      <c r="E209" s="110"/>
      <c r="F209" s="19" t="str">
        <f t="shared" si="2"/>
        <v/>
      </c>
      <c r="G209" s="2"/>
    </row>
    <row r="210" spans="2:7" ht="15" customHeight="1" x14ac:dyDescent="0.25">
      <c r="B210" s="1"/>
      <c r="C210" s="113">
        <v>193</v>
      </c>
      <c r="D210" s="110"/>
      <c r="E210" s="110"/>
      <c r="F210" s="19" t="str">
        <f t="shared" si="2"/>
        <v/>
      </c>
      <c r="G210" s="2"/>
    </row>
    <row r="211" spans="2:7" ht="15" customHeight="1" x14ac:dyDescent="0.25">
      <c r="B211" s="1"/>
      <c r="C211" s="113">
        <v>194</v>
      </c>
      <c r="D211" s="110"/>
      <c r="E211" s="110"/>
      <c r="F211" s="19" t="str">
        <f t="shared" ref="F211:F274" si="3">IFERROR(IF(AND(LEFT(D211,6)=LEFT(E211,6),RIGHT(E211,9)-RIGHT(D211,9)&gt;=0),RIGHT(E211,9)-RIGHT(D211,9)+1,""),"")</f>
        <v/>
      </c>
      <c r="G211" s="2"/>
    </row>
    <row r="212" spans="2:7" ht="15" customHeight="1" x14ac:dyDescent="0.25">
      <c r="B212" s="1"/>
      <c r="C212" s="113">
        <v>195</v>
      </c>
      <c r="D212" s="110"/>
      <c r="E212" s="110"/>
      <c r="F212" s="19" t="str">
        <f t="shared" si="3"/>
        <v/>
      </c>
      <c r="G212" s="2"/>
    </row>
    <row r="213" spans="2:7" ht="15" customHeight="1" x14ac:dyDescent="0.25">
      <c r="B213" s="1"/>
      <c r="C213" s="113">
        <v>196</v>
      </c>
      <c r="D213" s="110"/>
      <c r="E213" s="110"/>
      <c r="F213" s="19" t="str">
        <f t="shared" si="3"/>
        <v/>
      </c>
      <c r="G213" s="2"/>
    </row>
    <row r="214" spans="2:7" ht="15" customHeight="1" x14ac:dyDescent="0.25">
      <c r="B214" s="1"/>
      <c r="C214" s="113">
        <v>197</v>
      </c>
      <c r="D214" s="110"/>
      <c r="E214" s="110"/>
      <c r="F214" s="19" t="str">
        <f t="shared" si="3"/>
        <v/>
      </c>
      <c r="G214" s="2"/>
    </row>
    <row r="215" spans="2:7" ht="15" customHeight="1" x14ac:dyDescent="0.25">
      <c r="B215" s="1"/>
      <c r="C215" s="113">
        <v>198</v>
      </c>
      <c r="D215" s="110"/>
      <c r="E215" s="110"/>
      <c r="F215" s="19" t="str">
        <f t="shared" si="3"/>
        <v/>
      </c>
      <c r="G215" s="2"/>
    </row>
    <row r="216" spans="2:7" ht="15" customHeight="1" x14ac:dyDescent="0.25">
      <c r="B216" s="1"/>
      <c r="C216" s="113">
        <v>199</v>
      </c>
      <c r="D216" s="110"/>
      <c r="E216" s="110"/>
      <c r="F216" s="19" t="str">
        <f t="shared" si="3"/>
        <v/>
      </c>
      <c r="G216" s="2"/>
    </row>
    <row r="217" spans="2:7" ht="15" customHeight="1" x14ac:dyDescent="0.25">
      <c r="B217" s="1"/>
      <c r="C217" s="113">
        <v>200</v>
      </c>
      <c r="D217" s="110"/>
      <c r="E217" s="110"/>
      <c r="F217" s="19" t="str">
        <f t="shared" si="3"/>
        <v/>
      </c>
      <c r="G217" s="2"/>
    </row>
    <row r="218" spans="2:7" ht="15" customHeight="1" x14ac:dyDescent="0.25">
      <c r="B218" s="1"/>
      <c r="C218" s="113">
        <v>201</v>
      </c>
      <c r="D218" s="110"/>
      <c r="E218" s="110"/>
      <c r="F218" s="19" t="str">
        <f t="shared" si="3"/>
        <v/>
      </c>
      <c r="G218" s="2"/>
    </row>
    <row r="219" spans="2:7" ht="15" customHeight="1" x14ac:dyDescent="0.25">
      <c r="B219" s="1"/>
      <c r="C219" s="113">
        <v>202</v>
      </c>
      <c r="D219" s="110"/>
      <c r="E219" s="110"/>
      <c r="F219" s="19" t="str">
        <f t="shared" si="3"/>
        <v/>
      </c>
      <c r="G219" s="2"/>
    </row>
    <row r="220" spans="2:7" ht="15" customHeight="1" x14ac:dyDescent="0.25">
      <c r="B220" s="1"/>
      <c r="C220" s="113">
        <v>203</v>
      </c>
      <c r="D220" s="110"/>
      <c r="E220" s="110"/>
      <c r="F220" s="19" t="str">
        <f t="shared" si="3"/>
        <v/>
      </c>
      <c r="G220" s="2"/>
    </row>
    <row r="221" spans="2:7" ht="15" customHeight="1" x14ac:dyDescent="0.25">
      <c r="B221" s="1"/>
      <c r="C221" s="113">
        <v>204</v>
      </c>
      <c r="D221" s="110"/>
      <c r="E221" s="110"/>
      <c r="F221" s="19" t="str">
        <f t="shared" si="3"/>
        <v/>
      </c>
      <c r="G221" s="2"/>
    </row>
    <row r="222" spans="2:7" ht="15" customHeight="1" x14ac:dyDescent="0.25">
      <c r="B222" s="1"/>
      <c r="C222" s="113">
        <v>205</v>
      </c>
      <c r="D222" s="110"/>
      <c r="E222" s="110"/>
      <c r="F222" s="19" t="str">
        <f t="shared" si="3"/>
        <v/>
      </c>
      <c r="G222" s="2"/>
    </row>
    <row r="223" spans="2:7" ht="15" customHeight="1" x14ac:dyDescent="0.25">
      <c r="B223" s="1"/>
      <c r="C223" s="113">
        <v>206</v>
      </c>
      <c r="D223" s="110"/>
      <c r="E223" s="110"/>
      <c r="F223" s="19" t="str">
        <f t="shared" si="3"/>
        <v/>
      </c>
      <c r="G223" s="2"/>
    </row>
    <row r="224" spans="2:7" ht="15" customHeight="1" x14ac:dyDescent="0.25">
      <c r="B224" s="1"/>
      <c r="C224" s="113">
        <v>207</v>
      </c>
      <c r="D224" s="110"/>
      <c r="E224" s="110"/>
      <c r="F224" s="19" t="str">
        <f t="shared" si="3"/>
        <v/>
      </c>
      <c r="G224" s="2"/>
    </row>
    <row r="225" spans="2:7" ht="15" customHeight="1" x14ac:dyDescent="0.25">
      <c r="B225" s="1"/>
      <c r="C225" s="113">
        <v>208</v>
      </c>
      <c r="D225" s="110"/>
      <c r="E225" s="110"/>
      <c r="F225" s="19" t="str">
        <f t="shared" si="3"/>
        <v/>
      </c>
      <c r="G225" s="2"/>
    </row>
    <row r="226" spans="2:7" ht="15" customHeight="1" x14ac:dyDescent="0.25">
      <c r="B226" s="1"/>
      <c r="C226" s="113">
        <v>209</v>
      </c>
      <c r="D226" s="110"/>
      <c r="E226" s="110"/>
      <c r="F226" s="19" t="str">
        <f t="shared" si="3"/>
        <v/>
      </c>
      <c r="G226" s="2"/>
    </row>
    <row r="227" spans="2:7" ht="15" customHeight="1" x14ac:dyDescent="0.25">
      <c r="B227" s="1"/>
      <c r="C227" s="113">
        <v>210</v>
      </c>
      <c r="D227" s="110"/>
      <c r="E227" s="110"/>
      <c r="F227" s="19" t="str">
        <f t="shared" si="3"/>
        <v/>
      </c>
      <c r="G227" s="2"/>
    </row>
    <row r="228" spans="2:7" ht="15" customHeight="1" x14ac:dyDescent="0.25">
      <c r="B228" s="1"/>
      <c r="C228" s="113">
        <v>211</v>
      </c>
      <c r="D228" s="110"/>
      <c r="E228" s="110"/>
      <c r="F228" s="19" t="str">
        <f t="shared" si="3"/>
        <v/>
      </c>
      <c r="G228" s="2"/>
    </row>
    <row r="229" spans="2:7" ht="15" customHeight="1" x14ac:dyDescent="0.25">
      <c r="B229" s="1"/>
      <c r="C229" s="113">
        <v>212</v>
      </c>
      <c r="D229" s="110"/>
      <c r="E229" s="110"/>
      <c r="F229" s="19" t="str">
        <f t="shared" si="3"/>
        <v/>
      </c>
      <c r="G229" s="2"/>
    </row>
    <row r="230" spans="2:7" ht="15" customHeight="1" x14ac:dyDescent="0.25">
      <c r="B230" s="1"/>
      <c r="C230" s="113">
        <v>213</v>
      </c>
      <c r="D230" s="110"/>
      <c r="E230" s="110"/>
      <c r="F230" s="19" t="str">
        <f t="shared" si="3"/>
        <v/>
      </c>
      <c r="G230" s="2"/>
    </row>
    <row r="231" spans="2:7" ht="15" customHeight="1" x14ac:dyDescent="0.25">
      <c r="B231" s="1"/>
      <c r="C231" s="113">
        <v>214</v>
      </c>
      <c r="D231" s="110"/>
      <c r="E231" s="110"/>
      <c r="F231" s="19" t="str">
        <f t="shared" si="3"/>
        <v/>
      </c>
      <c r="G231" s="2"/>
    </row>
    <row r="232" spans="2:7" ht="15" customHeight="1" x14ac:dyDescent="0.25">
      <c r="B232" s="1"/>
      <c r="C232" s="113">
        <v>215</v>
      </c>
      <c r="D232" s="110"/>
      <c r="E232" s="110"/>
      <c r="F232" s="19" t="str">
        <f t="shared" si="3"/>
        <v/>
      </c>
      <c r="G232" s="2"/>
    </row>
    <row r="233" spans="2:7" ht="15" customHeight="1" x14ac:dyDescent="0.25">
      <c r="B233" s="1"/>
      <c r="C233" s="113">
        <v>216</v>
      </c>
      <c r="D233" s="110"/>
      <c r="E233" s="110"/>
      <c r="F233" s="19" t="str">
        <f t="shared" si="3"/>
        <v/>
      </c>
      <c r="G233" s="2"/>
    </row>
    <row r="234" spans="2:7" ht="15" customHeight="1" x14ac:dyDescent="0.25">
      <c r="B234" s="1"/>
      <c r="C234" s="113">
        <v>217</v>
      </c>
      <c r="D234" s="110"/>
      <c r="E234" s="110"/>
      <c r="F234" s="19" t="str">
        <f t="shared" si="3"/>
        <v/>
      </c>
      <c r="G234" s="2"/>
    </row>
    <row r="235" spans="2:7" ht="15" customHeight="1" x14ac:dyDescent="0.25">
      <c r="B235" s="1"/>
      <c r="C235" s="113">
        <v>218</v>
      </c>
      <c r="D235" s="110"/>
      <c r="E235" s="110"/>
      <c r="F235" s="19" t="str">
        <f t="shared" si="3"/>
        <v/>
      </c>
      <c r="G235" s="2"/>
    </row>
    <row r="236" spans="2:7" ht="15" customHeight="1" x14ac:dyDescent="0.25">
      <c r="B236" s="1"/>
      <c r="C236" s="113">
        <v>219</v>
      </c>
      <c r="D236" s="110"/>
      <c r="E236" s="110"/>
      <c r="F236" s="19" t="str">
        <f t="shared" si="3"/>
        <v/>
      </c>
      <c r="G236" s="2"/>
    </row>
    <row r="237" spans="2:7" ht="15" customHeight="1" x14ac:dyDescent="0.25">
      <c r="B237" s="1"/>
      <c r="C237" s="113">
        <v>220</v>
      </c>
      <c r="D237" s="110"/>
      <c r="E237" s="110"/>
      <c r="F237" s="19" t="str">
        <f t="shared" si="3"/>
        <v/>
      </c>
      <c r="G237" s="2"/>
    </row>
    <row r="238" spans="2:7" ht="15" customHeight="1" x14ac:dyDescent="0.25">
      <c r="B238" s="1"/>
      <c r="C238" s="113">
        <v>221</v>
      </c>
      <c r="D238" s="110"/>
      <c r="E238" s="110"/>
      <c r="F238" s="19" t="str">
        <f t="shared" si="3"/>
        <v/>
      </c>
      <c r="G238" s="2"/>
    </row>
    <row r="239" spans="2:7" ht="15" customHeight="1" x14ac:dyDescent="0.25">
      <c r="B239" s="1"/>
      <c r="C239" s="113">
        <v>222</v>
      </c>
      <c r="D239" s="110"/>
      <c r="E239" s="110"/>
      <c r="F239" s="19" t="str">
        <f t="shared" si="3"/>
        <v/>
      </c>
      <c r="G239" s="2"/>
    </row>
    <row r="240" spans="2:7" ht="15" customHeight="1" x14ac:dyDescent="0.25">
      <c r="B240" s="1"/>
      <c r="C240" s="113">
        <v>223</v>
      </c>
      <c r="D240" s="110"/>
      <c r="E240" s="110"/>
      <c r="F240" s="19" t="str">
        <f t="shared" si="3"/>
        <v/>
      </c>
      <c r="G240" s="2"/>
    </row>
    <row r="241" spans="2:7" ht="15" customHeight="1" x14ac:dyDescent="0.25">
      <c r="B241" s="1"/>
      <c r="C241" s="113">
        <v>224</v>
      </c>
      <c r="D241" s="110"/>
      <c r="E241" s="110"/>
      <c r="F241" s="19" t="str">
        <f t="shared" si="3"/>
        <v/>
      </c>
      <c r="G241" s="2"/>
    </row>
    <row r="242" spans="2:7" ht="15" customHeight="1" x14ac:dyDescent="0.25">
      <c r="B242" s="1"/>
      <c r="C242" s="113">
        <v>225</v>
      </c>
      <c r="D242" s="110"/>
      <c r="E242" s="110"/>
      <c r="F242" s="19" t="str">
        <f t="shared" si="3"/>
        <v/>
      </c>
      <c r="G242" s="2"/>
    </row>
    <row r="243" spans="2:7" ht="15" customHeight="1" x14ac:dyDescent="0.25">
      <c r="B243" s="1"/>
      <c r="C243" s="113">
        <v>226</v>
      </c>
      <c r="D243" s="110"/>
      <c r="E243" s="110"/>
      <c r="F243" s="19" t="str">
        <f t="shared" si="3"/>
        <v/>
      </c>
      <c r="G243" s="2"/>
    </row>
    <row r="244" spans="2:7" ht="15" customHeight="1" x14ac:dyDescent="0.25">
      <c r="B244" s="1"/>
      <c r="C244" s="113">
        <v>227</v>
      </c>
      <c r="D244" s="110"/>
      <c r="E244" s="110"/>
      <c r="F244" s="19" t="str">
        <f t="shared" si="3"/>
        <v/>
      </c>
      <c r="G244" s="2"/>
    </row>
    <row r="245" spans="2:7" ht="15" customHeight="1" x14ac:dyDescent="0.25">
      <c r="B245" s="1"/>
      <c r="C245" s="113">
        <v>228</v>
      </c>
      <c r="D245" s="110"/>
      <c r="E245" s="110"/>
      <c r="F245" s="19" t="str">
        <f t="shared" si="3"/>
        <v/>
      </c>
      <c r="G245" s="2"/>
    </row>
    <row r="246" spans="2:7" ht="15" customHeight="1" x14ac:dyDescent="0.25">
      <c r="B246" s="1"/>
      <c r="C246" s="113">
        <v>229</v>
      </c>
      <c r="D246" s="110"/>
      <c r="E246" s="110"/>
      <c r="F246" s="19" t="str">
        <f t="shared" si="3"/>
        <v/>
      </c>
      <c r="G246" s="2"/>
    </row>
    <row r="247" spans="2:7" ht="15" customHeight="1" x14ac:dyDescent="0.25">
      <c r="B247" s="1"/>
      <c r="C247" s="113">
        <v>230</v>
      </c>
      <c r="D247" s="110"/>
      <c r="E247" s="110"/>
      <c r="F247" s="19" t="str">
        <f t="shared" si="3"/>
        <v/>
      </c>
      <c r="G247" s="2"/>
    </row>
    <row r="248" spans="2:7" ht="15" customHeight="1" x14ac:dyDescent="0.25">
      <c r="B248" s="1"/>
      <c r="C248" s="113">
        <v>231</v>
      </c>
      <c r="D248" s="110"/>
      <c r="E248" s="110"/>
      <c r="F248" s="19" t="str">
        <f t="shared" si="3"/>
        <v/>
      </c>
      <c r="G248" s="2"/>
    </row>
    <row r="249" spans="2:7" ht="15" customHeight="1" x14ac:dyDescent="0.25">
      <c r="B249" s="1"/>
      <c r="C249" s="113">
        <v>232</v>
      </c>
      <c r="D249" s="110"/>
      <c r="E249" s="110"/>
      <c r="F249" s="19" t="str">
        <f t="shared" si="3"/>
        <v/>
      </c>
      <c r="G249" s="2"/>
    </row>
    <row r="250" spans="2:7" ht="15" customHeight="1" x14ac:dyDescent="0.25">
      <c r="B250" s="1"/>
      <c r="C250" s="113">
        <v>233</v>
      </c>
      <c r="D250" s="110"/>
      <c r="E250" s="110"/>
      <c r="F250" s="19" t="str">
        <f t="shared" si="3"/>
        <v/>
      </c>
      <c r="G250" s="2"/>
    </row>
    <row r="251" spans="2:7" ht="15" customHeight="1" x14ac:dyDescent="0.25">
      <c r="B251" s="1"/>
      <c r="C251" s="113">
        <v>234</v>
      </c>
      <c r="D251" s="110"/>
      <c r="E251" s="110"/>
      <c r="F251" s="19" t="str">
        <f t="shared" si="3"/>
        <v/>
      </c>
      <c r="G251" s="2"/>
    </row>
    <row r="252" spans="2:7" ht="15" customHeight="1" x14ac:dyDescent="0.25">
      <c r="B252" s="1"/>
      <c r="C252" s="113">
        <v>235</v>
      </c>
      <c r="D252" s="110"/>
      <c r="E252" s="110"/>
      <c r="F252" s="19" t="str">
        <f t="shared" si="3"/>
        <v/>
      </c>
      <c r="G252" s="2"/>
    </row>
    <row r="253" spans="2:7" ht="15" customHeight="1" x14ac:dyDescent="0.25">
      <c r="B253" s="1"/>
      <c r="C253" s="113">
        <v>236</v>
      </c>
      <c r="D253" s="110"/>
      <c r="E253" s="110"/>
      <c r="F253" s="19" t="str">
        <f t="shared" si="3"/>
        <v/>
      </c>
      <c r="G253" s="2"/>
    </row>
    <row r="254" spans="2:7" ht="15" customHeight="1" x14ac:dyDescent="0.25">
      <c r="B254" s="1"/>
      <c r="C254" s="113">
        <v>237</v>
      </c>
      <c r="D254" s="110"/>
      <c r="E254" s="110"/>
      <c r="F254" s="19" t="str">
        <f t="shared" si="3"/>
        <v/>
      </c>
      <c r="G254" s="2"/>
    </row>
    <row r="255" spans="2:7" ht="15" customHeight="1" x14ac:dyDescent="0.25">
      <c r="B255" s="1"/>
      <c r="C255" s="113">
        <v>238</v>
      </c>
      <c r="D255" s="110"/>
      <c r="E255" s="110"/>
      <c r="F255" s="19" t="str">
        <f t="shared" si="3"/>
        <v/>
      </c>
      <c r="G255" s="2"/>
    </row>
    <row r="256" spans="2:7" ht="15" customHeight="1" x14ac:dyDescent="0.25">
      <c r="B256" s="1"/>
      <c r="C256" s="113">
        <v>239</v>
      </c>
      <c r="D256" s="110"/>
      <c r="E256" s="110"/>
      <c r="F256" s="19" t="str">
        <f t="shared" si="3"/>
        <v/>
      </c>
      <c r="G256" s="2"/>
    </row>
    <row r="257" spans="2:7" ht="15" customHeight="1" x14ac:dyDescent="0.25">
      <c r="B257" s="1"/>
      <c r="C257" s="113">
        <v>240</v>
      </c>
      <c r="D257" s="110"/>
      <c r="E257" s="110"/>
      <c r="F257" s="19" t="str">
        <f t="shared" si="3"/>
        <v/>
      </c>
      <c r="G257" s="2"/>
    </row>
    <row r="258" spans="2:7" ht="15" customHeight="1" x14ac:dyDescent="0.25">
      <c r="B258" s="1"/>
      <c r="C258" s="113">
        <v>241</v>
      </c>
      <c r="D258" s="110"/>
      <c r="E258" s="110"/>
      <c r="F258" s="19" t="str">
        <f t="shared" si="3"/>
        <v/>
      </c>
      <c r="G258" s="2"/>
    </row>
    <row r="259" spans="2:7" ht="15" customHeight="1" x14ac:dyDescent="0.25">
      <c r="B259" s="1"/>
      <c r="C259" s="113">
        <v>242</v>
      </c>
      <c r="D259" s="110"/>
      <c r="E259" s="110"/>
      <c r="F259" s="19" t="str">
        <f t="shared" si="3"/>
        <v/>
      </c>
      <c r="G259" s="2"/>
    </row>
    <row r="260" spans="2:7" ht="15" customHeight="1" x14ac:dyDescent="0.25">
      <c r="B260" s="1"/>
      <c r="C260" s="113">
        <v>243</v>
      </c>
      <c r="D260" s="110"/>
      <c r="E260" s="110"/>
      <c r="F260" s="19" t="str">
        <f t="shared" si="3"/>
        <v/>
      </c>
      <c r="G260" s="2"/>
    </row>
    <row r="261" spans="2:7" ht="15" customHeight="1" x14ac:dyDescent="0.25">
      <c r="B261" s="1"/>
      <c r="C261" s="113">
        <v>244</v>
      </c>
      <c r="D261" s="110"/>
      <c r="E261" s="110"/>
      <c r="F261" s="19" t="str">
        <f t="shared" si="3"/>
        <v/>
      </c>
      <c r="G261" s="2"/>
    </row>
    <row r="262" spans="2:7" ht="15" customHeight="1" x14ac:dyDescent="0.25">
      <c r="B262" s="1"/>
      <c r="C262" s="113">
        <v>245</v>
      </c>
      <c r="D262" s="110"/>
      <c r="E262" s="110"/>
      <c r="F262" s="19" t="str">
        <f t="shared" si="3"/>
        <v/>
      </c>
      <c r="G262" s="2"/>
    </row>
    <row r="263" spans="2:7" ht="15" customHeight="1" x14ac:dyDescent="0.25">
      <c r="B263" s="1"/>
      <c r="C263" s="113">
        <v>246</v>
      </c>
      <c r="D263" s="110"/>
      <c r="E263" s="110"/>
      <c r="F263" s="19" t="str">
        <f t="shared" si="3"/>
        <v/>
      </c>
      <c r="G263" s="2"/>
    </row>
    <row r="264" spans="2:7" ht="15" customHeight="1" x14ac:dyDescent="0.25">
      <c r="B264" s="1"/>
      <c r="C264" s="113">
        <v>247</v>
      </c>
      <c r="D264" s="110"/>
      <c r="E264" s="110"/>
      <c r="F264" s="19" t="str">
        <f t="shared" si="3"/>
        <v/>
      </c>
      <c r="G264" s="2"/>
    </row>
    <row r="265" spans="2:7" ht="15" customHeight="1" x14ac:dyDescent="0.25">
      <c r="B265" s="1"/>
      <c r="C265" s="113">
        <v>248</v>
      </c>
      <c r="D265" s="110"/>
      <c r="E265" s="110"/>
      <c r="F265" s="19" t="str">
        <f t="shared" si="3"/>
        <v/>
      </c>
      <c r="G265" s="2"/>
    </row>
    <row r="266" spans="2:7" ht="15" customHeight="1" x14ac:dyDescent="0.25">
      <c r="B266" s="1"/>
      <c r="C266" s="113">
        <v>249</v>
      </c>
      <c r="D266" s="110"/>
      <c r="E266" s="110"/>
      <c r="F266" s="19" t="str">
        <f t="shared" si="3"/>
        <v/>
      </c>
      <c r="G266" s="2"/>
    </row>
    <row r="267" spans="2:7" ht="15" customHeight="1" x14ac:dyDescent="0.25">
      <c r="B267" s="1"/>
      <c r="C267" s="113">
        <v>250</v>
      </c>
      <c r="D267" s="110"/>
      <c r="E267" s="110"/>
      <c r="F267" s="19" t="str">
        <f t="shared" si="3"/>
        <v/>
      </c>
      <c r="G267" s="2"/>
    </row>
    <row r="268" spans="2:7" ht="15" customHeight="1" x14ac:dyDescent="0.25">
      <c r="B268" s="1"/>
      <c r="C268" s="113">
        <v>251</v>
      </c>
      <c r="D268" s="110"/>
      <c r="E268" s="110"/>
      <c r="F268" s="19" t="str">
        <f t="shared" si="3"/>
        <v/>
      </c>
      <c r="G268" s="2"/>
    </row>
    <row r="269" spans="2:7" ht="15" customHeight="1" x14ac:dyDescent="0.25">
      <c r="B269" s="1"/>
      <c r="C269" s="113">
        <v>252</v>
      </c>
      <c r="D269" s="110"/>
      <c r="E269" s="110"/>
      <c r="F269" s="19" t="str">
        <f t="shared" si="3"/>
        <v/>
      </c>
      <c r="G269" s="2"/>
    </row>
    <row r="270" spans="2:7" ht="15" customHeight="1" x14ac:dyDescent="0.25">
      <c r="B270" s="1"/>
      <c r="C270" s="113">
        <v>253</v>
      </c>
      <c r="D270" s="110"/>
      <c r="E270" s="110"/>
      <c r="F270" s="19" t="str">
        <f t="shared" si="3"/>
        <v/>
      </c>
      <c r="G270" s="2"/>
    </row>
    <row r="271" spans="2:7" ht="15" customHeight="1" x14ac:dyDescent="0.25">
      <c r="B271" s="1"/>
      <c r="C271" s="113">
        <v>254</v>
      </c>
      <c r="D271" s="110"/>
      <c r="E271" s="110"/>
      <c r="F271" s="19" t="str">
        <f t="shared" si="3"/>
        <v/>
      </c>
      <c r="G271" s="2"/>
    </row>
    <row r="272" spans="2:7" ht="15" customHeight="1" x14ac:dyDescent="0.25">
      <c r="B272" s="1"/>
      <c r="C272" s="113">
        <v>255</v>
      </c>
      <c r="D272" s="110"/>
      <c r="E272" s="110"/>
      <c r="F272" s="19" t="str">
        <f t="shared" si="3"/>
        <v/>
      </c>
      <c r="G272" s="2"/>
    </row>
    <row r="273" spans="2:7" ht="15" customHeight="1" x14ac:dyDescent="0.25">
      <c r="B273" s="1"/>
      <c r="C273" s="113">
        <v>256</v>
      </c>
      <c r="D273" s="110"/>
      <c r="E273" s="110"/>
      <c r="F273" s="19" t="str">
        <f t="shared" si="3"/>
        <v/>
      </c>
      <c r="G273" s="2"/>
    </row>
    <row r="274" spans="2:7" ht="15" customHeight="1" x14ac:dyDescent="0.25">
      <c r="B274" s="1"/>
      <c r="C274" s="113">
        <v>257</v>
      </c>
      <c r="D274" s="110"/>
      <c r="E274" s="110"/>
      <c r="F274" s="19" t="str">
        <f t="shared" si="3"/>
        <v/>
      </c>
      <c r="G274" s="2"/>
    </row>
    <row r="275" spans="2:7" ht="15" customHeight="1" x14ac:dyDescent="0.25">
      <c r="B275" s="1"/>
      <c r="C275" s="113">
        <v>258</v>
      </c>
      <c r="D275" s="110"/>
      <c r="E275" s="110"/>
      <c r="F275" s="19" t="str">
        <f t="shared" ref="F275:F338" si="4">IFERROR(IF(AND(LEFT(D275,6)=LEFT(E275,6),RIGHT(E275,9)-RIGHT(D275,9)&gt;=0),RIGHT(E275,9)-RIGHT(D275,9)+1,""),"")</f>
        <v/>
      </c>
      <c r="G275" s="2"/>
    </row>
    <row r="276" spans="2:7" ht="15" customHeight="1" x14ac:dyDescent="0.25">
      <c r="B276" s="1"/>
      <c r="C276" s="113">
        <v>259</v>
      </c>
      <c r="D276" s="110"/>
      <c r="E276" s="110"/>
      <c r="F276" s="19" t="str">
        <f t="shared" si="4"/>
        <v/>
      </c>
      <c r="G276" s="2"/>
    </row>
    <row r="277" spans="2:7" ht="15" customHeight="1" x14ac:dyDescent="0.25">
      <c r="B277" s="1"/>
      <c r="C277" s="113">
        <v>260</v>
      </c>
      <c r="D277" s="110"/>
      <c r="E277" s="110"/>
      <c r="F277" s="19" t="str">
        <f t="shared" si="4"/>
        <v/>
      </c>
      <c r="G277" s="2"/>
    </row>
    <row r="278" spans="2:7" ht="15" customHeight="1" x14ac:dyDescent="0.25">
      <c r="B278" s="1"/>
      <c r="C278" s="113">
        <v>261</v>
      </c>
      <c r="D278" s="110"/>
      <c r="E278" s="110"/>
      <c r="F278" s="19" t="str">
        <f t="shared" si="4"/>
        <v/>
      </c>
      <c r="G278" s="2"/>
    </row>
    <row r="279" spans="2:7" ht="15" customHeight="1" x14ac:dyDescent="0.25">
      <c r="B279" s="1"/>
      <c r="C279" s="113">
        <v>262</v>
      </c>
      <c r="D279" s="110"/>
      <c r="E279" s="110"/>
      <c r="F279" s="19" t="str">
        <f t="shared" si="4"/>
        <v/>
      </c>
      <c r="G279" s="2"/>
    </row>
    <row r="280" spans="2:7" ht="15" customHeight="1" x14ac:dyDescent="0.25">
      <c r="B280" s="1"/>
      <c r="C280" s="113">
        <v>263</v>
      </c>
      <c r="D280" s="110"/>
      <c r="E280" s="110"/>
      <c r="F280" s="19" t="str">
        <f t="shared" si="4"/>
        <v/>
      </c>
      <c r="G280" s="2"/>
    </row>
    <row r="281" spans="2:7" ht="15" customHeight="1" x14ac:dyDescent="0.25">
      <c r="B281" s="1"/>
      <c r="C281" s="113">
        <v>264</v>
      </c>
      <c r="D281" s="110"/>
      <c r="E281" s="110"/>
      <c r="F281" s="19" t="str">
        <f t="shared" si="4"/>
        <v/>
      </c>
      <c r="G281" s="2"/>
    </row>
    <row r="282" spans="2:7" ht="15" customHeight="1" x14ac:dyDescent="0.25">
      <c r="B282" s="1"/>
      <c r="C282" s="113">
        <v>265</v>
      </c>
      <c r="D282" s="110"/>
      <c r="E282" s="110"/>
      <c r="F282" s="19" t="str">
        <f t="shared" si="4"/>
        <v/>
      </c>
      <c r="G282" s="2"/>
    </row>
    <row r="283" spans="2:7" ht="15" customHeight="1" x14ac:dyDescent="0.25">
      <c r="B283" s="1"/>
      <c r="C283" s="113">
        <v>266</v>
      </c>
      <c r="D283" s="110"/>
      <c r="E283" s="110"/>
      <c r="F283" s="19" t="str">
        <f t="shared" si="4"/>
        <v/>
      </c>
      <c r="G283" s="2"/>
    </row>
    <row r="284" spans="2:7" ht="15" customHeight="1" x14ac:dyDescent="0.25">
      <c r="B284" s="1"/>
      <c r="C284" s="113">
        <v>267</v>
      </c>
      <c r="D284" s="110"/>
      <c r="E284" s="110"/>
      <c r="F284" s="19" t="str">
        <f t="shared" si="4"/>
        <v/>
      </c>
      <c r="G284" s="2"/>
    </row>
    <row r="285" spans="2:7" ht="15" customHeight="1" x14ac:dyDescent="0.25">
      <c r="B285" s="1"/>
      <c r="C285" s="113">
        <v>268</v>
      </c>
      <c r="D285" s="110"/>
      <c r="E285" s="110"/>
      <c r="F285" s="19" t="str">
        <f t="shared" si="4"/>
        <v/>
      </c>
      <c r="G285" s="2"/>
    </row>
    <row r="286" spans="2:7" ht="15" customHeight="1" x14ac:dyDescent="0.25">
      <c r="B286" s="1"/>
      <c r="C286" s="113">
        <v>269</v>
      </c>
      <c r="D286" s="110"/>
      <c r="E286" s="110"/>
      <c r="F286" s="19" t="str">
        <f t="shared" si="4"/>
        <v/>
      </c>
      <c r="G286" s="2"/>
    </row>
    <row r="287" spans="2:7" ht="15" customHeight="1" x14ac:dyDescent="0.25">
      <c r="B287" s="1"/>
      <c r="C287" s="113">
        <v>270</v>
      </c>
      <c r="D287" s="110"/>
      <c r="E287" s="110"/>
      <c r="F287" s="19" t="str">
        <f t="shared" si="4"/>
        <v/>
      </c>
      <c r="G287" s="2"/>
    </row>
    <row r="288" spans="2:7" ht="15" customHeight="1" x14ac:dyDescent="0.25">
      <c r="B288" s="1"/>
      <c r="C288" s="113">
        <v>271</v>
      </c>
      <c r="D288" s="110"/>
      <c r="E288" s="110"/>
      <c r="F288" s="19" t="str">
        <f t="shared" si="4"/>
        <v/>
      </c>
      <c r="G288" s="2"/>
    </row>
    <row r="289" spans="2:7" ht="15" customHeight="1" x14ac:dyDescent="0.25">
      <c r="B289" s="1"/>
      <c r="C289" s="113">
        <v>272</v>
      </c>
      <c r="D289" s="110"/>
      <c r="E289" s="110"/>
      <c r="F289" s="19" t="str">
        <f t="shared" si="4"/>
        <v/>
      </c>
      <c r="G289" s="2"/>
    </row>
    <row r="290" spans="2:7" ht="15" customHeight="1" x14ac:dyDescent="0.25">
      <c r="B290" s="1"/>
      <c r="C290" s="113">
        <v>273</v>
      </c>
      <c r="D290" s="110"/>
      <c r="E290" s="110"/>
      <c r="F290" s="19" t="str">
        <f t="shared" si="4"/>
        <v/>
      </c>
      <c r="G290" s="2"/>
    </row>
    <row r="291" spans="2:7" ht="15" customHeight="1" x14ac:dyDescent="0.25">
      <c r="B291" s="1"/>
      <c r="C291" s="113">
        <v>274</v>
      </c>
      <c r="D291" s="110"/>
      <c r="E291" s="110"/>
      <c r="F291" s="19" t="str">
        <f t="shared" si="4"/>
        <v/>
      </c>
      <c r="G291" s="2"/>
    </row>
    <row r="292" spans="2:7" ht="15" customHeight="1" x14ac:dyDescent="0.25">
      <c r="B292" s="1"/>
      <c r="C292" s="113">
        <v>275</v>
      </c>
      <c r="D292" s="110"/>
      <c r="E292" s="110"/>
      <c r="F292" s="19" t="str">
        <f t="shared" si="4"/>
        <v/>
      </c>
      <c r="G292" s="2"/>
    </row>
    <row r="293" spans="2:7" ht="15" customHeight="1" x14ac:dyDescent="0.25">
      <c r="B293" s="1"/>
      <c r="C293" s="113">
        <v>276</v>
      </c>
      <c r="D293" s="110"/>
      <c r="E293" s="110"/>
      <c r="F293" s="19" t="str">
        <f t="shared" si="4"/>
        <v/>
      </c>
      <c r="G293" s="2"/>
    </row>
    <row r="294" spans="2:7" ht="15" customHeight="1" x14ac:dyDescent="0.25">
      <c r="B294" s="1"/>
      <c r="C294" s="113">
        <v>277</v>
      </c>
      <c r="D294" s="110"/>
      <c r="E294" s="110"/>
      <c r="F294" s="19" t="str">
        <f t="shared" si="4"/>
        <v/>
      </c>
      <c r="G294" s="2"/>
    </row>
    <row r="295" spans="2:7" ht="15" customHeight="1" x14ac:dyDescent="0.25">
      <c r="B295" s="1"/>
      <c r="C295" s="113">
        <v>278</v>
      </c>
      <c r="D295" s="110"/>
      <c r="E295" s="110"/>
      <c r="F295" s="19" t="str">
        <f t="shared" si="4"/>
        <v/>
      </c>
      <c r="G295" s="2"/>
    </row>
    <row r="296" spans="2:7" ht="15" customHeight="1" x14ac:dyDescent="0.25">
      <c r="B296" s="1"/>
      <c r="C296" s="113">
        <v>279</v>
      </c>
      <c r="D296" s="110"/>
      <c r="E296" s="110"/>
      <c r="F296" s="19" t="str">
        <f t="shared" si="4"/>
        <v/>
      </c>
      <c r="G296" s="2"/>
    </row>
    <row r="297" spans="2:7" ht="15" customHeight="1" x14ac:dyDescent="0.25">
      <c r="B297" s="1"/>
      <c r="C297" s="113">
        <v>280</v>
      </c>
      <c r="D297" s="110"/>
      <c r="E297" s="110"/>
      <c r="F297" s="19" t="str">
        <f t="shared" si="4"/>
        <v/>
      </c>
      <c r="G297" s="2"/>
    </row>
    <row r="298" spans="2:7" ht="15" customHeight="1" x14ac:dyDescent="0.25">
      <c r="B298" s="1"/>
      <c r="C298" s="113">
        <v>281</v>
      </c>
      <c r="D298" s="110"/>
      <c r="E298" s="110"/>
      <c r="F298" s="19" t="str">
        <f t="shared" si="4"/>
        <v/>
      </c>
      <c r="G298" s="2"/>
    </row>
    <row r="299" spans="2:7" ht="15" customHeight="1" x14ac:dyDescent="0.25">
      <c r="B299" s="1"/>
      <c r="C299" s="113">
        <v>282</v>
      </c>
      <c r="D299" s="110"/>
      <c r="E299" s="110"/>
      <c r="F299" s="19" t="str">
        <f t="shared" si="4"/>
        <v/>
      </c>
      <c r="G299" s="2"/>
    </row>
    <row r="300" spans="2:7" ht="15" customHeight="1" x14ac:dyDescent="0.25">
      <c r="B300" s="1"/>
      <c r="C300" s="113">
        <v>283</v>
      </c>
      <c r="D300" s="110"/>
      <c r="E300" s="110"/>
      <c r="F300" s="19" t="str">
        <f t="shared" si="4"/>
        <v/>
      </c>
      <c r="G300" s="2"/>
    </row>
    <row r="301" spans="2:7" ht="15" customHeight="1" x14ac:dyDescent="0.25">
      <c r="B301" s="1"/>
      <c r="C301" s="113">
        <v>284</v>
      </c>
      <c r="D301" s="110"/>
      <c r="E301" s="110"/>
      <c r="F301" s="19" t="str">
        <f t="shared" si="4"/>
        <v/>
      </c>
      <c r="G301" s="2"/>
    </row>
    <row r="302" spans="2:7" ht="15" customHeight="1" x14ac:dyDescent="0.25">
      <c r="B302" s="1"/>
      <c r="C302" s="113">
        <v>285</v>
      </c>
      <c r="D302" s="110"/>
      <c r="E302" s="110"/>
      <c r="F302" s="19" t="str">
        <f t="shared" si="4"/>
        <v/>
      </c>
      <c r="G302" s="2"/>
    </row>
    <row r="303" spans="2:7" ht="15" customHeight="1" x14ac:dyDescent="0.25">
      <c r="B303" s="1"/>
      <c r="C303" s="113">
        <v>286</v>
      </c>
      <c r="D303" s="110"/>
      <c r="E303" s="110"/>
      <c r="F303" s="19" t="str">
        <f t="shared" si="4"/>
        <v/>
      </c>
      <c r="G303" s="2"/>
    </row>
    <row r="304" spans="2:7" ht="15" customHeight="1" x14ac:dyDescent="0.25">
      <c r="B304" s="1"/>
      <c r="C304" s="113">
        <v>287</v>
      </c>
      <c r="D304" s="110"/>
      <c r="E304" s="110"/>
      <c r="F304" s="19" t="str">
        <f t="shared" si="4"/>
        <v/>
      </c>
      <c r="G304" s="2"/>
    </row>
    <row r="305" spans="2:7" ht="15" customHeight="1" x14ac:dyDescent="0.25">
      <c r="B305" s="1"/>
      <c r="C305" s="113">
        <v>288</v>
      </c>
      <c r="D305" s="110"/>
      <c r="E305" s="110"/>
      <c r="F305" s="19" t="str">
        <f t="shared" si="4"/>
        <v/>
      </c>
      <c r="G305" s="2"/>
    </row>
    <row r="306" spans="2:7" ht="15" customHeight="1" x14ac:dyDescent="0.25">
      <c r="B306" s="1"/>
      <c r="C306" s="113">
        <v>289</v>
      </c>
      <c r="D306" s="110"/>
      <c r="E306" s="110"/>
      <c r="F306" s="19" t="str">
        <f t="shared" si="4"/>
        <v/>
      </c>
      <c r="G306" s="2"/>
    </row>
    <row r="307" spans="2:7" ht="15" customHeight="1" x14ac:dyDescent="0.25">
      <c r="B307" s="1"/>
      <c r="C307" s="113">
        <v>290</v>
      </c>
      <c r="D307" s="110"/>
      <c r="E307" s="110"/>
      <c r="F307" s="19" t="str">
        <f t="shared" si="4"/>
        <v/>
      </c>
      <c r="G307" s="2"/>
    </row>
    <row r="308" spans="2:7" ht="15" customHeight="1" x14ac:dyDescent="0.25">
      <c r="B308" s="1"/>
      <c r="C308" s="113">
        <v>291</v>
      </c>
      <c r="D308" s="110"/>
      <c r="E308" s="110"/>
      <c r="F308" s="19" t="str">
        <f t="shared" si="4"/>
        <v/>
      </c>
      <c r="G308" s="2"/>
    </row>
    <row r="309" spans="2:7" ht="15" customHeight="1" x14ac:dyDescent="0.25">
      <c r="B309" s="1"/>
      <c r="C309" s="113">
        <v>292</v>
      </c>
      <c r="D309" s="110"/>
      <c r="E309" s="110"/>
      <c r="F309" s="19" t="str">
        <f t="shared" si="4"/>
        <v/>
      </c>
      <c r="G309" s="2"/>
    </row>
    <row r="310" spans="2:7" ht="15" customHeight="1" x14ac:dyDescent="0.25">
      <c r="B310" s="1"/>
      <c r="C310" s="113">
        <v>293</v>
      </c>
      <c r="D310" s="110"/>
      <c r="E310" s="110"/>
      <c r="F310" s="19" t="str">
        <f t="shared" si="4"/>
        <v/>
      </c>
      <c r="G310" s="2"/>
    </row>
    <row r="311" spans="2:7" ht="15" customHeight="1" x14ac:dyDescent="0.25">
      <c r="B311" s="1"/>
      <c r="C311" s="113">
        <v>294</v>
      </c>
      <c r="D311" s="110"/>
      <c r="E311" s="110"/>
      <c r="F311" s="19" t="str">
        <f t="shared" si="4"/>
        <v/>
      </c>
      <c r="G311" s="2"/>
    </row>
    <row r="312" spans="2:7" ht="15" customHeight="1" x14ac:dyDescent="0.25">
      <c r="B312" s="1"/>
      <c r="C312" s="113">
        <v>295</v>
      </c>
      <c r="D312" s="110"/>
      <c r="E312" s="110"/>
      <c r="F312" s="19" t="str">
        <f t="shared" si="4"/>
        <v/>
      </c>
      <c r="G312" s="2"/>
    </row>
    <row r="313" spans="2:7" ht="15" customHeight="1" x14ac:dyDescent="0.25">
      <c r="B313" s="1"/>
      <c r="C313" s="113">
        <v>296</v>
      </c>
      <c r="D313" s="110"/>
      <c r="E313" s="110"/>
      <c r="F313" s="19" t="str">
        <f t="shared" si="4"/>
        <v/>
      </c>
      <c r="G313" s="2"/>
    </row>
    <row r="314" spans="2:7" ht="15" customHeight="1" x14ac:dyDescent="0.25">
      <c r="B314" s="1"/>
      <c r="C314" s="113">
        <v>297</v>
      </c>
      <c r="D314" s="110"/>
      <c r="E314" s="110"/>
      <c r="F314" s="19" t="str">
        <f t="shared" si="4"/>
        <v/>
      </c>
      <c r="G314" s="2"/>
    </row>
    <row r="315" spans="2:7" ht="15" customHeight="1" x14ac:dyDescent="0.25">
      <c r="B315" s="1"/>
      <c r="C315" s="113">
        <v>298</v>
      </c>
      <c r="D315" s="110"/>
      <c r="E315" s="110"/>
      <c r="F315" s="19" t="str">
        <f t="shared" si="4"/>
        <v/>
      </c>
      <c r="G315" s="2"/>
    </row>
    <row r="316" spans="2:7" ht="15" customHeight="1" x14ac:dyDescent="0.25">
      <c r="B316" s="1"/>
      <c r="C316" s="113">
        <v>299</v>
      </c>
      <c r="D316" s="110"/>
      <c r="E316" s="110"/>
      <c r="F316" s="19" t="str">
        <f t="shared" si="4"/>
        <v/>
      </c>
      <c r="G316" s="2"/>
    </row>
    <row r="317" spans="2:7" ht="15" customHeight="1" x14ac:dyDescent="0.25">
      <c r="B317" s="1"/>
      <c r="C317" s="113">
        <v>300</v>
      </c>
      <c r="D317" s="110"/>
      <c r="E317" s="110"/>
      <c r="F317" s="19" t="str">
        <f t="shared" si="4"/>
        <v/>
      </c>
      <c r="G317" s="2"/>
    </row>
    <row r="318" spans="2:7" ht="15" customHeight="1" x14ac:dyDescent="0.25">
      <c r="B318" s="1"/>
      <c r="C318" s="113">
        <v>301</v>
      </c>
      <c r="D318" s="110"/>
      <c r="E318" s="110"/>
      <c r="F318" s="19" t="str">
        <f t="shared" si="4"/>
        <v/>
      </c>
      <c r="G318" s="2"/>
    </row>
    <row r="319" spans="2:7" ht="15" customHeight="1" x14ac:dyDescent="0.25">
      <c r="B319" s="1"/>
      <c r="C319" s="113">
        <v>302</v>
      </c>
      <c r="D319" s="110"/>
      <c r="E319" s="110"/>
      <c r="F319" s="19" t="str">
        <f t="shared" si="4"/>
        <v/>
      </c>
      <c r="G319" s="2"/>
    </row>
    <row r="320" spans="2:7" ht="15" customHeight="1" x14ac:dyDescent="0.25">
      <c r="B320" s="1"/>
      <c r="C320" s="113">
        <v>303</v>
      </c>
      <c r="D320" s="110"/>
      <c r="E320" s="110"/>
      <c r="F320" s="19" t="str">
        <f t="shared" si="4"/>
        <v/>
      </c>
      <c r="G320" s="2"/>
    </row>
    <row r="321" spans="2:7" ht="15" customHeight="1" x14ac:dyDescent="0.25">
      <c r="B321" s="1"/>
      <c r="C321" s="113">
        <v>304</v>
      </c>
      <c r="D321" s="110"/>
      <c r="E321" s="110"/>
      <c r="F321" s="19" t="str">
        <f t="shared" si="4"/>
        <v/>
      </c>
      <c r="G321" s="2"/>
    </row>
    <row r="322" spans="2:7" ht="15" customHeight="1" x14ac:dyDescent="0.25">
      <c r="B322" s="1"/>
      <c r="C322" s="113">
        <v>305</v>
      </c>
      <c r="D322" s="110"/>
      <c r="E322" s="110"/>
      <c r="F322" s="19" t="str">
        <f t="shared" si="4"/>
        <v/>
      </c>
      <c r="G322" s="2"/>
    </row>
    <row r="323" spans="2:7" ht="15" customHeight="1" x14ac:dyDescent="0.25">
      <c r="B323" s="1"/>
      <c r="C323" s="113">
        <v>306</v>
      </c>
      <c r="D323" s="110"/>
      <c r="E323" s="110"/>
      <c r="F323" s="19" t="str">
        <f t="shared" si="4"/>
        <v/>
      </c>
      <c r="G323" s="2"/>
    </row>
    <row r="324" spans="2:7" ht="15" customHeight="1" x14ac:dyDescent="0.25">
      <c r="B324" s="1"/>
      <c r="C324" s="113">
        <v>307</v>
      </c>
      <c r="D324" s="110"/>
      <c r="E324" s="110"/>
      <c r="F324" s="19" t="str">
        <f t="shared" si="4"/>
        <v/>
      </c>
      <c r="G324" s="2"/>
    </row>
    <row r="325" spans="2:7" ht="15" customHeight="1" x14ac:dyDescent="0.25">
      <c r="B325" s="1"/>
      <c r="C325" s="113">
        <v>308</v>
      </c>
      <c r="D325" s="110"/>
      <c r="E325" s="110"/>
      <c r="F325" s="19" t="str">
        <f t="shared" si="4"/>
        <v/>
      </c>
      <c r="G325" s="2"/>
    </row>
    <row r="326" spans="2:7" ht="15" customHeight="1" x14ac:dyDescent="0.25">
      <c r="B326" s="1"/>
      <c r="C326" s="113">
        <v>309</v>
      </c>
      <c r="D326" s="110"/>
      <c r="E326" s="110"/>
      <c r="F326" s="19" t="str">
        <f t="shared" si="4"/>
        <v/>
      </c>
      <c r="G326" s="2"/>
    </row>
    <row r="327" spans="2:7" ht="15" customHeight="1" x14ac:dyDescent="0.25">
      <c r="B327" s="1"/>
      <c r="C327" s="113">
        <v>310</v>
      </c>
      <c r="D327" s="110"/>
      <c r="E327" s="110"/>
      <c r="F327" s="19" t="str">
        <f t="shared" si="4"/>
        <v/>
      </c>
      <c r="G327" s="2"/>
    </row>
    <row r="328" spans="2:7" ht="15" customHeight="1" x14ac:dyDescent="0.25">
      <c r="B328" s="1"/>
      <c r="C328" s="113">
        <v>311</v>
      </c>
      <c r="D328" s="110"/>
      <c r="E328" s="110"/>
      <c r="F328" s="19" t="str">
        <f t="shared" si="4"/>
        <v/>
      </c>
      <c r="G328" s="2"/>
    </row>
    <row r="329" spans="2:7" ht="15" customHeight="1" x14ac:dyDescent="0.25">
      <c r="B329" s="1"/>
      <c r="C329" s="113">
        <v>312</v>
      </c>
      <c r="D329" s="110"/>
      <c r="E329" s="110"/>
      <c r="F329" s="19" t="str">
        <f t="shared" si="4"/>
        <v/>
      </c>
      <c r="G329" s="2"/>
    </row>
    <row r="330" spans="2:7" ht="15" customHeight="1" x14ac:dyDescent="0.25">
      <c r="B330" s="1"/>
      <c r="C330" s="113">
        <v>313</v>
      </c>
      <c r="D330" s="110"/>
      <c r="E330" s="110"/>
      <c r="F330" s="19" t="str">
        <f t="shared" si="4"/>
        <v/>
      </c>
      <c r="G330" s="2"/>
    </row>
    <row r="331" spans="2:7" ht="15" customHeight="1" x14ac:dyDescent="0.25">
      <c r="B331" s="1"/>
      <c r="C331" s="113">
        <v>314</v>
      </c>
      <c r="D331" s="110"/>
      <c r="E331" s="110"/>
      <c r="F331" s="19" t="str">
        <f t="shared" si="4"/>
        <v/>
      </c>
      <c r="G331" s="2"/>
    </row>
    <row r="332" spans="2:7" ht="15" customHeight="1" x14ac:dyDescent="0.25">
      <c r="B332" s="1"/>
      <c r="C332" s="113">
        <v>315</v>
      </c>
      <c r="D332" s="110"/>
      <c r="E332" s="110"/>
      <c r="F332" s="19" t="str">
        <f t="shared" si="4"/>
        <v/>
      </c>
      <c r="G332" s="2"/>
    </row>
    <row r="333" spans="2:7" ht="15" customHeight="1" x14ac:dyDescent="0.25">
      <c r="B333" s="1"/>
      <c r="C333" s="113">
        <v>316</v>
      </c>
      <c r="D333" s="110"/>
      <c r="E333" s="110"/>
      <c r="F333" s="19" t="str">
        <f t="shared" si="4"/>
        <v/>
      </c>
      <c r="G333" s="2"/>
    </row>
    <row r="334" spans="2:7" ht="15" customHeight="1" x14ac:dyDescent="0.25">
      <c r="B334" s="1"/>
      <c r="C334" s="113">
        <v>317</v>
      </c>
      <c r="D334" s="110"/>
      <c r="E334" s="110"/>
      <c r="F334" s="19" t="str">
        <f t="shared" si="4"/>
        <v/>
      </c>
      <c r="G334" s="2"/>
    </row>
    <row r="335" spans="2:7" ht="15" customHeight="1" x14ac:dyDescent="0.25">
      <c r="B335" s="1"/>
      <c r="C335" s="113">
        <v>318</v>
      </c>
      <c r="D335" s="110"/>
      <c r="E335" s="110"/>
      <c r="F335" s="19" t="str">
        <f t="shared" si="4"/>
        <v/>
      </c>
      <c r="G335" s="2"/>
    </row>
    <row r="336" spans="2:7" ht="15" customHeight="1" x14ac:dyDescent="0.25">
      <c r="B336" s="1"/>
      <c r="C336" s="113">
        <v>319</v>
      </c>
      <c r="D336" s="110"/>
      <c r="E336" s="110"/>
      <c r="F336" s="19" t="str">
        <f t="shared" si="4"/>
        <v/>
      </c>
      <c r="G336" s="2"/>
    </row>
    <row r="337" spans="2:7" ht="15" customHeight="1" x14ac:dyDescent="0.25">
      <c r="B337" s="1"/>
      <c r="C337" s="113">
        <v>320</v>
      </c>
      <c r="D337" s="110"/>
      <c r="E337" s="110"/>
      <c r="F337" s="19" t="str">
        <f t="shared" si="4"/>
        <v/>
      </c>
      <c r="G337" s="2"/>
    </row>
    <row r="338" spans="2:7" ht="15" customHeight="1" x14ac:dyDescent="0.25">
      <c r="B338" s="1"/>
      <c r="C338" s="113">
        <v>321</v>
      </c>
      <c r="D338" s="110"/>
      <c r="E338" s="110"/>
      <c r="F338" s="19" t="str">
        <f t="shared" si="4"/>
        <v/>
      </c>
      <c r="G338" s="2"/>
    </row>
    <row r="339" spans="2:7" ht="15" customHeight="1" x14ac:dyDescent="0.25">
      <c r="B339" s="1"/>
      <c r="C339" s="113">
        <v>322</v>
      </c>
      <c r="D339" s="110"/>
      <c r="E339" s="110"/>
      <c r="F339" s="19" t="str">
        <f t="shared" ref="F339:F402" si="5">IFERROR(IF(AND(LEFT(D339,6)=LEFT(E339,6),RIGHT(E339,9)-RIGHT(D339,9)&gt;=0),RIGHT(E339,9)-RIGHT(D339,9)+1,""),"")</f>
        <v/>
      </c>
      <c r="G339" s="2"/>
    </row>
    <row r="340" spans="2:7" ht="15" customHeight="1" x14ac:dyDescent="0.25">
      <c r="B340" s="1"/>
      <c r="C340" s="113">
        <v>323</v>
      </c>
      <c r="D340" s="110"/>
      <c r="E340" s="110"/>
      <c r="F340" s="19" t="str">
        <f t="shared" si="5"/>
        <v/>
      </c>
      <c r="G340" s="2"/>
    </row>
    <row r="341" spans="2:7" ht="15" customHeight="1" x14ac:dyDescent="0.25">
      <c r="B341" s="1"/>
      <c r="C341" s="113">
        <v>324</v>
      </c>
      <c r="D341" s="110"/>
      <c r="E341" s="110"/>
      <c r="F341" s="19" t="str">
        <f t="shared" si="5"/>
        <v/>
      </c>
      <c r="G341" s="2"/>
    </row>
    <row r="342" spans="2:7" ht="15" customHeight="1" x14ac:dyDescent="0.25">
      <c r="B342" s="1"/>
      <c r="C342" s="113">
        <v>325</v>
      </c>
      <c r="D342" s="110"/>
      <c r="E342" s="110"/>
      <c r="F342" s="19" t="str">
        <f t="shared" si="5"/>
        <v/>
      </c>
      <c r="G342" s="2"/>
    </row>
    <row r="343" spans="2:7" ht="15" customHeight="1" x14ac:dyDescent="0.25">
      <c r="B343" s="1"/>
      <c r="C343" s="113">
        <v>326</v>
      </c>
      <c r="D343" s="110"/>
      <c r="E343" s="110"/>
      <c r="F343" s="19" t="str">
        <f t="shared" si="5"/>
        <v/>
      </c>
      <c r="G343" s="2"/>
    </row>
    <row r="344" spans="2:7" ht="15" customHeight="1" x14ac:dyDescent="0.25">
      <c r="B344" s="1"/>
      <c r="C344" s="113">
        <v>327</v>
      </c>
      <c r="D344" s="110"/>
      <c r="E344" s="110"/>
      <c r="F344" s="19" t="str">
        <f t="shared" si="5"/>
        <v/>
      </c>
      <c r="G344" s="2"/>
    </row>
    <row r="345" spans="2:7" ht="15" customHeight="1" x14ac:dyDescent="0.25">
      <c r="B345" s="1"/>
      <c r="C345" s="113">
        <v>328</v>
      </c>
      <c r="D345" s="110"/>
      <c r="E345" s="110"/>
      <c r="F345" s="19" t="str">
        <f t="shared" si="5"/>
        <v/>
      </c>
      <c r="G345" s="2"/>
    </row>
    <row r="346" spans="2:7" ht="15" customHeight="1" x14ac:dyDescent="0.25">
      <c r="B346" s="1"/>
      <c r="C346" s="113">
        <v>329</v>
      </c>
      <c r="D346" s="110"/>
      <c r="E346" s="110"/>
      <c r="F346" s="19" t="str">
        <f t="shared" si="5"/>
        <v/>
      </c>
      <c r="G346" s="2"/>
    </row>
    <row r="347" spans="2:7" ht="15" customHeight="1" x14ac:dyDescent="0.25">
      <c r="B347" s="1"/>
      <c r="C347" s="113">
        <v>330</v>
      </c>
      <c r="D347" s="110"/>
      <c r="E347" s="110"/>
      <c r="F347" s="19" t="str">
        <f t="shared" si="5"/>
        <v/>
      </c>
      <c r="G347" s="2"/>
    </row>
    <row r="348" spans="2:7" ht="15" customHeight="1" x14ac:dyDescent="0.25">
      <c r="B348" s="1"/>
      <c r="C348" s="113">
        <v>331</v>
      </c>
      <c r="D348" s="110"/>
      <c r="E348" s="110"/>
      <c r="F348" s="19" t="str">
        <f t="shared" si="5"/>
        <v/>
      </c>
      <c r="G348" s="2"/>
    </row>
    <row r="349" spans="2:7" ht="15" customHeight="1" x14ac:dyDescent="0.25">
      <c r="B349" s="1"/>
      <c r="C349" s="113">
        <v>332</v>
      </c>
      <c r="D349" s="110"/>
      <c r="E349" s="110"/>
      <c r="F349" s="19" t="str">
        <f t="shared" si="5"/>
        <v/>
      </c>
      <c r="G349" s="2"/>
    </row>
    <row r="350" spans="2:7" ht="15" customHeight="1" x14ac:dyDescent="0.25">
      <c r="B350" s="1"/>
      <c r="C350" s="113">
        <v>333</v>
      </c>
      <c r="D350" s="110"/>
      <c r="E350" s="110"/>
      <c r="F350" s="19" t="str">
        <f t="shared" si="5"/>
        <v/>
      </c>
      <c r="G350" s="2"/>
    </row>
    <row r="351" spans="2:7" ht="15" customHeight="1" x14ac:dyDescent="0.25">
      <c r="B351" s="1"/>
      <c r="C351" s="113">
        <v>334</v>
      </c>
      <c r="D351" s="110"/>
      <c r="E351" s="110"/>
      <c r="F351" s="19" t="str">
        <f t="shared" si="5"/>
        <v/>
      </c>
      <c r="G351" s="2"/>
    </row>
    <row r="352" spans="2:7" ht="15" customHeight="1" x14ac:dyDescent="0.25">
      <c r="B352" s="1"/>
      <c r="C352" s="113">
        <v>335</v>
      </c>
      <c r="D352" s="110"/>
      <c r="E352" s="110"/>
      <c r="F352" s="19" t="str">
        <f t="shared" si="5"/>
        <v/>
      </c>
      <c r="G352" s="2"/>
    </row>
    <row r="353" spans="2:7" ht="15" customHeight="1" x14ac:dyDescent="0.25">
      <c r="B353" s="1"/>
      <c r="C353" s="113">
        <v>336</v>
      </c>
      <c r="D353" s="110"/>
      <c r="E353" s="110"/>
      <c r="F353" s="19" t="str">
        <f t="shared" si="5"/>
        <v/>
      </c>
      <c r="G353" s="2"/>
    </row>
    <row r="354" spans="2:7" ht="15" customHeight="1" x14ac:dyDescent="0.25">
      <c r="B354" s="1"/>
      <c r="C354" s="113">
        <v>337</v>
      </c>
      <c r="D354" s="110"/>
      <c r="E354" s="110"/>
      <c r="F354" s="19" t="str">
        <f t="shared" si="5"/>
        <v/>
      </c>
      <c r="G354" s="2"/>
    </row>
    <row r="355" spans="2:7" ht="15" customHeight="1" x14ac:dyDescent="0.25">
      <c r="B355" s="1"/>
      <c r="C355" s="113">
        <v>338</v>
      </c>
      <c r="D355" s="110"/>
      <c r="E355" s="110"/>
      <c r="F355" s="19" t="str">
        <f t="shared" si="5"/>
        <v/>
      </c>
      <c r="G355" s="2"/>
    </row>
    <row r="356" spans="2:7" ht="15" customHeight="1" x14ac:dyDescent="0.25">
      <c r="B356" s="1"/>
      <c r="C356" s="113">
        <v>339</v>
      </c>
      <c r="D356" s="110"/>
      <c r="E356" s="110"/>
      <c r="F356" s="19" t="str">
        <f t="shared" si="5"/>
        <v/>
      </c>
      <c r="G356" s="2"/>
    </row>
    <row r="357" spans="2:7" ht="15" customHeight="1" x14ac:dyDescent="0.25">
      <c r="B357" s="1"/>
      <c r="C357" s="113">
        <v>340</v>
      </c>
      <c r="D357" s="110"/>
      <c r="E357" s="110"/>
      <c r="F357" s="19" t="str">
        <f t="shared" si="5"/>
        <v/>
      </c>
      <c r="G357" s="2"/>
    </row>
    <row r="358" spans="2:7" ht="15" customHeight="1" x14ac:dyDescent="0.25">
      <c r="B358" s="1"/>
      <c r="C358" s="113">
        <v>341</v>
      </c>
      <c r="D358" s="110"/>
      <c r="E358" s="110"/>
      <c r="F358" s="19" t="str">
        <f t="shared" si="5"/>
        <v/>
      </c>
      <c r="G358" s="2"/>
    </row>
    <row r="359" spans="2:7" ht="15" customHeight="1" x14ac:dyDescent="0.25">
      <c r="B359" s="1"/>
      <c r="C359" s="113">
        <v>342</v>
      </c>
      <c r="D359" s="110"/>
      <c r="E359" s="110"/>
      <c r="F359" s="19" t="str">
        <f t="shared" si="5"/>
        <v/>
      </c>
      <c r="G359" s="2"/>
    </row>
    <row r="360" spans="2:7" ht="15" customHeight="1" x14ac:dyDescent="0.25">
      <c r="B360" s="1"/>
      <c r="C360" s="113">
        <v>343</v>
      </c>
      <c r="D360" s="110"/>
      <c r="E360" s="110"/>
      <c r="F360" s="19" t="str">
        <f t="shared" si="5"/>
        <v/>
      </c>
      <c r="G360" s="2"/>
    </row>
    <row r="361" spans="2:7" ht="15" customHeight="1" x14ac:dyDescent="0.25">
      <c r="B361" s="1"/>
      <c r="C361" s="113">
        <v>344</v>
      </c>
      <c r="D361" s="110"/>
      <c r="E361" s="110"/>
      <c r="F361" s="19" t="str">
        <f t="shared" si="5"/>
        <v/>
      </c>
      <c r="G361" s="2"/>
    </row>
    <row r="362" spans="2:7" ht="15" customHeight="1" x14ac:dyDescent="0.25">
      <c r="B362" s="1"/>
      <c r="C362" s="113">
        <v>345</v>
      </c>
      <c r="D362" s="110"/>
      <c r="E362" s="110"/>
      <c r="F362" s="19" t="str">
        <f t="shared" si="5"/>
        <v/>
      </c>
      <c r="G362" s="2"/>
    </row>
    <row r="363" spans="2:7" ht="15" customHeight="1" x14ac:dyDescent="0.25">
      <c r="B363" s="1"/>
      <c r="C363" s="113">
        <v>346</v>
      </c>
      <c r="D363" s="110"/>
      <c r="E363" s="110"/>
      <c r="F363" s="19" t="str">
        <f t="shared" si="5"/>
        <v/>
      </c>
      <c r="G363" s="2"/>
    </row>
    <row r="364" spans="2:7" ht="15" customHeight="1" x14ac:dyDescent="0.25">
      <c r="B364" s="1"/>
      <c r="C364" s="113">
        <v>347</v>
      </c>
      <c r="D364" s="110"/>
      <c r="E364" s="110"/>
      <c r="F364" s="19" t="str">
        <f t="shared" si="5"/>
        <v/>
      </c>
      <c r="G364" s="2"/>
    </row>
    <row r="365" spans="2:7" ht="15" customHeight="1" x14ac:dyDescent="0.25">
      <c r="B365" s="1"/>
      <c r="C365" s="113">
        <v>348</v>
      </c>
      <c r="D365" s="110"/>
      <c r="E365" s="110"/>
      <c r="F365" s="19" t="str">
        <f t="shared" si="5"/>
        <v/>
      </c>
      <c r="G365" s="2"/>
    </row>
    <row r="366" spans="2:7" ht="15" customHeight="1" x14ac:dyDescent="0.25">
      <c r="B366" s="1"/>
      <c r="C366" s="113">
        <v>349</v>
      </c>
      <c r="D366" s="110"/>
      <c r="E366" s="110"/>
      <c r="F366" s="19" t="str">
        <f t="shared" si="5"/>
        <v/>
      </c>
      <c r="G366" s="2"/>
    </row>
    <row r="367" spans="2:7" ht="15" customHeight="1" x14ac:dyDescent="0.25">
      <c r="B367" s="1"/>
      <c r="C367" s="113">
        <v>350</v>
      </c>
      <c r="D367" s="110"/>
      <c r="E367" s="110"/>
      <c r="F367" s="19" t="str">
        <f t="shared" si="5"/>
        <v/>
      </c>
      <c r="G367" s="2"/>
    </row>
    <row r="368" spans="2:7" ht="15" customHeight="1" x14ac:dyDescent="0.25">
      <c r="B368" s="1"/>
      <c r="C368" s="113">
        <v>351</v>
      </c>
      <c r="D368" s="110"/>
      <c r="E368" s="110"/>
      <c r="F368" s="19" t="str">
        <f t="shared" si="5"/>
        <v/>
      </c>
      <c r="G368" s="2"/>
    </row>
    <row r="369" spans="2:7" ht="15" customHeight="1" x14ac:dyDescent="0.25">
      <c r="B369" s="1"/>
      <c r="C369" s="113">
        <v>352</v>
      </c>
      <c r="D369" s="110"/>
      <c r="E369" s="110"/>
      <c r="F369" s="19" t="str">
        <f t="shared" si="5"/>
        <v/>
      </c>
      <c r="G369" s="2"/>
    </row>
    <row r="370" spans="2:7" ht="15" customHeight="1" x14ac:dyDescent="0.25">
      <c r="B370" s="1"/>
      <c r="C370" s="113">
        <v>353</v>
      </c>
      <c r="D370" s="110"/>
      <c r="E370" s="110"/>
      <c r="F370" s="19" t="str">
        <f t="shared" si="5"/>
        <v/>
      </c>
      <c r="G370" s="2"/>
    </row>
    <row r="371" spans="2:7" ht="15" customHeight="1" x14ac:dyDescent="0.25">
      <c r="B371" s="1"/>
      <c r="C371" s="113">
        <v>354</v>
      </c>
      <c r="D371" s="110"/>
      <c r="E371" s="110"/>
      <c r="F371" s="19" t="str">
        <f t="shared" si="5"/>
        <v/>
      </c>
      <c r="G371" s="2"/>
    </row>
    <row r="372" spans="2:7" ht="15" customHeight="1" x14ac:dyDescent="0.25">
      <c r="B372" s="1"/>
      <c r="C372" s="113">
        <v>355</v>
      </c>
      <c r="D372" s="110"/>
      <c r="E372" s="110"/>
      <c r="F372" s="19" t="str">
        <f t="shared" si="5"/>
        <v/>
      </c>
      <c r="G372" s="2"/>
    </row>
    <row r="373" spans="2:7" ht="15" customHeight="1" x14ac:dyDescent="0.25">
      <c r="B373" s="1"/>
      <c r="C373" s="113">
        <v>356</v>
      </c>
      <c r="D373" s="110"/>
      <c r="E373" s="110"/>
      <c r="F373" s="19" t="str">
        <f t="shared" si="5"/>
        <v/>
      </c>
      <c r="G373" s="2"/>
    </row>
    <row r="374" spans="2:7" ht="15" customHeight="1" x14ac:dyDescent="0.25">
      <c r="B374" s="1"/>
      <c r="C374" s="113">
        <v>357</v>
      </c>
      <c r="D374" s="110"/>
      <c r="E374" s="110"/>
      <c r="F374" s="19" t="str">
        <f t="shared" si="5"/>
        <v/>
      </c>
      <c r="G374" s="2"/>
    </row>
    <row r="375" spans="2:7" ht="15" customHeight="1" x14ac:dyDescent="0.25">
      <c r="B375" s="1"/>
      <c r="C375" s="113">
        <v>358</v>
      </c>
      <c r="D375" s="110"/>
      <c r="E375" s="110"/>
      <c r="F375" s="19" t="str">
        <f t="shared" si="5"/>
        <v/>
      </c>
      <c r="G375" s="2"/>
    </row>
    <row r="376" spans="2:7" ht="15" customHeight="1" x14ac:dyDescent="0.25">
      <c r="B376" s="1"/>
      <c r="C376" s="113">
        <v>359</v>
      </c>
      <c r="D376" s="110"/>
      <c r="E376" s="110"/>
      <c r="F376" s="19" t="str">
        <f t="shared" si="5"/>
        <v/>
      </c>
      <c r="G376" s="2"/>
    </row>
    <row r="377" spans="2:7" ht="15" customHeight="1" x14ac:dyDescent="0.25">
      <c r="B377" s="1"/>
      <c r="C377" s="113">
        <v>360</v>
      </c>
      <c r="D377" s="110"/>
      <c r="E377" s="110"/>
      <c r="F377" s="19" t="str">
        <f t="shared" si="5"/>
        <v/>
      </c>
      <c r="G377" s="2"/>
    </row>
    <row r="378" spans="2:7" ht="15" customHeight="1" x14ac:dyDescent="0.25">
      <c r="B378" s="1"/>
      <c r="C378" s="113">
        <v>361</v>
      </c>
      <c r="D378" s="110"/>
      <c r="E378" s="110"/>
      <c r="F378" s="19" t="str">
        <f t="shared" si="5"/>
        <v/>
      </c>
      <c r="G378" s="2"/>
    </row>
    <row r="379" spans="2:7" ht="15" customHeight="1" x14ac:dyDescent="0.25">
      <c r="B379" s="1"/>
      <c r="C379" s="113">
        <v>362</v>
      </c>
      <c r="D379" s="110"/>
      <c r="E379" s="110"/>
      <c r="F379" s="19" t="str">
        <f t="shared" si="5"/>
        <v/>
      </c>
      <c r="G379" s="2"/>
    </row>
    <row r="380" spans="2:7" ht="15" customHeight="1" x14ac:dyDescent="0.25">
      <c r="B380" s="1"/>
      <c r="C380" s="113">
        <v>363</v>
      </c>
      <c r="D380" s="110"/>
      <c r="E380" s="110"/>
      <c r="F380" s="19" t="str">
        <f t="shared" si="5"/>
        <v/>
      </c>
      <c r="G380" s="2"/>
    </row>
    <row r="381" spans="2:7" ht="15" customHeight="1" x14ac:dyDescent="0.25">
      <c r="B381" s="1"/>
      <c r="C381" s="113">
        <v>364</v>
      </c>
      <c r="D381" s="110"/>
      <c r="E381" s="110"/>
      <c r="F381" s="19" t="str">
        <f t="shared" si="5"/>
        <v/>
      </c>
      <c r="G381" s="2"/>
    </row>
    <row r="382" spans="2:7" ht="15" customHeight="1" x14ac:dyDescent="0.25">
      <c r="B382" s="1"/>
      <c r="C382" s="113">
        <v>365</v>
      </c>
      <c r="D382" s="110"/>
      <c r="E382" s="110"/>
      <c r="F382" s="19" t="str">
        <f t="shared" si="5"/>
        <v/>
      </c>
      <c r="G382" s="2"/>
    </row>
    <row r="383" spans="2:7" ht="15" customHeight="1" x14ac:dyDescent="0.25">
      <c r="B383" s="1"/>
      <c r="C383" s="113">
        <v>366</v>
      </c>
      <c r="D383" s="110"/>
      <c r="E383" s="110"/>
      <c r="F383" s="19" t="str">
        <f t="shared" si="5"/>
        <v/>
      </c>
      <c r="G383" s="2"/>
    </row>
    <row r="384" spans="2:7" ht="15" customHeight="1" x14ac:dyDescent="0.25">
      <c r="B384" s="1"/>
      <c r="C384" s="113">
        <v>367</v>
      </c>
      <c r="D384" s="110"/>
      <c r="E384" s="110"/>
      <c r="F384" s="19" t="str">
        <f t="shared" si="5"/>
        <v/>
      </c>
      <c r="G384" s="2"/>
    </row>
    <row r="385" spans="2:7" ht="15" customHeight="1" x14ac:dyDescent="0.25">
      <c r="B385" s="1"/>
      <c r="C385" s="113">
        <v>368</v>
      </c>
      <c r="D385" s="110"/>
      <c r="E385" s="110"/>
      <c r="F385" s="19" t="str">
        <f t="shared" si="5"/>
        <v/>
      </c>
      <c r="G385" s="2"/>
    </row>
    <row r="386" spans="2:7" ht="15" customHeight="1" x14ac:dyDescent="0.25">
      <c r="B386" s="1"/>
      <c r="C386" s="113">
        <v>369</v>
      </c>
      <c r="D386" s="110"/>
      <c r="E386" s="110"/>
      <c r="F386" s="19" t="str">
        <f t="shared" si="5"/>
        <v/>
      </c>
      <c r="G386" s="2"/>
    </row>
    <row r="387" spans="2:7" ht="15" customHeight="1" x14ac:dyDescent="0.25">
      <c r="B387" s="1"/>
      <c r="C387" s="113">
        <v>370</v>
      </c>
      <c r="D387" s="110"/>
      <c r="E387" s="110"/>
      <c r="F387" s="19" t="str">
        <f t="shared" si="5"/>
        <v/>
      </c>
      <c r="G387" s="2"/>
    </row>
    <row r="388" spans="2:7" ht="15" customHeight="1" x14ac:dyDescent="0.25">
      <c r="B388" s="1"/>
      <c r="C388" s="113">
        <v>371</v>
      </c>
      <c r="D388" s="110"/>
      <c r="E388" s="110"/>
      <c r="F388" s="19" t="str">
        <f t="shared" si="5"/>
        <v/>
      </c>
      <c r="G388" s="2"/>
    </row>
    <row r="389" spans="2:7" ht="15" customHeight="1" x14ac:dyDescent="0.25">
      <c r="B389" s="1"/>
      <c r="C389" s="113">
        <v>372</v>
      </c>
      <c r="D389" s="110"/>
      <c r="E389" s="110"/>
      <c r="F389" s="19" t="str">
        <f t="shared" si="5"/>
        <v/>
      </c>
      <c r="G389" s="2"/>
    </row>
    <row r="390" spans="2:7" ht="15" customHeight="1" x14ac:dyDescent="0.25">
      <c r="B390" s="1"/>
      <c r="C390" s="113">
        <v>373</v>
      </c>
      <c r="D390" s="110"/>
      <c r="E390" s="110"/>
      <c r="F390" s="19" t="str">
        <f t="shared" si="5"/>
        <v/>
      </c>
      <c r="G390" s="2"/>
    </row>
    <row r="391" spans="2:7" ht="15" customHeight="1" x14ac:dyDescent="0.25">
      <c r="B391" s="1"/>
      <c r="C391" s="113">
        <v>374</v>
      </c>
      <c r="D391" s="110"/>
      <c r="E391" s="110"/>
      <c r="F391" s="19" t="str">
        <f t="shared" si="5"/>
        <v/>
      </c>
      <c r="G391" s="2"/>
    </row>
    <row r="392" spans="2:7" ht="15" customHeight="1" x14ac:dyDescent="0.25">
      <c r="B392" s="1"/>
      <c r="C392" s="113">
        <v>375</v>
      </c>
      <c r="D392" s="110"/>
      <c r="E392" s="110"/>
      <c r="F392" s="19" t="str">
        <f t="shared" si="5"/>
        <v/>
      </c>
      <c r="G392" s="2"/>
    </row>
    <row r="393" spans="2:7" ht="15" customHeight="1" x14ac:dyDescent="0.25">
      <c r="B393" s="1"/>
      <c r="C393" s="113">
        <v>376</v>
      </c>
      <c r="D393" s="110"/>
      <c r="E393" s="110"/>
      <c r="F393" s="19" t="str">
        <f t="shared" si="5"/>
        <v/>
      </c>
      <c r="G393" s="2"/>
    </row>
    <row r="394" spans="2:7" ht="15" customHeight="1" x14ac:dyDescent="0.25">
      <c r="B394" s="1"/>
      <c r="C394" s="113">
        <v>377</v>
      </c>
      <c r="D394" s="110"/>
      <c r="E394" s="110"/>
      <c r="F394" s="19" t="str">
        <f t="shared" si="5"/>
        <v/>
      </c>
      <c r="G394" s="2"/>
    </row>
    <row r="395" spans="2:7" ht="15" customHeight="1" x14ac:dyDescent="0.25">
      <c r="B395" s="1"/>
      <c r="C395" s="113">
        <v>378</v>
      </c>
      <c r="D395" s="110"/>
      <c r="E395" s="110"/>
      <c r="F395" s="19" t="str">
        <f t="shared" si="5"/>
        <v/>
      </c>
      <c r="G395" s="2"/>
    </row>
    <row r="396" spans="2:7" ht="15" customHeight="1" x14ac:dyDescent="0.25">
      <c r="B396" s="1"/>
      <c r="C396" s="113">
        <v>379</v>
      </c>
      <c r="D396" s="110"/>
      <c r="E396" s="110"/>
      <c r="F396" s="19" t="str">
        <f t="shared" si="5"/>
        <v/>
      </c>
      <c r="G396" s="2"/>
    </row>
    <row r="397" spans="2:7" ht="15" customHeight="1" x14ac:dyDescent="0.25">
      <c r="B397" s="1"/>
      <c r="C397" s="113">
        <v>380</v>
      </c>
      <c r="D397" s="110"/>
      <c r="E397" s="110"/>
      <c r="F397" s="19" t="str">
        <f t="shared" si="5"/>
        <v/>
      </c>
      <c r="G397" s="2"/>
    </row>
    <row r="398" spans="2:7" ht="15" customHeight="1" x14ac:dyDescent="0.25">
      <c r="B398" s="1"/>
      <c r="C398" s="113">
        <v>381</v>
      </c>
      <c r="D398" s="110"/>
      <c r="E398" s="110"/>
      <c r="F398" s="19" t="str">
        <f t="shared" si="5"/>
        <v/>
      </c>
      <c r="G398" s="2"/>
    </row>
    <row r="399" spans="2:7" ht="15" customHeight="1" x14ac:dyDescent="0.25">
      <c r="B399" s="1"/>
      <c r="C399" s="113">
        <v>382</v>
      </c>
      <c r="D399" s="110"/>
      <c r="E399" s="110"/>
      <c r="F399" s="19" t="str">
        <f t="shared" si="5"/>
        <v/>
      </c>
      <c r="G399" s="2"/>
    </row>
    <row r="400" spans="2:7" ht="15" customHeight="1" x14ac:dyDescent="0.25">
      <c r="B400" s="1"/>
      <c r="C400" s="113">
        <v>383</v>
      </c>
      <c r="D400" s="110"/>
      <c r="E400" s="110"/>
      <c r="F400" s="19" t="str">
        <f t="shared" si="5"/>
        <v/>
      </c>
      <c r="G400" s="2"/>
    </row>
    <row r="401" spans="2:7" ht="15" customHeight="1" x14ac:dyDescent="0.25">
      <c r="B401" s="1"/>
      <c r="C401" s="113">
        <v>384</v>
      </c>
      <c r="D401" s="110"/>
      <c r="E401" s="110"/>
      <c r="F401" s="19" t="str">
        <f t="shared" si="5"/>
        <v/>
      </c>
      <c r="G401" s="2"/>
    </row>
    <row r="402" spans="2:7" ht="15" customHeight="1" x14ac:dyDescent="0.25">
      <c r="B402" s="1"/>
      <c r="C402" s="113">
        <v>385</v>
      </c>
      <c r="D402" s="110"/>
      <c r="E402" s="110"/>
      <c r="F402" s="19" t="str">
        <f t="shared" si="5"/>
        <v/>
      </c>
      <c r="G402" s="2"/>
    </row>
    <row r="403" spans="2:7" ht="15" customHeight="1" x14ac:dyDescent="0.25">
      <c r="B403" s="1"/>
      <c r="C403" s="113">
        <v>386</v>
      </c>
      <c r="D403" s="110"/>
      <c r="E403" s="110"/>
      <c r="F403" s="19" t="str">
        <f t="shared" ref="F403:F466" si="6">IFERROR(IF(AND(LEFT(D403,6)=LEFT(E403,6),RIGHT(E403,9)-RIGHT(D403,9)&gt;=0),RIGHT(E403,9)-RIGHT(D403,9)+1,""),"")</f>
        <v/>
      </c>
      <c r="G403" s="2"/>
    </row>
    <row r="404" spans="2:7" ht="15" customHeight="1" x14ac:dyDescent="0.25">
      <c r="B404" s="1"/>
      <c r="C404" s="113">
        <v>387</v>
      </c>
      <c r="D404" s="110"/>
      <c r="E404" s="110"/>
      <c r="F404" s="19" t="str">
        <f t="shared" si="6"/>
        <v/>
      </c>
      <c r="G404" s="2"/>
    </row>
    <row r="405" spans="2:7" ht="15" customHeight="1" x14ac:dyDescent="0.25">
      <c r="B405" s="1"/>
      <c r="C405" s="113">
        <v>388</v>
      </c>
      <c r="D405" s="110"/>
      <c r="E405" s="110"/>
      <c r="F405" s="19" t="str">
        <f t="shared" si="6"/>
        <v/>
      </c>
      <c r="G405" s="2"/>
    </row>
    <row r="406" spans="2:7" ht="15" customHeight="1" x14ac:dyDescent="0.25">
      <c r="B406" s="1"/>
      <c r="C406" s="113">
        <v>389</v>
      </c>
      <c r="D406" s="110"/>
      <c r="E406" s="110"/>
      <c r="F406" s="19" t="str">
        <f t="shared" si="6"/>
        <v/>
      </c>
      <c r="G406" s="2"/>
    </row>
    <row r="407" spans="2:7" ht="15" customHeight="1" x14ac:dyDescent="0.25">
      <c r="B407" s="1"/>
      <c r="C407" s="113">
        <v>390</v>
      </c>
      <c r="D407" s="110"/>
      <c r="E407" s="110"/>
      <c r="F407" s="19" t="str">
        <f t="shared" si="6"/>
        <v/>
      </c>
      <c r="G407" s="2"/>
    </row>
    <row r="408" spans="2:7" ht="15" customHeight="1" x14ac:dyDescent="0.25">
      <c r="B408" s="1"/>
      <c r="C408" s="113">
        <v>391</v>
      </c>
      <c r="D408" s="110"/>
      <c r="E408" s="110"/>
      <c r="F408" s="19" t="str">
        <f t="shared" si="6"/>
        <v/>
      </c>
      <c r="G408" s="2"/>
    </row>
    <row r="409" spans="2:7" ht="15" customHeight="1" x14ac:dyDescent="0.25">
      <c r="B409" s="1"/>
      <c r="C409" s="113">
        <v>392</v>
      </c>
      <c r="D409" s="110"/>
      <c r="E409" s="110"/>
      <c r="F409" s="19" t="str">
        <f t="shared" si="6"/>
        <v/>
      </c>
      <c r="G409" s="2"/>
    </row>
    <row r="410" spans="2:7" ht="15" customHeight="1" x14ac:dyDescent="0.25">
      <c r="B410" s="1"/>
      <c r="C410" s="113">
        <v>393</v>
      </c>
      <c r="D410" s="110"/>
      <c r="E410" s="110"/>
      <c r="F410" s="19" t="str">
        <f t="shared" si="6"/>
        <v/>
      </c>
      <c r="G410" s="2"/>
    </row>
    <row r="411" spans="2:7" ht="15" customHeight="1" x14ac:dyDescent="0.25">
      <c r="B411" s="1"/>
      <c r="C411" s="113">
        <v>394</v>
      </c>
      <c r="D411" s="110"/>
      <c r="E411" s="110"/>
      <c r="F411" s="19" t="str">
        <f t="shared" si="6"/>
        <v/>
      </c>
      <c r="G411" s="2"/>
    </row>
    <row r="412" spans="2:7" ht="15" customHeight="1" x14ac:dyDescent="0.25">
      <c r="B412" s="1"/>
      <c r="C412" s="113">
        <v>395</v>
      </c>
      <c r="D412" s="110"/>
      <c r="E412" s="110"/>
      <c r="F412" s="19" t="str">
        <f t="shared" si="6"/>
        <v/>
      </c>
      <c r="G412" s="2"/>
    </row>
    <row r="413" spans="2:7" ht="15" customHeight="1" x14ac:dyDescent="0.25">
      <c r="B413" s="1"/>
      <c r="C413" s="113">
        <v>396</v>
      </c>
      <c r="D413" s="110"/>
      <c r="E413" s="110"/>
      <c r="F413" s="19" t="str">
        <f t="shared" si="6"/>
        <v/>
      </c>
      <c r="G413" s="2"/>
    </row>
    <row r="414" spans="2:7" ht="15" customHeight="1" x14ac:dyDescent="0.25">
      <c r="B414" s="1"/>
      <c r="C414" s="113">
        <v>397</v>
      </c>
      <c r="D414" s="110"/>
      <c r="E414" s="110"/>
      <c r="F414" s="19" t="str">
        <f t="shared" si="6"/>
        <v/>
      </c>
      <c r="G414" s="2"/>
    </row>
    <row r="415" spans="2:7" ht="15" customHeight="1" x14ac:dyDescent="0.25">
      <c r="B415" s="1"/>
      <c r="C415" s="113">
        <v>398</v>
      </c>
      <c r="D415" s="110"/>
      <c r="E415" s="110"/>
      <c r="F415" s="19" t="str">
        <f t="shared" si="6"/>
        <v/>
      </c>
      <c r="G415" s="2"/>
    </row>
    <row r="416" spans="2:7" ht="15" customHeight="1" x14ac:dyDescent="0.25">
      <c r="B416" s="1"/>
      <c r="C416" s="113">
        <v>399</v>
      </c>
      <c r="D416" s="110"/>
      <c r="E416" s="110"/>
      <c r="F416" s="19" t="str">
        <f t="shared" si="6"/>
        <v/>
      </c>
      <c r="G416" s="2"/>
    </row>
    <row r="417" spans="2:7" ht="15" customHeight="1" x14ac:dyDescent="0.25">
      <c r="B417" s="1"/>
      <c r="C417" s="113">
        <v>400</v>
      </c>
      <c r="D417" s="110"/>
      <c r="E417" s="110"/>
      <c r="F417" s="19" t="str">
        <f t="shared" si="6"/>
        <v/>
      </c>
      <c r="G417" s="2"/>
    </row>
    <row r="418" spans="2:7" ht="15" customHeight="1" x14ac:dyDescent="0.25">
      <c r="B418" s="1"/>
      <c r="C418" s="113">
        <v>401</v>
      </c>
      <c r="D418" s="110"/>
      <c r="E418" s="110"/>
      <c r="F418" s="19" t="str">
        <f t="shared" si="6"/>
        <v/>
      </c>
      <c r="G418" s="2"/>
    </row>
    <row r="419" spans="2:7" ht="15" customHeight="1" x14ac:dyDescent="0.25">
      <c r="B419" s="1"/>
      <c r="C419" s="113">
        <v>402</v>
      </c>
      <c r="D419" s="110"/>
      <c r="E419" s="110"/>
      <c r="F419" s="19" t="str">
        <f t="shared" si="6"/>
        <v/>
      </c>
      <c r="G419" s="2"/>
    </row>
    <row r="420" spans="2:7" ht="15" customHeight="1" x14ac:dyDescent="0.25">
      <c r="B420" s="1"/>
      <c r="C420" s="113">
        <v>403</v>
      </c>
      <c r="D420" s="110"/>
      <c r="E420" s="110"/>
      <c r="F420" s="19" t="str">
        <f t="shared" si="6"/>
        <v/>
      </c>
      <c r="G420" s="2"/>
    </row>
    <row r="421" spans="2:7" ht="15" customHeight="1" x14ac:dyDescent="0.25">
      <c r="B421" s="1"/>
      <c r="C421" s="113">
        <v>404</v>
      </c>
      <c r="D421" s="110"/>
      <c r="E421" s="110"/>
      <c r="F421" s="19" t="str">
        <f t="shared" si="6"/>
        <v/>
      </c>
      <c r="G421" s="2"/>
    </row>
    <row r="422" spans="2:7" ht="15" customHeight="1" x14ac:dyDescent="0.25">
      <c r="B422" s="1"/>
      <c r="C422" s="113">
        <v>405</v>
      </c>
      <c r="D422" s="110"/>
      <c r="E422" s="110"/>
      <c r="F422" s="19" t="str">
        <f t="shared" si="6"/>
        <v/>
      </c>
      <c r="G422" s="2"/>
    </row>
    <row r="423" spans="2:7" ht="15" customHeight="1" x14ac:dyDescent="0.25">
      <c r="B423" s="1"/>
      <c r="C423" s="113">
        <v>406</v>
      </c>
      <c r="D423" s="110"/>
      <c r="E423" s="110"/>
      <c r="F423" s="19" t="str">
        <f t="shared" si="6"/>
        <v/>
      </c>
      <c r="G423" s="2"/>
    </row>
    <row r="424" spans="2:7" ht="15" customHeight="1" x14ac:dyDescent="0.25">
      <c r="B424" s="1"/>
      <c r="C424" s="113">
        <v>407</v>
      </c>
      <c r="D424" s="110"/>
      <c r="E424" s="110"/>
      <c r="F424" s="19" t="str">
        <f t="shared" si="6"/>
        <v/>
      </c>
      <c r="G424" s="2"/>
    </row>
    <row r="425" spans="2:7" ht="15" customHeight="1" x14ac:dyDescent="0.25">
      <c r="B425" s="1"/>
      <c r="C425" s="113">
        <v>408</v>
      </c>
      <c r="D425" s="110"/>
      <c r="E425" s="110"/>
      <c r="F425" s="19" t="str">
        <f t="shared" si="6"/>
        <v/>
      </c>
      <c r="G425" s="2"/>
    </row>
    <row r="426" spans="2:7" ht="15" customHeight="1" x14ac:dyDescent="0.25">
      <c r="B426" s="1"/>
      <c r="C426" s="113">
        <v>409</v>
      </c>
      <c r="D426" s="110"/>
      <c r="E426" s="110"/>
      <c r="F426" s="19" t="str">
        <f t="shared" si="6"/>
        <v/>
      </c>
      <c r="G426" s="2"/>
    </row>
    <row r="427" spans="2:7" ht="15" customHeight="1" x14ac:dyDescent="0.25">
      <c r="B427" s="1"/>
      <c r="C427" s="113">
        <v>410</v>
      </c>
      <c r="D427" s="110"/>
      <c r="E427" s="110"/>
      <c r="F427" s="19" t="str">
        <f t="shared" si="6"/>
        <v/>
      </c>
      <c r="G427" s="2"/>
    </row>
    <row r="428" spans="2:7" ht="15" customHeight="1" x14ac:dyDescent="0.25">
      <c r="B428" s="1"/>
      <c r="C428" s="113">
        <v>411</v>
      </c>
      <c r="D428" s="110"/>
      <c r="E428" s="110"/>
      <c r="F428" s="19" t="str">
        <f t="shared" si="6"/>
        <v/>
      </c>
      <c r="G428" s="2"/>
    </row>
    <row r="429" spans="2:7" ht="15" customHeight="1" x14ac:dyDescent="0.25">
      <c r="B429" s="1"/>
      <c r="C429" s="113">
        <v>412</v>
      </c>
      <c r="D429" s="110"/>
      <c r="E429" s="110"/>
      <c r="F429" s="19" t="str">
        <f t="shared" si="6"/>
        <v/>
      </c>
      <c r="G429" s="2"/>
    </row>
    <row r="430" spans="2:7" ht="15" customHeight="1" x14ac:dyDescent="0.25">
      <c r="B430" s="1"/>
      <c r="C430" s="113">
        <v>413</v>
      </c>
      <c r="D430" s="110"/>
      <c r="E430" s="110"/>
      <c r="F430" s="19" t="str">
        <f t="shared" si="6"/>
        <v/>
      </c>
      <c r="G430" s="2"/>
    </row>
    <row r="431" spans="2:7" ht="15" customHeight="1" x14ac:dyDescent="0.25">
      <c r="B431" s="1"/>
      <c r="C431" s="113">
        <v>414</v>
      </c>
      <c r="D431" s="110"/>
      <c r="E431" s="110"/>
      <c r="F431" s="19" t="str">
        <f t="shared" si="6"/>
        <v/>
      </c>
      <c r="G431" s="2"/>
    </row>
    <row r="432" spans="2:7" ht="15" customHeight="1" x14ac:dyDescent="0.25">
      <c r="B432" s="1"/>
      <c r="C432" s="113">
        <v>415</v>
      </c>
      <c r="D432" s="110"/>
      <c r="E432" s="110"/>
      <c r="F432" s="19" t="str">
        <f t="shared" si="6"/>
        <v/>
      </c>
      <c r="G432" s="2"/>
    </row>
    <row r="433" spans="2:7" ht="15" customHeight="1" x14ac:dyDescent="0.25">
      <c r="B433" s="1"/>
      <c r="C433" s="113">
        <v>416</v>
      </c>
      <c r="D433" s="110"/>
      <c r="E433" s="110"/>
      <c r="F433" s="19" t="str">
        <f t="shared" si="6"/>
        <v/>
      </c>
      <c r="G433" s="2"/>
    </row>
    <row r="434" spans="2:7" ht="15" customHeight="1" x14ac:dyDescent="0.25">
      <c r="B434" s="1"/>
      <c r="C434" s="113">
        <v>417</v>
      </c>
      <c r="D434" s="110"/>
      <c r="E434" s="110"/>
      <c r="F434" s="19" t="str">
        <f t="shared" si="6"/>
        <v/>
      </c>
      <c r="G434" s="2"/>
    </row>
    <row r="435" spans="2:7" ht="15" customHeight="1" x14ac:dyDescent="0.25">
      <c r="B435" s="1"/>
      <c r="C435" s="113">
        <v>418</v>
      </c>
      <c r="D435" s="110"/>
      <c r="E435" s="110"/>
      <c r="F435" s="19" t="str">
        <f t="shared" si="6"/>
        <v/>
      </c>
      <c r="G435" s="2"/>
    </row>
    <row r="436" spans="2:7" ht="15" customHeight="1" x14ac:dyDescent="0.25">
      <c r="B436" s="1"/>
      <c r="C436" s="113">
        <v>419</v>
      </c>
      <c r="D436" s="110"/>
      <c r="E436" s="110"/>
      <c r="F436" s="19" t="str">
        <f t="shared" si="6"/>
        <v/>
      </c>
      <c r="G436" s="2"/>
    </row>
    <row r="437" spans="2:7" ht="15" customHeight="1" x14ac:dyDescent="0.25">
      <c r="B437" s="1"/>
      <c r="C437" s="113">
        <v>420</v>
      </c>
      <c r="D437" s="110"/>
      <c r="E437" s="110"/>
      <c r="F437" s="19" t="str">
        <f t="shared" si="6"/>
        <v/>
      </c>
      <c r="G437" s="2"/>
    </row>
    <row r="438" spans="2:7" ht="15" customHeight="1" x14ac:dyDescent="0.25">
      <c r="B438" s="1"/>
      <c r="C438" s="113">
        <v>421</v>
      </c>
      <c r="D438" s="110"/>
      <c r="E438" s="110"/>
      <c r="F438" s="19" t="str">
        <f t="shared" si="6"/>
        <v/>
      </c>
      <c r="G438" s="2"/>
    </row>
    <row r="439" spans="2:7" ht="15" customHeight="1" x14ac:dyDescent="0.25">
      <c r="B439" s="1"/>
      <c r="C439" s="113">
        <v>422</v>
      </c>
      <c r="D439" s="110"/>
      <c r="E439" s="110"/>
      <c r="F439" s="19" t="str">
        <f t="shared" si="6"/>
        <v/>
      </c>
      <c r="G439" s="2"/>
    </row>
    <row r="440" spans="2:7" ht="15" customHeight="1" x14ac:dyDescent="0.25">
      <c r="B440" s="1"/>
      <c r="C440" s="113">
        <v>423</v>
      </c>
      <c r="D440" s="110"/>
      <c r="E440" s="110"/>
      <c r="F440" s="19" t="str">
        <f t="shared" si="6"/>
        <v/>
      </c>
      <c r="G440" s="2"/>
    </row>
    <row r="441" spans="2:7" ht="15" customHeight="1" x14ac:dyDescent="0.25">
      <c r="B441" s="1"/>
      <c r="C441" s="113">
        <v>424</v>
      </c>
      <c r="D441" s="110"/>
      <c r="E441" s="110"/>
      <c r="F441" s="19" t="str">
        <f t="shared" si="6"/>
        <v/>
      </c>
      <c r="G441" s="2"/>
    </row>
    <row r="442" spans="2:7" ht="15" customHeight="1" x14ac:dyDescent="0.25">
      <c r="B442" s="1"/>
      <c r="C442" s="113">
        <v>425</v>
      </c>
      <c r="D442" s="110"/>
      <c r="E442" s="110"/>
      <c r="F442" s="19" t="str">
        <f t="shared" si="6"/>
        <v/>
      </c>
      <c r="G442" s="2"/>
    </row>
    <row r="443" spans="2:7" ht="15" customHeight="1" x14ac:dyDescent="0.25">
      <c r="B443" s="1"/>
      <c r="C443" s="113">
        <v>426</v>
      </c>
      <c r="D443" s="110"/>
      <c r="E443" s="110"/>
      <c r="F443" s="19" t="str">
        <f t="shared" si="6"/>
        <v/>
      </c>
      <c r="G443" s="2"/>
    </row>
    <row r="444" spans="2:7" ht="15" customHeight="1" x14ac:dyDescent="0.25">
      <c r="B444" s="1"/>
      <c r="C444" s="113">
        <v>427</v>
      </c>
      <c r="D444" s="110"/>
      <c r="E444" s="110"/>
      <c r="F444" s="19" t="str">
        <f t="shared" si="6"/>
        <v/>
      </c>
      <c r="G444" s="2"/>
    </row>
    <row r="445" spans="2:7" ht="15" customHeight="1" x14ac:dyDescent="0.25">
      <c r="B445" s="1"/>
      <c r="C445" s="113">
        <v>428</v>
      </c>
      <c r="D445" s="110"/>
      <c r="E445" s="110"/>
      <c r="F445" s="19" t="str">
        <f t="shared" si="6"/>
        <v/>
      </c>
      <c r="G445" s="2"/>
    </row>
    <row r="446" spans="2:7" ht="15" customHeight="1" x14ac:dyDescent="0.25">
      <c r="B446" s="1"/>
      <c r="C446" s="113">
        <v>429</v>
      </c>
      <c r="D446" s="110"/>
      <c r="E446" s="110"/>
      <c r="F446" s="19" t="str">
        <f t="shared" si="6"/>
        <v/>
      </c>
      <c r="G446" s="2"/>
    </row>
    <row r="447" spans="2:7" ht="15" customHeight="1" x14ac:dyDescent="0.25">
      <c r="B447" s="1"/>
      <c r="C447" s="113">
        <v>430</v>
      </c>
      <c r="D447" s="110"/>
      <c r="E447" s="110"/>
      <c r="F447" s="19" t="str">
        <f t="shared" si="6"/>
        <v/>
      </c>
      <c r="G447" s="2"/>
    </row>
    <row r="448" spans="2:7" ht="15" customHeight="1" x14ac:dyDescent="0.25">
      <c r="B448" s="1"/>
      <c r="C448" s="113">
        <v>431</v>
      </c>
      <c r="D448" s="110"/>
      <c r="E448" s="110"/>
      <c r="F448" s="19" t="str">
        <f t="shared" si="6"/>
        <v/>
      </c>
      <c r="G448" s="2"/>
    </row>
    <row r="449" spans="2:7" ht="15" customHeight="1" x14ac:dyDescent="0.25">
      <c r="B449" s="1"/>
      <c r="C449" s="113">
        <v>432</v>
      </c>
      <c r="D449" s="110"/>
      <c r="E449" s="110"/>
      <c r="F449" s="19" t="str">
        <f t="shared" si="6"/>
        <v/>
      </c>
      <c r="G449" s="2"/>
    </row>
    <row r="450" spans="2:7" ht="15" customHeight="1" x14ac:dyDescent="0.25">
      <c r="B450" s="1"/>
      <c r="C450" s="113">
        <v>433</v>
      </c>
      <c r="D450" s="110"/>
      <c r="E450" s="110"/>
      <c r="F450" s="19" t="str">
        <f t="shared" si="6"/>
        <v/>
      </c>
      <c r="G450" s="2"/>
    </row>
    <row r="451" spans="2:7" ht="15" customHeight="1" x14ac:dyDescent="0.25">
      <c r="B451" s="1"/>
      <c r="C451" s="113">
        <v>434</v>
      </c>
      <c r="D451" s="110"/>
      <c r="E451" s="110"/>
      <c r="F451" s="19" t="str">
        <f t="shared" si="6"/>
        <v/>
      </c>
      <c r="G451" s="2"/>
    </row>
    <row r="452" spans="2:7" ht="15" customHeight="1" x14ac:dyDescent="0.25">
      <c r="B452" s="1"/>
      <c r="C452" s="113">
        <v>435</v>
      </c>
      <c r="D452" s="110"/>
      <c r="E452" s="110"/>
      <c r="F452" s="19" t="str">
        <f t="shared" si="6"/>
        <v/>
      </c>
      <c r="G452" s="2"/>
    </row>
    <row r="453" spans="2:7" ht="15" customHeight="1" x14ac:dyDescent="0.25">
      <c r="B453" s="1"/>
      <c r="C453" s="113">
        <v>436</v>
      </c>
      <c r="D453" s="110"/>
      <c r="E453" s="110"/>
      <c r="F453" s="19" t="str">
        <f t="shared" si="6"/>
        <v/>
      </c>
      <c r="G453" s="2"/>
    </row>
    <row r="454" spans="2:7" ht="15" customHeight="1" x14ac:dyDescent="0.25">
      <c r="B454" s="1"/>
      <c r="C454" s="113">
        <v>437</v>
      </c>
      <c r="D454" s="110"/>
      <c r="E454" s="110"/>
      <c r="F454" s="19" t="str">
        <f t="shared" si="6"/>
        <v/>
      </c>
      <c r="G454" s="2"/>
    </row>
    <row r="455" spans="2:7" ht="15" customHeight="1" x14ac:dyDescent="0.25">
      <c r="B455" s="1"/>
      <c r="C455" s="113">
        <v>438</v>
      </c>
      <c r="D455" s="110"/>
      <c r="E455" s="110"/>
      <c r="F455" s="19" t="str">
        <f t="shared" si="6"/>
        <v/>
      </c>
      <c r="G455" s="2"/>
    </row>
    <row r="456" spans="2:7" ht="15" customHeight="1" x14ac:dyDescent="0.25">
      <c r="B456" s="1"/>
      <c r="C456" s="113">
        <v>439</v>
      </c>
      <c r="D456" s="110"/>
      <c r="E456" s="110"/>
      <c r="F456" s="19" t="str">
        <f t="shared" si="6"/>
        <v/>
      </c>
      <c r="G456" s="2"/>
    </row>
    <row r="457" spans="2:7" ht="15" customHeight="1" x14ac:dyDescent="0.25">
      <c r="B457" s="1"/>
      <c r="C457" s="113">
        <v>440</v>
      </c>
      <c r="D457" s="110"/>
      <c r="E457" s="110"/>
      <c r="F457" s="19" t="str">
        <f t="shared" si="6"/>
        <v/>
      </c>
      <c r="G457" s="2"/>
    </row>
    <row r="458" spans="2:7" ht="15" customHeight="1" x14ac:dyDescent="0.25">
      <c r="B458" s="1"/>
      <c r="C458" s="113">
        <v>441</v>
      </c>
      <c r="D458" s="110"/>
      <c r="E458" s="110"/>
      <c r="F458" s="19" t="str">
        <f t="shared" si="6"/>
        <v/>
      </c>
      <c r="G458" s="2"/>
    </row>
    <row r="459" spans="2:7" ht="15" customHeight="1" x14ac:dyDescent="0.25">
      <c r="B459" s="1"/>
      <c r="C459" s="113">
        <v>442</v>
      </c>
      <c r="D459" s="110"/>
      <c r="E459" s="110"/>
      <c r="F459" s="19" t="str">
        <f t="shared" si="6"/>
        <v/>
      </c>
      <c r="G459" s="2"/>
    </row>
    <row r="460" spans="2:7" ht="15" customHeight="1" x14ac:dyDescent="0.25">
      <c r="B460" s="1"/>
      <c r="C460" s="113">
        <v>443</v>
      </c>
      <c r="D460" s="110"/>
      <c r="E460" s="110"/>
      <c r="F460" s="19" t="str">
        <f t="shared" si="6"/>
        <v/>
      </c>
      <c r="G460" s="2"/>
    </row>
    <row r="461" spans="2:7" ht="15" customHeight="1" x14ac:dyDescent="0.25">
      <c r="B461" s="1"/>
      <c r="C461" s="113">
        <v>444</v>
      </c>
      <c r="D461" s="110"/>
      <c r="E461" s="110"/>
      <c r="F461" s="19" t="str">
        <f t="shared" si="6"/>
        <v/>
      </c>
      <c r="G461" s="2"/>
    </row>
    <row r="462" spans="2:7" ht="15" customHeight="1" x14ac:dyDescent="0.25">
      <c r="B462" s="1"/>
      <c r="C462" s="113">
        <v>445</v>
      </c>
      <c r="D462" s="110"/>
      <c r="E462" s="110"/>
      <c r="F462" s="19" t="str">
        <f t="shared" si="6"/>
        <v/>
      </c>
      <c r="G462" s="2"/>
    </row>
    <row r="463" spans="2:7" ht="15" customHeight="1" x14ac:dyDescent="0.25">
      <c r="B463" s="1"/>
      <c r="C463" s="113">
        <v>446</v>
      </c>
      <c r="D463" s="110"/>
      <c r="E463" s="110"/>
      <c r="F463" s="19" t="str">
        <f t="shared" si="6"/>
        <v/>
      </c>
      <c r="G463" s="2"/>
    </row>
    <row r="464" spans="2:7" ht="15" customHeight="1" x14ac:dyDescent="0.25">
      <c r="B464" s="1"/>
      <c r="C464" s="113">
        <v>447</v>
      </c>
      <c r="D464" s="110"/>
      <c r="E464" s="110"/>
      <c r="F464" s="19" t="str">
        <f t="shared" si="6"/>
        <v/>
      </c>
      <c r="G464" s="2"/>
    </row>
    <row r="465" spans="2:7" ht="15" customHeight="1" x14ac:dyDescent="0.25">
      <c r="B465" s="1"/>
      <c r="C465" s="113">
        <v>448</v>
      </c>
      <c r="D465" s="110"/>
      <c r="E465" s="110"/>
      <c r="F465" s="19" t="str">
        <f t="shared" si="6"/>
        <v/>
      </c>
      <c r="G465" s="2"/>
    </row>
    <row r="466" spans="2:7" ht="15" customHeight="1" x14ac:dyDescent="0.25">
      <c r="B466" s="1"/>
      <c r="C466" s="113">
        <v>449</v>
      </c>
      <c r="D466" s="110"/>
      <c r="E466" s="110"/>
      <c r="F466" s="19" t="str">
        <f t="shared" si="6"/>
        <v/>
      </c>
      <c r="G466" s="2"/>
    </row>
    <row r="467" spans="2:7" ht="15" customHeight="1" x14ac:dyDescent="0.25">
      <c r="B467" s="1"/>
      <c r="C467" s="113">
        <v>450</v>
      </c>
      <c r="D467" s="110"/>
      <c r="E467" s="110"/>
      <c r="F467" s="19" t="str">
        <f t="shared" ref="F467:F530" si="7">IFERROR(IF(AND(LEFT(D467,6)=LEFT(E467,6),RIGHT(E467,9)-RIGHT(D467,9)&gt;=0),RIGHT(E467,9)-RIGHT(D467,9)+1,""),"")</f>
        <v/>
      </c>
      <c r="G467" s="2"/>
    </row>
    <row r="468" spans="2:7" ht="15" customHeight="1" x14ac:dyDescent="0.25">
      <c r="B468" s="1"/>
      <c r="C468" s="113">
        <v>451</v>
      </c>
      <c r="D468" s="110"/>
      <c r="E468" s="110"/>
      <c r="F468" s="19" t="str">
        <f t="shared" si="7"/>
        <v/>
      </c>
      <c r="G468" s="2"/>
    </row>
    <row r="469" spans="2:7" ht="15" customHeight="1" x14ac:dyDescent="0.25">
      <c r="B469" s="1"/>
      <c r="C469" s="113">
        <v>452</v>
      </c>
      <c r="D469" s="110"/>
      <c r="E469" s="110"/>
      <c r="F469" s="19" t="str">
        <f t="shared" si="7"/>
        <v/>
      </c>
      <c r="G469" s="2"/>
    </row>
    <row r="470" spans="2:7" ht="15" customHeight="1" x14ac:dyDescent="0.25">
      <c r="B470" s="1"/>
      <c r="C470" s="113">
        <v>453</v>
      </c>
      <c r="D470" s="110"/>
      <c r="E470" s="110"/>
      <c r="F470" s="19" t="str">
        <f t="shared" si="7"/>
        <v/>
      </c>
      <c r="G470" s="2"/>
    </row>
    <row r="471" spans="2:7" ht="15" customHeight="1" x14ac:dyDescent="0.25">
      <c r="B471" s="1"/>
      <c r="C471" s="113">
        <v>454</v>
      </c>
      <c r="D471" s="110"/>
      <c r="E471" s="110"/>
      <c r="F471" s="19" t="str">
        <f t="shared" si="7"/>
        <v/>
      </c>
      <c r="G471" s="2"/>
    </row>
    <row r="472" spans="2:7" ht="15" customHeight="1" x14ac:dyDescent="0.25">
      <c r="B472" s="1"/>
      <c r="C472" s="113">
        <v>455</v>
      </c>
      <c r="D472" s="110"/>
      <c r="E472" s="110"/>
      <c r="F472" s="19" t="str">
        <f t="shared" si="7"/>
        <v/>
      </c>
      <c r="G472" s="2"/>
    </row>
    <row r="473" spans="2:7" ht="15" customHeight="1" x14ac:dyDescent="0.25">
      <c r="B473" s="1"/>
      <c r="C473" s="113">
        <v>456</v>
      </c>
      <c r="D473" s="110"/>
      <c r="E473" s="110"/>
      <c r="F473" s="19" t="str">
        <f t="shared" si="7"/>
        <v/>
      </c>
      <c r="G473" s="2"/>
    </row>
    <row r="474" spans="2:7" ht="15" customHeight="1" x14ac:dyDescent="0.25">
      <c r="B474" s="1"/>
      <c r="C474" s="113">
        <v>457</v>
      </c>
      <c r="D474" s="110"/>
      <c r="E474" s="110"/>
      <c r="F474" s="19" t="str">
        <f t="shared" si="7"/>
        <v/>
      </c>
      <c r="G474" s="2"/>
    </row>
    <row r="475" spans="2:7" ht="15" customHeight="1" x14ac:dyDescent="0.25">
      <c r="B475" s="1"/>
      <c r="C475" s="113">
        <v>458</v>
      </c>
      <c r="D475" s="110"/>
      <c r="E475" s="110"/>
      <c r="F475" s="19" t="str">
        <f t="shared" si="7"/>
        <v/>
      </c>
      <c r="G475" s="2"/>
    </row>
    <row r="476" spans="2:7" ht="15" customHeight="1" x14ac:dyDescent="0.25">
      <c r="B476" s="1"/>
      <c r="C476" s="113">
        <v>459</v>
      </c>
      <c r="D476" s="110"/>
      <c r="E476" s="110"/>
      <c r="F476" s="19" t="str">
        <f t="shared" si="7"/>
        <v/>
      </c>
      <c r="G476" s="2"/>
    </row>
    <row r="477" spans="2:7" ht="15" customHeight="1" x14ac:dyDescent="0.25">
      <c r="B477" s="1"/>
      <c r="C477" s="113">
        <v>460</v>
      </c>
      <c r="D477" s="110"/>
      <c r="E477" s="110"/>
      <c r="F477" s="19" t="str">
        <f t="shared" si="7"/>
        <v/>
      </c>
      <c r="G477" s="2"/>
    </row>
    <row r="478" spans="2:7" ht="15" customHeight="1" x14ac:dyDescent="0.25">
      <c r="B478" s="1"/>
      <c r="C478" s="113">
        <v>461</v>
      </c>
      <c r="D478" s="110"/>
      <c r="E478" s="110"/>
      <c r="F478" s="19" t="str">
        <f t="shared" si="7"/>
        <v/>
      </c>
      <c r="G478" s="2"/>
    </row>
    <row r="479" spans="2:7" ht="15" customHeight="1" x14ac:dyDescent="0.25">
      <c r="B479" s="1"/>
      <c r="C479" s="113">
        <v>462</v>
      </c>
      <c r="D479" s="110"/>
      <c r="E479" s="110"/>
      <c r="F479" s="19" t="str">
        <f t="shared" si="7"/>
        <v/>
      </c>
      <c r="G479" s="2"/>
    </row>
    <row r="480" spans="2:7" ht="15" customHeight="1" x14ac:dyDescent="0.25">
      <c r="B480" s="1"/>
      <c r="C480" s="113">
        <v>463</v>
      </c>
      <c r="D480" s="110"/>
      <c r="E480" s="110"/>
      <c r="F480" s="19" t="str">
        <f t="shared" si="7"/>
        <v/>
      </c>
      <c r="G480" s="2"/>
    </row>
    <row r="481" spans="2:7" ht="15" customHeight="1" x14ac:dyDescent="0.25">
      <c r="B481" s="1"/>
      <c r="C481" s="113">
        <v>464</v>
      </c>
      <c r="D481" s="110"/>
      <c r="E481" s="110"/>
      <c r="F481" s="19" t="str">
        <f t="shared" si="7"/>
        <v/>
      </c>
      <c r="G481" s="2"/>
    </row>
    <row r="482" spans="2:7" ht="15" customHeight="1" x14ac:dyDescent="0.25">
      <c r="B482" s="1"/>
      <c r="C482" s="113">
        <v>465</v>
      </c>
      <c r="D482" s="110"/>
      <c r="E482" s="110"/>
      <c r="F482" s="19" t="str">
        <f t="shared" si="7"/>
        <v/>
      </c>
      <c r="G482" s="2"/>
    </row>
    <row r="483" spans="2:7" ht="15" customHeight="1" x14ac:dyDescent="0.25">
      <c r="B483" s="1"/>
      <c r="C483" s="113">
        <v>466</v>
      </c>
      <c r="D483" s="110"/>
      <c r="E483" s="110"/>
      <c r="F483" s="19" t="str">
        <f t="shared" si="7"/>
        <v/>
      </c>
      <c r="G483" s="2"/>
    </row>
    <row r="484" spans="2:7" ht="15" customHeight="1" x14ac:dyDescent="0.25">
      <c r="B484" s="1"/>
      <c r="C484" s="113">
        <v>467</v>
      </c>
      <c r="D484" s="110"/>
      <c r="E484" s="110"/>
      <c r="F484" s="19" t="str">
        <f t="shared" si="7"/>
        <v/>
      </c>
      <c r="G484" s="2"/>
    </row>
    <row r="485" spans="2:7" ht="15" customHeight="1" x14ac:dyDescent="0.25">
      <c r="B485" s="1"/>
      <c r="C485" s="113">
        <v>468</v>
      </c>
      <c r="D485" s="110"/>
      <c r="E485" s="110"/>
      <c r="F485" s="19" t="str">
        <f t="shared" si="7"/>
        <v/>
      </c>
      <c r="G485" s="2"/>
    </row>
    <row r="486" spans="2:7" ht="15" customHeight="1" x14ac:dyDescent="0.25">
      <c r="B486" s="1"/>
      <c r="C486" s="113">
        <v>469</v>
      </c>
      <c r="D486" s="110"/>
      <c r="E486" s="110"/>
      <c r="F486" s="19" t="str">
        <f t="shared" si="7"/>
        <v/>
      </c>
      <c r="G486" s="2"/>
    </row>
    <row r="487" spans="2:7" ht="15" customHeight="1" x14ac:dyDescent="0.25">
      <c r="B487" s="1"/>
      <c r="C487" s="113">
        <v>470</v>
      </c>
      <c r="D487" s="110"/>
      <c r="E487" s="110"/>
      <c r="F487" s="19" t="str">
        <f t="shared" si="7"/>
        <v/>
      </c>
      <c r="G487" s="2"/>
    </row>
    <row r="488" spans="2:7" ht="15" customHeight="1" x14ac:dyDescent="0.25">
      <c r="B488" s="1"/>
      <c r="C488" s="113">
        <v>471</v>
      </c>
      <c r="D488" s="110"/>
      <c r="E488" s="110"/>
      <c r="F488" s="19" t="str">
        <f t="shared" si="7"/>
        <v/>
      </c>
      <c r="G488" s="2"/>
    </row>
    <row r="489" spans="2:7" ht="15" customHeight="1" x14ac:dyDescent="0.25">
      <c r="B489" s="1"/>
      <c r="C489" s="113">
        <v>472</v>
      </c>
      <c r="D489" s="110"/>
      <c r="E489" s="110"/>
      <c r="F489" s="19" t="str">
        <f t="shared" si="7"/>
        <v/>
      </c>
      <c r="G489" s="2"/>
    </row>
    <row r="490" spans="2:7" ht="15" customHeight="1" x14ac:dyDescent="0.25">
      <c r="B490" s="1"/>
      <c r="C490" s="113">
        <v>473</v>
      </c>
      <c r="D490" s="110"/>
      <c r="E490" s="110"/>
      <c r="F490" s="19" t="str">
        <f t="shared" si="7"/>
        <v/>
      </c>
      <c r="G490" s="2"/>
    </row>
    <row r="491" spans="2:7" ht="15" customHeight="1" x14ac:dyDescent="0.25">
      <c r="B491" s="1"/>
      <c r="C491" s="113">
        <v>474</v>
      </c>
      <c r="D491" s="110"/>
      <c r="E491" s="110"/>
      <c r="F491" s="19" t="str">
        <f t="shared" si="7"/>
        <v/>
      </c>
      <c r="G491" s="2"/>
    </row>
    <row r="492" spans="2:7" ht="15" customHeight="1" x14ac:dyDescent="0.25">
      <c r="B492" s="1"/>
      <c r="C492" s="113">
        <v>475</v>
      </c>
      <c r="D492" s="110"/>
      <c r="E492" s="110"/>
      <c r="F492" s="19" t="str">
        <f t="shared" si="7"/>
        <v/>
      </c>
      <c r="G492" s="2"/>
    </row>
    <row r="493" spans="2:7" ht="15" customHeight="1" x14ac:dyDescent="0.25">
      <c r="B493" s="1"/>
      <c r="C493" s="113">
        <v>476</v>
      </c>
      <c r="D493" s="110"/>
      <c r="E493" s="110"/>
      <c r="F493" s="19" t="str">
        <f t="shared" si="7"/>
        <v/>
      </c>
      <c r="G493" s="2"/>
    </row>
    <row r="494" spans="2:7" ht="15" customHeight="1" x14ac:dyDescent="0.25">
      <c r="B494" s="1"/>
      <c r="C494" s="113">
        <v>477</v>
      </c>
      <c r="D494" s="110"/>
      <c r="E494" s="110"/>
      <c r="F494" s="19" t="str">
        <f t="shared" si="7"/>
        <v/>
      </c>
      <c r="G494" s="2"/>
    </row>
    <row r="495" spans="2:7" ht="15" customHeight="1" x14ac:dyDescent="0.25">
      <c r="B495" s="1"/>
      <c r="C495" s="113">
        <v>478</v>
      </c>
      <c r="D495" s="110"/>
      <c r="E495" s="110"/>
      <c r="F495" s="19" t="str">
        <f t="shared" si="7"/>
        <v/>
      </c>
      <c r="G495" s="2"/>
    </row>
    <row r="496" spans="2:7" ht="15" customHeight="1" x14ac:dyDescent="0.25">
      <c r="B496" s="1"/>
      <c r="C496" s="113">
        <v>479</v>
      </c>
      <c r="D496" s="110"/>
      <c r="E496" s="110"/>
      <c r="F496" s="19" t="str">
        <f t="shared" si="7"/>
        <v/>
      </c>
      <c r="G496" s="2"/>
    </row>
    <row r="497" spans="2:7" ht="15" customHeight="1" x14ac:dyDescent="0.25">
      <c r="B497" s="1"/>
      <c r="C497" s="113">
        <v>480</v>
      </c>
      <c r="D497" s="110"/>
      <c r="E497" s="110"/>
      <c r="F497" s="19" t="str">
        <f t="shared" si="7"/>
        <v/>
      </c>
      <c r="G497" s="2"/>
    </row>
    <row r="498" spans="2:7" ht="15" customHeight="1" x14ac:dyDescent="0.25">
      <c r="B498" s="1"/>
      <c r="C498" s="113">
        <v>481</v>
      </c>
      <c r="D498" s="110"/>
      <c r="E498" s="110"/>
      <c r="F498" s="19" t="str">
        <f t="shared" si="7"/>
        <v/>
      </c>
      <c r="G498" s="2"/>
    </row>
    <row r="499" spans="2:7" ht="15" customHeight="1" x14ac:dyDescent="0.25">
      <c r="B499" s="1"/>
      <c r="C499" s="113">
        <v>482</v>
      </c>
      <c r="D499" s="110"/>
      <c r="E499" s="110"/>
      <c r="F499" s="19" t="str">
        <f t="shared" si="7"/>
        <v/>
      </c>
      <c r="G499" s="2"/>
    </row>
    <row r="500" spans="2:7" ht="15" customHeight="1" x14ac:dyDescent="0.25">
      <c r="B500" s="1"/>
      <c r="C500" s="113">
        <v>483</v>
      </c>
      <c r="D500" s="110"/>
      <c r="E500" s="110"/>
      <c r="F500" s="19" t="str">
        <f t="shared" si="7"/>
        <v/>
      </c>
      <c r="G500" s="2"/>
    </row>
    <row r="501" spans="2:7" ht="15" customHeight="1" x14ac:dyDescent="0.25">
      <c r="B501" s="1"/>
      <c r="C501" s="113">
        <v>484</v>
      </c>
      <c r="D501" s="110"/>
      <c r="E501" s="110"/>
      <c r="F501" s="19" t="str">
        <f t="shared" si="7"/>
        <v/>
      </c>
      <c r="G501" s="2"/>
    </row>
    <row r="502" spans="2:7" ht="15" customHeight="1" x14ac:dyDescent="0.25">
      <c r="B502" s="1"/>
      <c r="C502" s="113">
        <v>485</v>
      </c>
      <c r="D502" s="110"/>
      <c r="E502" s="110"/>
      <c r="F502" s="19" t="str">
        <f t="shared" si="7"/>
        <v/>
      </c>
      <c r="G502" s="2"/>
    </row>
    <row r="503" spans="2:7" ht="15" customHeight="1" x14ac:dyDescent="0.25">
      <c r="B503" s="1"/>
      <c r="C503" s="113">
        <v>486</v>
      </c>
      <c r="D503" s="110"/>
      <c r="E503" s="110"/>
      <c r="F503" s="19" t="str">
        <f t="shared" si="7"/>
        <v/>
      </c>
      <c r="G503" s="2"/>
    </row>
    <row r="504" spans="2:7" ht="15" customHeight="1" x14ac:dyDescent="0.25">
      <c r="B504" s="1"/>
      <c r="C504" s="113">
        <v>487</v>
      </c>
      <c r="D504" s="110"/>
      <c r="E504" s="110"/>
      <c r="F504" s="19" t="str">
        <f t="shared" si="7"/>
        <v/>
      </c>
      <c r="G504" s="2"/>
    </row>
    <row r="505" spans="2:7" ht="15" customHeight="1" x14ac:dyDescent="0.25">
      <c r="B505" s="1"/>
      <c r="C505" s="113">
        <v>488</v>
      </c>
      <c r="D505" s="110"/>
      <c r="E505" s="110"/>
      <c r="F505" s="19" t="str">
        <f t="shared" si="7"/>
        <v/>
      </c>
      <c r="G505" s="2"/>
    </row>
    <row r="506" spans="2:7" ht="15" customHeight="1" x14ac:dyDescent="0.25">
      <c r="B506" s="1"/>
      <c r="C506" s="113">
        <v>489</v>
      </c>
      <c r="D506" s="110"/>
      <c r="E506" s="110"/>
      <c r="F506" s="19" t="str">
        <f t="shared" si="7"/>
        <v/>
      </c>
      <c r="G506" s="2"/>
    </row>
    <row r="507" spans="2:7" ht="15" customHeight="1" x14ac:dyDescent="0.25">
      <c r="B507" s="1"/>
      <c r="C507" s="113">
        <v>490</v>
      </c>
      <c r="D507" s="110"/>
      <c r="E507" s="110"/>
      <c r="F507" s="19" t="str">
        <f t="shared" si="7"/>
        <v/>
      </c>
      <c r="G507" s="2"/>
    </row>
    <row r="508" spans="2:7" ht="15" customHeight="1" x14ac:dyDescent="0.25">
      <c r="B508" s="1"/>
      <c r="C508" s="113">
        <v>491</v>
      </c>
      <c r="D508" s="110"/>
      <c r="E508" s="110"/>
      <c r="F508" s="19" t="str">
        <f t="shared" si="7"/>
        <v/>
      </c>
      <c r="G508" s="2"/>
    </row>
    <row r="509" spans="2:7" ht="15" customHeight="1" x14ac:dyDescent="0.25">
      <c r="B509" s="1"/>
      <c r="C509" s="113">
        <v>492</v>
      </c>
      <c r="D509" s="110"/>
      <c r="E509" s="110"/>
      <c r="F509" s="19" t="str">
        <f t="shared" si="7"/>
        <v/>
      </c>
      <c r="G509" s="2"/>
    </row>
    <row r="510" spans="2:7" ht="15" customHeight="1" x14ac:dyDescent="0.25">
      <c r="B510" s="1"/>
      <c r="C510" s="113">
        <v>493</v>
      </c>
      <c r="D510" s="110"/>
      <c r="E510" s="110"/>
      <c r="F510" s="19" t="str">
        <f t="shared" si="7"/>
        <v/>
      </c>
      <c r="G510" s="2"/>
    </row>
    <row r="511" spans="2:7" ht="15" customHeight="1" x14ac:dyDescent="0.25">
      <c r="B511" s="1"/>
      <c r="C511" s="113">
        <v>494</v>
      </c>
      <c r="D511" s="110"/>
      <c r="E511" s="110"/>
      <c r="F511" s="19" t="str">
        <f t="shared" si="7"/>
        <v/>
      </c>
      <c r="G511" s="2"/>
    </row>
    <row r="512" spans="2:7" ht="15" customHeight="1" x14ac:dyDescent="0.25">
      <c r="B512" s="1"/>
      <c r="C512" s="113">
        <v>495</v>
      </c>
      <c r="D512" s="110"/>
      <c r="E512" s="110"/>
      <c r="F512" s="19" t="str">
        <f t="shared" si="7"/>
        <v/>
      </c>
      <c r="G512" s="2"/>
    </row>
    <row r="513" spans="2:7" ht="15" customHeight="1" x14ac:dyDescent="0.25">
      <c r="B513" s="1"/>
      <c r="C513" s="113">
        <v>496</v>
      </c>
      <c r="D513" s="110"/>
      <c r="E513" s="110"/>
      <c r="F513" s="19" t="str">
        <f t="shared" si="7"/>
        <v/>
      </c>
      <c r="G513" s="2"/>
    </row>
    <row r="514" spans="2:7" ht="15" customHeight="1" x14ac:dyDescent="0.25">
      <c r="B514" s="1"/>
      <c r="C514" s="113">
        <v>497</v>
      </c>
      <c r="D514" s="110"/>
      <c r="E514" s="110"/>
      <c r="F514" s="19" t="str">
        <f t="shared" si="7"/>
        <v/>
      </c>
      <c r="G514" s="2"/>
    </row>
    <row r="515" spans="2:7" ht="15" customHeight="1" x14ac:dyDescent="0.25">
      <c r="B515" s="1"/>
      <c r="C515" s="113">
        <v>498</v>
      </c>
      <c r="D515" s="110"/>
      <c r="E515" s="110"/>
      <c r="F515" s="19" t="str">
        <f t="shared" si="7"/>
        <v/>
      </c>
      <c r="G515" s="2"/>
    </row>
    <row r="516" spans="2:7" ht="15" customHeight="1" x14ac:dyDescent="0.25">
      <c r="B516" s="1"/>
      <c r="C516" s="113">
        <v>499</v>
      </c>
      <c r="D516" s="110"/>
      <c r="E516" s="110"/>
      <c r="F516" s="19" t="str">
        <f t="shared" si="7"/>
        <v/>
      </c>
      <c r="G516" s="2"/>
    </row>
    <row r="517" spans="2:7" ht="15" customHeight="1" x14ac:dyDescent="0.25">
      <c r="B517" s="1"/>
      <c r="C517" s="113">
        <v>500</v>
      </c>
      <c r="D517" s="110"/>
      <c r="E517" s="110"/>
      <c r="F517" s="19" t="str">
        <f t="shared" si="7"/>
        <v/>
      </c>
      <c r="G517" s="2"/>
    </row>
    <row r="518" spans="2:7" ht="15" customHeight="1" x14ac:dyDescent="0.25">
      <c r="B518" s="1"/>
      <c r="C518" s="113">
        <v>501</v>
      </c>
      <c r="D518" s="110"/>
      <c r="E518" s="110"/>
      <c r="F518" s="19" t="str">
        <f t="shared" si="7"/>
        <v/>
      </c>
      <c r="G518" s="2"/>
    </row>
    <row r="519" spans="2:7" ht="15" customHeight="1" x14ac:dyDescent="0.25">
      <c r="B519" s="1"/>
      <c r="C519" s="113">
        <v>502</v>
      </c>
      <c r="D519" s="110"/>
      <c r="E519" s="110"/>
      <c r="F519" s="19" t="str">
        <f t="shared" si="7"/>
        <v/>
      </c>
      <c r="G519" s="2"/>
    </row>
    <row r="520" spans="2:7" ht="15" customHeight="1" x14ac:dyDescent="0.25">
      <c r="B520" s="1"/>
      <c r="C520" s="113">
        <v>503</v>
      </c>
      <c r="D520" s="110"/>
      <c r="E520" s="110"/>
      <c r="F520" s="19" t="str">
        <f t="shared" si="7"/>
        <v/>
      </c>
      <c r="G520" s="2"/>
    </row>
    <row r="521" spans="2:7" ht="15" customHeight="1" x14ac:dyDescent="0.25">
      <c r="B521" s="1"/>
      <c r="C521" s="113">
        <v>504</v>
      </c>
      <c r="D521" s="110"/>
      <c r="E521" s="110"/>
      <c r="F521" s="19" t="str">
        <f t="shared" si="7"/>
        <v/>
      </c>
      <c r="G521" s="2"/>
    </row>
    <row r="522" spans="2:7" ht="15" customHeight="1" x14ac:dyDescent="0.25">
      <c r="B522" s="1"/>
      <c r="C522" s="113">
        <v>505</v>
      </c>
      <c r="D522" s="110"/>
      <c r="E522" s="110"/>
      <c r="F522" s="19" t="str">
        <f t="shared" si="7"/>
        <v/>
      </c>
      <c r="G522" s="2"/>
    </row>
    <row r="523" spans="2:7" ht="15" customHeight="1" x14ac:dyDescent="0.25">
      <c r="B523" s="1"/>
      <c r="C523" s="113">
        <v>506</v>
      </c>
      <c r="D523" s="110"/>
      <c r="E523" s="110"/>
      <c r="F523" s="19" t="str">
        <f t="shared" si="7"/>
        <v/>
      </c>
      <c r="G523" s="2"/>
    </row>
    <row r="524" spans="2:7" ht="15" customHeight="1" x14ac:dyDescent="0.25">
      <c r="B524" s="1"/>
      <c r="C524" s="113">
        <v>507</v>
      </c>
      <c r="D524" s="110"/>
      <c r="E524" s="110"/>
      <c r="F524" s="19" t="str">
        <f t="shared" si="7"/>
        <v/>
      </c>
      <c r="G524" s="2"/>
    </row>
    <row r="525" spans="2:7" ht="15" customHeight="1" x14ac:dyDescent="0.25">
      <c r="B525" s="1"/>
      <c r="C525" s="113">
        <v>508</v>
      </c>
      <c r="D525" s="110"/>
      <c r="E525" s="110"/>
      <c r="F525" s="19" t="str">
        <f t="shared" si="7"/>
        <v/>
      </c>
      <c r="G525" s="2"/>
    </row>
    <row r="526" spans="2:7" ht="15" customHeight="1" x14ac:dyDescent="0.25">
      <c r="B526" s="1"/>
      <c r="C526" s="113">
        <v>509</v>
      </c>
      <c r="D526" s="110"/>
      <c r="E526" s="110"/>
      <c r="F526" s="19" t="str">
        <f t="shared" si="7"/>
        <v/>
      </c>
      <c r="G526" s="2"/>
    </row>
    <row r="527" spans="2:7" ht="15" customHeight="1" x14ac:dyDescent="0.25">
      <c r="B527" s="1"/>
      <c r="C527" s="113">
        <v>510</v>
      </c>
      <c r="D527" s="110"/>
      <c r="E527" s="110"/>
      <c r="F527" s="19" t="str">
        <f t="shared" si="7"/>
        <v/>
      </c>
      <c r="G527" s="2"/>
    </row>
    <row r="528" spans="2:7" ht="15" customHeight="1" x14ac:dyDescent="0.25">
      <c r="B528" s="1"/>
      <c r="C528" s="113">
        <v>511</v>
      </c>
      <c r="D528" s="110"/>
      <c r="E528" s="110"/>
      <c r="F528" s="19" t="str">
        <f t="shared" si="7"/>
        <v/>
      </c>
      <c r="G528" s="2"/>
    </row>
    <row r="529" spans="2:7" ht="15" customHeight="1" x14ac:dyDescent="0.25">
      <c r="B529" s="1"/>
      <c r="C529" s="113">
        <v>512</v>
      </c>
      <c r="D529" s="110"/>
      <c r="E529" s="110"/>
      <c r="F529" s="19" t="str">
        <f t="shared" si="7"/>
        <v/>
      </c>
      <c r="G529" s="2"/>
    </row>
    <row r="530" spans="2:7" ht="15" customHeight="1" x14ac:dyDescent="0.25">
      <c r="B530" s="1"/>
      <c r="C530" s="113">
        <v>513</v>
      </c>
      <c r="D530" s="110"/>
      <c r="E530" s="110"/>
      <c r="F530" s="19" t="str">
        <f t="shared" si="7"/>
        <v/>
      </c>
      <c r="G530" s="2"/>
    </row>
    <row r="531" spans="2:7" ht="15" customHeight="1" x14ac:dyDescent="0.25">
      <c r="B531" s="1"/>
      <c r="C531" s="113">
        <v>514</v>
      </c>
      <c r="D531" s="110"/>
      <c r="E531" s="110"/>
      <c r="F531" s="19" t="str">
        <f t="shared" ref="F531:F594" si="8">IFERROR(IF(AND(LEFT(D531,6)=LEFT(E531,6),RIGHT(E531,9)-RIGHT(D531,9)&gt;=0),RIGHT(E531,9)-RIGHT(D531,9)+1,""),"")</f>
        <v/>
      </c>
      <c r="G531" s="2"/>
    </row>
    <row r="532" spans="2:7" ht="15" customHeight="1" x14ac:dyDescent="0.25">
      <c r="B532" s="1"/>
      <c r="C532" s="113">
        <v>515</v>
      </c>
      <c r="D532" s="110"/>
      <c r="E532" s="110"/>
      <c r="F532" s="19" t="str">
        <f t="shared" si="8"/>
        <v/>
      </c>
      <c r="G532" s="2"/>
    </row>
    <row r="533" spans="2:7" ht="15" customHeight="1" x14ac:dyDescent="0.25">
      <c r="B533" s="1"/>
      <c r="C533" s="113">
        <v>516</v>
      </c>
      <c r="D533" s="110"/>
      <c r="E533" s="110"/>
      <c r="F533" s="19" t="str">
        <f t="shared" si="8"/>
        <v/>
      </c>
      <c r="G533" s="2"/>
    </row>
    <row r="534" spans="2:7" ht="15" customHeight="1" x14ac:dyDescent="0.25">
      <c r="B534" s="1"/>
      <c r="C534" s="113">
        <v>517</v>
      </c>
      <c r="D534" s="110"/>
      <c r="E534" s="110"/>
      <c r="F534" s="19" t="str">
        <f t="shared" si="8"/>
        <v/>
      </c>
      <c r="G534" s="2"/>
    </row>
    <row r="535" spans="2:7" ht="15" customHeight="1" x14ac:dyDescent="0.25">
      <c r="B535" s="1"/>
      <c r="C535" s="113">
        <v>518</v>
      </c>
      <c r="D535" s="110"/>
      <c r="E535" s="110"/>
      <c r="F535" s="19" t="str">
        <f t="shared" si="8"/>
        <v/>
      </c>
      <c r="G535" s="2"/>
    </row>
    <row r="536" spans="2:7" ht="15" customHeight="1" x14ac:dyDescent="0.25">
      <c r="B536" s="1"/>
      <c r="C536" s="113">
        <v>519</v>
      </c>
      <c r="D536" s="110"/>
      <c r="E536" s="110"/>
      <c r="F536" s="19" t="str">
        <f t="shared" si="8"/>
        <v/>
      </c>
      <c r="G536" s="2"/>
    </row>
    <row r="537" spans="2:7" ht="15" customHeight="1" x14ac:dyDescent="0.25">
      <c r="B537" s="1"/>
      <c r="C537" s="113">
        <v>520</v>
      </c>
      <c r="D537" s="110"/>
      <c r="E537" s="110"/>
      <c r="F537" s="19" t="str">
        <f t="shared" si="8"/>
        <v/>
      </c>
      <c r="G537" s="2"/>
    </row>
    <row r="538" spans="2:7" ht="15" customHeight="1" x14ac:dyDescent="0.25">
      <c r="B538" s="1"/>
      <c r="C538" s="113">
        <v>521</v>
      </c>
      <c r="D538" s="110"/>
      <c r="E538" s="110"/>
      <c r="F538" s="19" t="str">
        <f t="shared" si="8"/>
        <v/>
      </c>
      <c r="G538" s="2"/>
    </row>
    <row r="539" spans="2:7" ht="15" customHeight="1" x14ac:dyDescent="0.25">
      <c r="B539" s="1"/>
      <c r="C539" s="113">
        <v>522</v>
      </c>
      <c r="D539" s="110"/>
      <c r="E539" s="110"/>
      <c r="F539" s="19" t="str">
        <f t="shared" si="8"/>
        <v/>
      </c>
      <c r="G539" s="2"/>
    </row>
    <row r="540" spans="2:7" ht="15" customHeight="1" x14ac:dyDescent="0.25">
      <c r="B540" s="1"/>
      <c r="C540" s="113">
        <v>523</v>
      </c>
      <c r="D540" s="110"/>
      <c r="E540" s="110"/>
      <c r="F540" s="19" t="str">
        <f t="shared" si="8"/>
        <v/>
      </c>
      <c r="G540" s="2"/>
    </row>
    <row r="541" spans="2:7" ht="15" customHeight="1" x14ac:dyDescent="0.25">
      <c r="B541" s="1"/>
      <c r="C541" s="113">
        <v>524</v>
      </c>
      <c r="D541" s="110"/>
      <c r="E541" s="110"/>
      <c r="F541" s="19" t="str">
        <f t="shared" si="8"/>
        <v/>
      </c>
      <c r="G541" s="2"/>
    </row>
    <row r="542" spans="2:7" ht="15" customHeight="1" x14ac:dyDescent="0.25">
      <c r="B542" s="1"/>
      <c r="C542" s="113">
        <v>525</v>
      </c>
      <c r="D542" s="110"/>
      <c r="E542" s="110"/>
      <c r="F542" s="19" t="str">
        <f t="shared" si="8"/>
        <v/>
      </c>
      <c r="G542" s="2"/>
    </row>
    <row r="543" spans="2:7" ht="15" customHeight="1" x14ac:dyDescent="0.25">
      <c r="B543" s="1"/>
      <c r="C543" s="113">
        <v>526</v>
      </c>
      <c r="D543" s="110"/>
      <c r="E543" s="110"/>
      <c r="F543" s="19" t="str">
        <f t="shared" si="8"/>
        <v/>
      </c>
      <c r="G543" s="2"/>
    </row>
    <row r="544" spans="2:7" ht="15" customHeight="1" x14ac:dyDescent="0.25">
      <c r="B544" s="1"/>
      <c r="C544" s="113">
        <v>527</v>
      </c>
      <c r="D544" s="110"/>
      <c r="E544" s="110"/>
      <c r="F544" s="19" t="str">
        <f t="shared" si="8"/>
        <v/>
      </c>
      <c r="G544" s="2"/>
    </row>
    <row r="545" spans="2:7" ht="15" customHeight="1" x14ac:dyDescent="0.25">
      <c r="B545" s="1"/>
      <c r="C545" s="113">
        <v>528</v>
      </c>
      <c r="D545" s="110"/>
      <c r="E545" s="110"/>
      <c r="F545" s="19" t="str">
        <f t="shared" si="8"/>
        <v/>
      </c>
      <c r="G545" s="2"/>
    </row>
    <row r="546" spans="2:7" ht="15" customHeight="1" x14ac:dyDescent="0.25">
      <c r="B546" s="1"/>
      <c r="C546" s="113">
        <v>529</v>
      </c>
      <c r="D546" s="110"/>
      <c r="E546" s="110"/>
      <c r="F546" s="19" t="str">
        <f t="shared" si="8"/>
        <v/>
      </c>
      <c r="G546" s="2"/>
    </row>
    <row r="547" spans="2:7" ht="15" customHeight="1" x14ac:dyDescent="0.25">
      <c r="B547" s="1"/>
      <c r="C547" s="113">
        <v>530</v>
      </c>
      <c r="D547" s="110"/>
      <c r="E547" s="110"/>
      <c r="F547" s="19" t="str">
        <f t="shared" si="8"/>
        <v/>
      </c>
      <c r="G547" s="2"/>
    </row>
    <row r="548" spans="2:7" ht="15" customHeight="1" x14ac:dyDescent="0.25">
      <c r="B548" s="1"/>
      <c r="C548" s="113">
        <v>531</v>
      </c>
      <c r="D548" s="110"/>
      <c r="E548" s="110"/>
      <c r="F548" s="19" t="str">
        <f t="shared" si="8"/>
        <v/>
      </c>
      <c r="G548" s="2"/>
    </row>
    <row r="549" spans="2:7" ht="15" customHeight="1" x14ac:dyDescent="0.25">
      <c r="B549" s="1"/>
      <c r="C549" s="113">
        <v>532</v>
      </c>
      <c r="D549" s="110"/>
      <c r="E549" s="110"/>
      <c r="F549" s="19" t="str">
        <f t="shared" si="8"/>
        <v/>
      </c>
      <c r="G549" s="2"/>
    </row>
    <row r="550" spans="2:7" ht="15" customHeight="1" x14ac:dyDescent="0.25">
      <c r="B550" s="1"/>
      <c r="C550" s="113">
        <v>533</v>
      </c>
      <c r="D550" s="110"/>
      <c r="E550" s="110"/>
      <c r="F550" s="19" t="str">
        <f t="shared" si="8"/>
        <v/>
      </c>
      <c r="G550" s="2"/>
    </row>
    <row r="551" spans="2:7" ht="15" customHeight="1" x14ac:dyDescent="0.25">
      <c r="B551" s="1"/>
      <c r="C551" s="113">
        <v>534</v>
      </c>
      <c r="D551" s="110"/>
      <c r="E551" s="110"/>
      <c r="F551" s="19" t="str">
        <f t="shared" si="8"/>
        <v/>
      </c>
      <c r="G551" s="2"/>
    </row>
    <row r="552" spans="2:7" ht="15" customHeight="1" x14ac:dyDescent="0.25">
      <c r="B552" s="1"/>
      <c r="C552" s="113">
        <v>535</v>
      </c>
      <c r="D552" s="110"/>
      <c r="E552" s="110"/>
      <c r="F552" s="19" t="str">
        <f t="shared" si="8"/>
        <v/>
      </c>
      <c r="G552" s="2"/>
    </row>
    <row r="553" spans="2:7" ht="15" customHeight="1" x14ac:dyDescent="0.25">
      <c r="B553" s="1"/>
      <c r="C553" s="113">
        <v>536</v>
      </c>
      <c r="D553" s="110"/>
      <c r="E553" s="110"/>
      <c r="F553" s="19" t="str">
        <f t="shared" si="8"/>
        <v/>
      </c>
      <c r="G553" s="2"/>
    </row>
    <row r="554" spans="2:7" ht="15" customHeight="1" x14ac:dyDescent="0.25">
      <c r="B554" s="1"/>
      <c r="C554" s="113">
        <v>537</v>
      </c>
      <c r="D554" s="110"/>
      <c r="E554" s="110"/>
      <c r="F554" s="19" t="str">
        <f t="shared" si="8"/>
        <v/>
      </c>
      <c r="G554" s="2"/>
    </row>
    <row r="555" spans="2:7" ht="15" customHeight="1" x14ac:dyDescent="0.25">
      <c r="B555" s="1"/>
      <c r="C555" s="113">
        <v>538</v>
      </c>
      <c r="D555" s="110"/>
      <c r="E555" s="110"/>
      <c r="F555" s="19" t="str">
        <f t="shared" si="8"/>
        <v/>
      </c>
      <c r="G555" s="2"/>
    </row>
    <row r="556" spans="2:7" ht="15" customHeight="1" x14ac:dyDescent="0.25">
      <c r="B556" s="1"/>
      <c r="C556" s="113">
        <v>539</v>
      </c>
      <c r="D556" s="110"/>
      <c r="E556" s="110"/>
      <c r="F556" s="19" t="str">
        <f t="shared" si="8"/>
        <v/>
      </c>
      <c r="G556" s="2"/>
    </row>
    <row r="557" spans="2:7" ht="15" customHeight="1" x14ac:dyDescent="0.25">
      <c r="B557" s="1"/>
      <c r="C557" s="113">
        <v>540</v>
      </c>
      <c r="D557" s="110"/>
      <c r="E557" s="110"/>
      <c r="F557" s="19" t="str">
        <f t="shared" si="8"/>
        <v/>
      </c>
      <c r="G557" s="2"/>
    </row>
    <row r="558" spans="2:7" ht="15" customHeight="1" x14ac:dyDescent="0.25">
      <c r="B558" s="1"/>
      <c r="C558" s="113">
        <v>541</v>
      </c>
      <c r="D558" s="110"/>
      <c r="E558" s="110"/>
      <c r="F558" s="19" t="str">
        <f t="shared" si="8"/>
        <v/>
      </c>
      <c r="G558" s="2"/>
    </row>
    <row r="559" spans="2:7" ht="15" customHeight="1" x14ac:dyDescent="0.25">
      <c r="B559" s="1"/>
      <c r="C559" s="113">
        <v>542</v>
      </c>
      <c r="D559" s="110"/>
      <c r="E559" s="110"/>
      <c r="F559" s="19" t="str">
        <f t="shared" si="8"/>
        <v/>
      </c>
      <c r="G559" s="2"/>
    </row>
    <row r="560" spans="2:7" ht="15" customHeight="1" x14ac:dyDescent="0.25">
      <c r="B560" s="1"/>
      <c r="C560" s="113">
        <v>543</v>
      </c>
      <c r="D560" s="110"/>
      <c r="E560" s="110"/>
      <c r="F560" s="19" t="str">
        <f t="shared" si="8"/>
        <v/>
      </c>
      <c r="G560" s="2"/>
    </row>
    <row r="561" spans="2:7" ht="15" customHeight="1" x14ac:dyDescent="0.25">
      <c r="B561" s="1"/>
      <c r="C561" s="113">
        <v>544</v>
      </c>
      <c r="D561" s="110"/>
      <c r="E561" s="110"/>
      <c r="F561" s="19" t="str">
        <f t="shared" si="8"/>
        <v/>
      </c>
      <c r="G561" s="2"/>
    </row>
    <row r="562" spans="2:7" ht="15" customHeight="1" x14ac:dyDescent="0.25">
      <c r="B562" s="1"/>
      <c r="C562" s="113">
        <v>545</v>
      </c>
      <c r="D562" s="110"/>
      <c r="E562" s="110"/>
      <c r="F562" s="19" t="str">
        <f t="shared" si="8"/>
        <v/>
      </c>
      <c r="G562" s="2"/>
    </row>
    <row r="563" spans="2:7" ht="15" customHeight="1" x14ac:dyDescent="0.25">
      <c r="B563" s="1"/>
      <c r="C563" s="113">
        <v>546</v>
      </c>
      <c r="D563" s="110"/>
      <c r="E563" s="110"/>
      <c r="F563" s="19" t="str">
        <f t="shared" si="8"/>
        <v/>
      </c>
      <c r="G563" s="2"/>
    </row>
    <row r="564" spans="2:7" ht="15" customHeight="1" x14ac:dyDescent="0.25">
      <c r="B564" s="1"/>
      <c r="C564" s="113">
        <v>547</v>
      </c>
      <c r="D564" s="110"/>
      <c r="E564" s="110"/>
      <c r="F564" s="19" t="str">
        <f t="shared" si="8"/>
        <v/>
      </c>
      <c r="G564" s="2"/>
    </row>
    <row r="565" spans="2:7" ht="15" customHeight="1" x14ac:dyDescent="0.25">
      <c r="B565" s="1"/>
      <c r="C565" s="113">
        <v>548</v>
      </c>
      <c r="D565" s="110"/>
      <c r="E565" s="110"/>
      <c r="F565" s="19" t="str">
        <f t="shared" si="8"/>
        <v/>
      </c>
      <c r="G565" s="2"/>
    </row>
    <row r="566" spans="2:7" ht="15" customHeight="1" x14ac:dyDescent="0.25">
      <c r="B566" s="1"/>
      <c r="C566" s="113">
        <v>549</v>
      </c>
      <c r="D566" s="110"/>
      <c r="E566" s="110"/>
      <c r="F566" s="19" t="str">
        <f t="shared" si="8"/>
        <v/>
      </c>
      <c r="G566" s="2"/>
    </row>
    <row r="567" spans="2:7" ht="15" customHeight="1" x14ac:dyDescent="0.25">
      <c r="B567" s="1"/>
      <c r="C567" s="113">
        <v>550</v>
      </c>
      <c r="D567" s="110"/>
      <c r="E567" s="110"/>
      <c r="F567" s="19" t="str">
        <f t="shared" si="8"/>
        <v/>
      </c>
      <c r="G567" s="2"/>
    </row>
    <row r="568" spans="2:7" ht="15" customHeight="1" x14ac:dyDescent="0.25">
      <c r="B568" s="1"/>
      <c r="C568" s="113">
        <v>551</v>
      </c>
      <c r="D568" s="110"/>
      <c r="E568" s="110"/>
      <c r="F568" s="19" t="str">
        <f t="shared" si="8"/>
        <v/>
      </c>
      <c r="G568" s="2"/>
    </row>
    <row r="569" spans="2:7" ht="15" customHeight="1" x14ac:dyDescent="0.25">
      <c r="B569" s="1"/>
      <c r="C569" s="113">
        <v>552</v>
      </c>
      <c r="D569" s="110"/>
      <c r="E569" s="110"/>
      <c r="F569" s="19" t="str">
        <f t="shared" si="8"/>
        <v/>
      </c>
      <c r="G569" s="2"/>
    </row>
    <row r="570" spans="2:7" ht="15" customHeight="1" x14ac:dyDescent="0.25">
      <c r="B570" s="1"/>
      <c r="C570" s="113">
        <v>553</v>
      </c>
      <c r="D570" s="110"/>
      <c r="E570" s="110"/>
      <c r="F570" s="19" t="str">
        <f t="shared" si="8"/>
        <v/>
      </c>
      <c r="G570" s="2"/>
    </row>
    <row r="571" spans="2:7" ht="15" customHeight="1" x14ac:dyDescent="0.25">
      <c r="B571" s="1"/>
      <c r="C571" s="113">
        <v>554</v>
      </c>
      <c r="D571" s="110"/>
      <c r="E571" s="110"/>
      <c r="F571" s="19" t="str">
        <f t="shared" si="8"/>
        <v/>
      </c>
      <c r="G571" s="2"/>
    </row>
    <row r="572" spans="2:7" ht="15" customHeight="1" x14ac:dyDescent="0.25">
      <c r="B572" s="1"/>
      <c r="C572" s="113">
        <v>555</v>
      </c>
      <c r="D572" s="110"/>
      <c r="E572" s="110"/>
      <c r="F572" s="19" t="str">
        <f t="shared" si="8"/>
        <v/>
      </c>
      <c r="G572" s="2"/>
    </row>
    <row r="573" spans="2:7" ht="15" customHeight="1" x14ac:dyDescent="0.25">
      <c r="B573" s="1"/>
      <c r="C573" s="113">
        <v>556</v>
      </c>
      <c r="D573" s="110"/>
      <c r="E573" s="110"/>
      <c r="F573" s="19" t="str">
        <f t="shared" si="8"/>
        <v/>
      </c>
      <c r="G573" s="2"/>
    </row>
    <row r="574" spans="2:7" ht="15" customHeight="1" x14ac:dyDescent="0.25">
      <c r="B574" s="1"/>
      <c r="C574" s="113">
        <v>557</v>
      </c>
      <c r="D574" s="110"/>
      <c r="E574" s="110"/>
      <c r="F574" s="19" t="str">
        <f t="shared" si="8"/>
        <v/>
      </c>
      <c r="G574" s="2"/>
    </row>
    <row r="575" spans="2:7" ht="15" customHeight="1" x14ac:dyDescent="0.25">
      <c r="B575" s="1"/>
      <c r="C575" s="113">
        <v>558</v>
      </c>
      <c r="D575" s="110"/>
      <c r="E575" s="110"/>
      <c r="F575" s="19" t="str">
        <f t="shared" si="8"/>
        <v/>
      </c>
      <c r="G575" s="2"/>
    </row>
    <row r="576" spans="2:7" ht="15" customHeight="1" x14ac:dyDescent="0.25">
      <c r="B576" s="1"/>
      <c r="C576" s="113">
        <v>559</v>
      </c>
      <c r="D576" s="110"/>
      <c r="E576" s="110"/>
      <c r="F576" s="19" t="str">
        <f t="shared" si="8"/>
        <v/>
      </c>
      <c r="G576" s="2"/>
    </row>
    <row r="577" spans="2:7" ht="15" customHeight="1" x14ac:dyDescent="0.25">
      <c r="B577" s="1"/>
      <c r="C577" s="113">
        <v>560</v>
      </c>
      <c r="D577" s="110"/>
      <c r="E577" s="110"/>
      <c r="F577" s="19" t="str">
        <f t="shared" si="8"/>
        <v/>
      </c>
      <c r="G577" s="2"/>
    </row>
    <row r="578" spans="2:7" ht="15" customHeight="1" x14ac:dyDescent="0.25">
      <c r="B578" s="1"/>
      <c r="C578" s="113">
        <v>561</v>
      </c>
      <c r="D578" s="110"/>
      <c r="E578" s="110"/>
      <c r="F578" s="19" t="str">
        <f t="shared" si="8"/>
        <v/>
      </c>
      <c r="G578" s="2"/>
    </row>
    <row r="579" spans="2:7" ht="15" customHeight="1" x14ac:dyDescent="0.25">
      <c r="B579" s="1"/>
      <c r="C579" s="113">
        <v>562</v>
      </c>
      <c r="D579" s="110"/>
      <c r="E579" s="110"/>
      <c r="F579" s="19" t="str">
        <f t="shared" si="8"/>
        <v/>
      </c>
      <c r="G579" s="2"/>
    </row>
    <row r="580" spans="2:7" ht="15" customHeight="1" x14ac:dyDescent="0.25">
      <c r="B580" s="1"/>
      <c r="C580" s="113">
        <v>563</v>
      </c>
      <c r="D580" s="110"/>
      <c r="E580" s="110"/>
      <c r="F580" s="19" t="str">
        <f t="shared" si="8"/>
        <v/>
      </c>
      <c r="G580" s="2"/>
    </row>
    <row r="581" spans="2:7" ht="15" customHeight="1" x14ac:dyDescent="0.25">
      <c r="B581" s="1"/>
      <c r="C581" s="113">
        <v>564</v>
      </c>
      <c r="D581" s="110"/>
      <c r="E581" s="110"/>
      <c r="F581" s="19" t="str">
        <f t="shared" si="8"/>
        <v/>
      </c>
      <c r="G581" s="2"/>
    </row>
    <row r="582" spans="2:7" ht="15" customHeight="1" x14ac:dyDescent="0.25">
      <c r="B582" s="1"/>
      <c r="C582" s="113">
        <v>565</v>
      </c>
      <c r="D582" s="110"/>
      <c r="E582" s="110"/>
      <c r="F582" s="19" t="str">
        <f t="shared" si="8"/>
        <v/>
      </c>
      <c r="G582" s="2"/>
    </row>
    <row r="583" spans="2:7" ht="15" customHeight="1" x14ac:dyDescent="0.25">
      <c r="B583" s="1"/>
      <c r="C583" s="113">
        <v>566</v>
      </c>
      <c r="D583" s="110"/>
      <c r="E583" s="110"/>
      <c r="F583" s="19" t="str">
        <f t="shared" si="8"/>
        <v/>
      </c>
      <c r="G583" s="2"/>
    </row>
    <row r="584" spans="2:7" ht="15" customHeight="1" x14ac:dyDescent="0.25">
      <c r="B584" s="1"/>
      <c r="C584" s="113">
        <v>567</v>
      </c>
      <c r="D584" s="110"/>
      <c r="E584" s="110"/>
      <c r="F584" s="19" t="str">
        <f t="shared" si="8"/>
        <v/>
      </c>
      <c r="G584" s="2"/>
    </row>
    <row r="585" spans="2:7" ht="15" customHeight="1" x14ac:dyDescent="0.25">
      <c r="B585" s="1"/>
      <c r="C585" s="113">
        <v>568</v>
      </c>
      <c r="D585" s="110"/>
      <c r="E585" s="110"/>
      <c r="F585" s="19" t="str">
        <f t="shared" si="8"/>
        <v/>
      </c>
      <c r="G585" s="2"/>
    </row>
    <row r="586" spans="2:7" ht="15" customHeight="1" x14ac:dyDescent="0.25">
      <c r="B586" s="1"/>
      <c r="C586" s="113">
        <v>569</v>
      </c>
      <c r="D586" s="110"/>
      <c r="E586" s="110"/>
      <c r="F586" s="19" t="str">
        <f t="shared" si="8"/>
        <v/>
      </c>
      <c r="G586" s="2"/>
    </row>
    <row r="587" spans="2:7" ht="15" customHeight="1" x14ac:dyDescent="0.25">
      <c r="B587" s="1"/>
      <c r="C587" s="113">
        <v>570</v>
      </c>
      <c r="D587" s="110"/>
      <c r="E587" s="110"/>
      <c r="F587" s="19" t="str">
        <f t="shared" si="8"/>
        <v/>
      </c>
      <c r="G587" s="2"/>
    </row>
    <row r="588" spans="2:7" ht="15" customHeight="1" x14ac:dyDescent="0.25">
      <c r="B588" s="1"/>
      <c r="C588" s="113">
        <v>571</v>
      </c>
      <c r="D588" s="110"/>
      <c r="E588" s="110"/>
      <c r="F588" s="19" t="str">
        <f t="shared" si="8"/>
        <v/>
      </c>
      <c r="G588" s="2"/>
    </row>
    <row r="589" spans="2:7" ht="15" customHeight="1" x14ac:dyDescent="0.25">
      <c r="B589" s="1"/>
      <c r="C589" s="113">
        <v>572</v>
      </c>
      <c r="D589" s="110"/>
      <c r="E589" s="110"/>
      <c r="F589" s="19" t="str">
        <f t="shared" si="8"/>
        <v/>
      </c>
      <c r="G589" s="2"/>
    </row>
    <row r="590" spans="2:7" ht="15" customHeight="1" x14ac:dyDescent="0.25">
      <c r="B590" s="1"/>
      <c r="C590" s="113">
        <v>573</v>
      </c>
      <c r="D590" s="110"/>
      <c r="E590" s="110"/>
      <c r="F590" s="19" t="str">
        <f t="shared" si="8"/>
        <v/>
      </c>
      <c r="G590" s="2"/>
    </row>
    <row r="591" spans="2:7" ht="15" customHeight="1" x14ac:dyDescent="0.25">
      <c r="B591" s="1"/>
      <c r="C591" s="113">
        <v>574</v>
      </c>
      <c r="D591" s="110"/>
      <c r="E591" s="110"/>
      <c r="F591" s="19" t="str">
        <f t="shared" si="8"/>
        <v/>
      </c>
      <c r="G591" s="2"/>
    </row>
    <row r="592" spans="2:7" ht="15" customHeight="1" x14ac:dyDescent="0.25">
      <c r="B592" s="1"/>
      <c r="C592" s="113">
        <v>575</v>
      </c>
      <c r="D592" s="110"/>
      <c r="E592" s="110"/>
      <c r="F592" s="19" t="str">
        <f t="shared" si="8"/>
        <v/>
      </c>
      <c r="G592" s="2"/>
    </row>
    <row r="593" spans="2:7" ht="15" customHeight="1" x14ac:dyDescent="0.25">
      <c r="B593" s="1"/>
      <c r="C593" s="113">
        <v>576</v>
      </c>
      <c r="D593" s="110"/>
      <c r="E593" s="110"/>
      <c r="F593" s="19" t="str">
        <f t="shared" si="8"/>
        <v/>
      </c>
      <c r="G593" s="2"/>
    </row>
    <row r="594" spans="2:7" ht="15" customHeight="1" x14ac:dyDescent="0.25">
      <c r="B594" s="1"/>
      <c r="C594" s="113">
        <v>577</v>
      </c>
      <c r="D594" s="110"/>
      <c r="E594" s="110"/>
      <c r="F594" s="19" t="str">
        <f t="shared" si="8"/>
        <v/>
      </c>
      <c r="G594" s="2"/>
    </row>
    <row r="595" spans="2:7" ht="15" customHeight="1" x14ac:dyDescent="0.25">
      <c r="B595" s="1"/>
      <c r="C595" s="113">
        <v>578</v>
      </c>
      <c r="D595" s="110"/>
      <c r="E595" s="110"/>
      <c r="F595" s="19" t="str">
        <f t="shared" ref="F595:F658" si="9">IFERROR(IF(AND(LEFT(D595,6)=LEFT(E595,6),RIGHT(E595,9)-RIGHT(D595,9)&gt;=0),RIGHT(E595,9)-RIGHT(D595,9)+1,""),"")</f>
        <v/>
      </c>
      <c r="G595" s="2"/>
    </row>
    <row r="596" spans="2:7" ht="15" customHeight="1" x14ac:dyDescent="0.25">
      <c r="B596" s="1"/>
      <c r="C596" s="113">
        <v>579</v>
      </c>
      <c r="D596" s="110"/>
      <c r="E596" s="110"/>
      <c r="F596" s="19" t="str">
        <f t="shared" si="9"/>
        <v/>
      </c>
      <c r="G596" s="2"/>
    </row>
    <row r="597" spans="2:7" ht="15" customHeight="1" x14ac:dyDescent="0.25">
      <c r="B597" s="1"/>
      <c r="C597" s="113">
        <v>580</v>
      </c>
      <c r="D597" s="110"/>
      <c r="E597" s="110"/>
      <c r="F597" s="19" t="str">
        <f t="shared" si="9"/>
        <v/>
      </c>
      <c r="G597" s="2"/>
    </row>
    <row r="598" spans="2:7" ht="15" customHeight="1" x14ac:dyDescent="0.25">
      <c r="B598" s="1"/>
      <c r="C598" s="113">
        <v>581</v>
      </c>
      <c r="D598" s="110"/>
      <c r="E598" s="110"/>
      <c r="F598" s="19" t="str">
        <f t="shared" si="9"/>
        <v/>
      </c>
      <c r="G598" s="2"/>
    </row>
    <row r="599" spans="2:7" ht="15" customHeight="1" x14ac:dyDescent="0.25">
      <c r="B599" s="1"/>
      <c r="C599" s="113">
        <v>582</v>
      </c>
      <c r="D599" s="110"/>
      <c r="E599" s="110"/>
      <c r="F599" s="19" t="str">
        <f t="shared" si="9"/>
        <v/>
      </c>
      <c r="G599" s="2"/>
    </row>
    <row r="600" spans="2:7" ht="15" customHeight="1" x14ac:dyDescent="0.25">
      <c r="B600" s="1"/>
      <c r="C600" s="113">
        <v>583</v>
      </c>
      <c r="D600" s="110"/>
      <c r="E600" s="110"/>
      <c r="F600" s="19" t="str">
        <f t="shared" si="9"/>
        <v/>
      </c>
      <c r="G600" s="2"/>
    </row>
    <row r="601" spans="2:7" ht="15" customHeight="1" x14ac:dyDescent="0.25">
      <c r="B601" s="1"/>
      <c r="C601" s="113">
        <v>584</v>
      </c>
      <c r="D601" s="110"/>
      <c r="E601" s="110"/>
      <c r="F601" s="19" t="str">
        <f t="shared" si="9"/>
        <v/>
      </c>
      <c r="G601" s="2"/>
    </row>
    <row r="602" spans="2:7" ht="15" customHeight="1" x14ac:dyDescent="0.25">
      <c r="B602" s="1"/>
      <c r="C602" s="113">
        <v>585</v>
      </c>
      <c r="D602" s="110"/>
      <c r="E602" s="110"/>
      <c r="F602" s="19" t="str">
        <f t="shared" si="9"/>
        <v/>
      </c>
      <c r="G602" s="2"/>
    </row>
    <row r="603" spans="2:7" ht="15" customHeight="1" x14ac:dyDescent="0.25">
      <c r="B603" s="1"/>
      <c r="C603" s="113">
        <v>586</v>
      </c>
      <c r="D603" s="110"/>
      <c r="E603" s="110"/>
      <c r="F603" s="19" t="str">
        <f t="shared" si="9"/>
        <v/>
      </c>
      <c r="G603" s="2"/>
    </row>
    <row r="604" spans="2:7" ht="15" customHeight="1" x14ac:dyDescent="0.25">
      <c r="B604" s="1"/>
      <c r="C604" s="113">
        <v>587</v>
      </c>
      <c r="D604" s="110"/>
      <c r="E604" s="110"/>
      <c r="F604" s="19" t="str">
        <f t="shared" si="9"/>
        <v/>
      </c>
      <c r="G604" s="2"/>
    </row>
    <row r="605" spans="2:7" ht="15" customHeight="1" x14ac:dyDescent="0.25">
      <c r="B605" s="1"/>
      <c r="C605" s="113">
        <v>588</v>
      </c>
      <c r="D605" s="110"/>
      <c r="E605" s="110"/>
      <c r="F605" s="19" t="str">
        <f t="shared" si="9"/>
        <v/>
      </c>
      <c r="G605" s="2"/>
    </row>
    <row r="606" spans="2:7" ht="15" customHeight="1" x14ac:dyDescent="0.25">
      <c r="B606" s="1"/>
      <c r="C606" s="113">
        <v>589</v>
      </c>
      <c r="D606" s="110"/>
      <c r="E606" s="110"/>
      <c r="F606" s="19" t="str">
        <f t="shared" si="9"/>
        <v/>
      </c>
      <c r="G606" s="2"/>
    </row>
    <row r="607" spans="2:7" ht="15" customHeight="1" x14ac:dyDescent="0.25">
      <c r="B607" s="1"/>
      <c r="C607" s="113">
        <v>590</v>
      </c>
      <c r="D607" s="110"/>
      <c r="E607" s="110"/>
      <c r="F607" s="19" t="str">
        <f t="shared" si="9"/>
        <v/>
      </c>
      <c r="G607" s="2"/>
    </row>
    <row r="608" spans="2:7" ht="15" customHeight="1" x14ac:dyDescent="0.25">
      <c r="B608" s="1"/>
      <c r="C608" s="113">
        <v>591</v>
      </c>
      <c r="D608" s="110"/>
      <c r="E608" s="110"/>
      <c r="F608" s="19" t="str">
        <f t="shared" si="9"/>
        <v/>
      </c>
      <c r="G608" s="2"/>
    </row>
    <row r="609" spans="2:7" ht="15" customHeight="1" x14ac:dyDescent="0.25">
      <c r="B609" s="1"/>
      <c r="C609" s="113">
        <v>592</v>
      </c>
      <c r="D609" s="110"/>
      <c r="E609" s="110"/>
      <c r="F609" s="19" t="str">
        <f t="shared" si="9"/>
        <v/>
      </c>
      <c r="G609" s="2"/>
    </row>
    <row r="610" spans="2:7" ht="15" customHeight="1" x14ac:dyDescent="0.25">
      <c r="B610" s="1"/>
      <c r="C610" s="113">
        <v>593</v>
      </c>
      <c r="D610" s="110"/>
      <c r="E610" s="110"/>
      <c r="F610" s="19" t="str">
        <f t="shared" si="9"/>
        <v/>
      </c>
      <c r="G610" s="2"/>
    </row>
    <row r="611" spans="2:7" ht="15" customHeight="1" x14ac:dyDescent="0.25">
      <c r="B611" s="1"/>
      <c r="C611" s="113">
        <v>594</v>
      </c>
      <c r="D611" s="110"/>
      <c r="E611" s="110"/>
      <c r="F611" s="19" t="str">
        <f t="shared" si="9"/>
        <v/>
      </c>
      <c r="G611" s="2"/>
    </row>
    <row r="612" spans="2:7" ht="15" customHeight="1" x14ac:dyDescent="0.25">
      <c r="B612" s="1"/>
      <c r="C612" s="113">
        <v>595</v>
      </c>
      <c r="D612" s="110"/>
      <c r="E612" s="110"/>
      <c r="F612" s="19" t="str">
        <f t="shared" si="9"/>
        <v/>
      </c>
      <c r="G612" s="2"/>
    </row>
    <row r="613" spans="2:7" ht="15" customHeight="1" x14ac:dyDescent="0.25">
      <c r="B613" s="1"/>
      <c r="C613" s="113">
        <v>596</v>
      </c>
      <c r="D613" s="110"/>
      <c r="E613" s="110"/>
      <c r="F613" s="19" t="str">
        <f t="shared" si="9"/>
        <v/>
      </c>
      <c r="G613" s="2"/>
    </row>
    <row r="614" spans="2:7" ht="15" customHeight="1" x14ac:dyDescent="0.25">
      <c r="B614" s="1"/>
      <c r="C614" s="113">
        <v>597</v>
      </c>
      <c r="D614" s="110"/>
      <c r="E614" s="110"/>
      <c r="F614" s="19" t="str">
        <f t="shared" si="9"/>
        <v/>
      </c>
      <c r="G614" s="2"/>
    </row>
    <row r="615" spans="2:7" ht="15" customHeight="1" x14ac:dyDescent="0.25">
      <c r="B615" s="1"/>
      <c r="C615" s="113">
        <v>598</v>
      </c>
      <c r="D615" s="110"/>
      <c r="E615" s="110"/>
      <c r="F615" s="19" t="str">
        <f t="shared" si="9"/>
        <v/>
      </c>
      <c r="G615" s="2"/>
    </row>
    <row r="616" spans="2:7" ht="15" customHeight="1" x14ac:dyDescent="0.25">
      <c r="B616" s="1"/>
      <c r="C616" s="113">
        <v>599</v>
      </c>
      <c r="D616" s="110"/>
      <c r="E616" s="110"/>
      <c r="F616" s="19" t="str">
        <f t="shared" si="9"/>
        <v/>
      </c>
      <c r="G616" s="2"/>
    </row>
    <row r="617" spans="2:7" ht="15" customHeight="1" x14ac:dyDescent="0.25">
      <c r="B617" s="1"/>
      <c r="C617" s="113">
        <v>600</v>
      </c>
      <c r="D617" s="110"/>
      <c r="E617" s="110"/>
      <c r="F617" s="19" t="str">
        <f t="shared" si="9"/>
        <v/>
      </c>
      <c r="G617" s="2"/>
    </row>
    <row r="618" spans="2:7" ht="15" customHeight="1" x14ac:dyDescent="0.25">
      <c r="B618" s="1"/>
      <c r="C618" s="113">
        <v>601</v>
      </c>
      <c r="D618" s="110"/>
      <c r="E618" s="110"/>
      <c r="F618" s="19" t="str">
        <f t="shared" si="9"/>
        <v/>
      </c>
      <c r="G618" s="2"/>
    </row>
    <row r="619" spans="2:7" ht="15" customHeight="1" x14ac:dyDescent="0.25">
      <c r="B619" s="1"/>
      <c r="C619" s="113">
        <v>602</v>
      </c>
      <c r="D619" s="110"/>
      <c r="E619" s="110"/>
      <c r="F619" s="19" t="str">
        <f t="shared" si="9"/>
        <v/>
      </c>
      <c r="G619" s="2"/>
    </row>
    <row r="620" spans="2:7" ht="15" customHeight="1" x14ac:dyDescent="0.25">
      <c r="B620" s="1"/>
      <c r="C620" s="113">
        <v>603</v>
      </c>
      <c r="D620" s="110"/>
      <c r="E620" s="110"/>
      <c r="F620" s="19" t="str">
        <f t="shared" si="9"/>
        <v/>
      </c>
      <c r="G620" s="2"/>
    </row>
    <row r="621" spans="2:7" ht="15" customHeight="1" x14ac:dyDescent="0.25">
      <c r="B621" s="1"/>
      <c r="C621" s="113">
        <v>604</v>
      </c>
      <c r="D621" s="110"/>
      <c r="E621" s="110"/>
      <c r="F621" s="19" t="str">
        <f t="shared" si="9"/>
        <v/>
      </c>
      <c r="G621" s="2"/>
    </row>
    <row r="622" spans="2:7" ht="15" customHeight="1" x14ac:dyDescent="0.25">
      <c r="B622" s="1"/>
      <c r="C622" s="113">
        <v>605</v>
      </c>
      <c r="D622" s="110"/>
      <c r="E622" s="110"/>
      <c r="F622" s="19" t="str">
        <f t="shared" si="9"/>
        <v/>
      </c>
      <c r="G622" s="2"/>
    </row>
    <row r="623" spans="2:7" ht="15" customHeight="1" x14ac:dyDescent="0.25">
      <c r="B623" s="1"/>
      <c r="C623" s="113">
        <v>606</v>
      </c>
      <c r="D623" s="110"/>
      <c r="E623" s="110"/>
      <c r="F623" s="19" t="str">
        <f t="shared" si="9"/>
        <v/>
      </c>
      <c r="G623" s="2"/>
    </row>
    <row r="624" spans="2:7" ht="15" customHeight="1" x14ac:dyDescent="0.25">
      <c r="B624" s="1"/>
      <c r="C624" s="113">
        <v>607</v>
      </c>
      <c r="D624" s="110"/>
      <c r="E624" s="110"/>
      <c r="F624" s="19" t="str">
        <f t="shared" si="9"/>
        <v/>
      </c>
      <c r="G624" s="2"/>
    </row>
    <row r="625" spans="2:7" ht="15" customHeight="1" x14ac:dyDescent="0.25">
      <c r="B625" s="1"/>
      <c r="C625" s="113">
        <v>608</v>
      </c>
      <c r="D625" s="110"/>
      <c r="E625" s="110"/>
      <c r="F625" s="19" t="str">
        <f t="shared" si="9"/>
        <v/>
      </c>
      <c r="G625" s="2"/>
    </row>
    <row r="626" spans="2:7" ht="15" customHeight="1" x14ac:dyDescent="0.25">
      <c r="B626" s="1"/>
      <c r="C626" s="113">
        <v>609</v>
      </c>
      <c r="D626" s="110"/>
      <c r="E626" s="110"/>
      <c r="F626" s="19" t="str">
        <f t="shared" si="9"/>
        <v/>
      </c>
      <c r="G626" s="2"/>
    </row>
    <row r="627" spans="2:7" ht="15" customHeight="1" x14ac:dyDescent="0.25">
      <c r="B627" s="1"/>
      <c r="C627" s="113">
        <v>610</v>
      </c>
      <c r="D627" s="110"/>
      <c r="E627" s="110"/>
      <c r="F627" s="19" t="str">
        <f t="shared" si="9"/>
        <v/>
      </c>
      <c r="G627" s="2"/>
    </row>
    <row r="628" spans="2:7" ht="15" customHeight="1" x14ac:dyDescent="0.25">
      <c r="B628" s="1"/>
      <c r="C628" s="113">
        <v>611</v>
      </c>
      <c r="D628" s="110"/>
      <c r="E628" s="110"/>
      <c r="F628" s="19" t="str">
        <f t="shared" si="9"/>
        <v/>
      </c>
      <c r="G628" s="2"/>
    </row>
    <row r="629" spans="2:7" ht="15" customHeight="1" x14ac:dyDescent="0.25">
      <c r="B629" s="1"/>
      <c r="C629" s="113">
        <v>612</v>
      </c>
      <c r="D629" s="110"/>
      <c r="E629" s="110"/>
      <c r="F629" s="19" t="str">
        <f t="shared" si="9"/>
        <v/>
      </c>
      <c r="G629" s="2"/>
    </row>
    <row r="630" spans="2:7" ht="15" customHeight="1" x14ac:dyDescent="0.25">
      <c r="B630" s="1"/>
      <c r="C630" s="113">
        <v>613</v>
      </c>
      <c r="D630" s="110"/>
      <c r="E630" s="110"/>
      <c r="F630" s="19" t="str">
        <f t="shared" si="9"/>
        <v/>
      </c>
      <c r="G630" s="2"/>
    </row>
    <row r="631" spans="2:7" ht="15" customHeight="1" x14ac:dyDescent="0.25">
      <c r="B631" s="1"/>
      <c r="C631" s="113">
        <v>614</v>
      </c>
      <c r="D631" s="110"/>
      <c r="E631" s="110"/>
      <c r="F631" s="19" t="str">
        <f t="shared" si="9"/>
        <v/>
      </c>
      <c r="G631" s="2"/>
    </row>
    <row r="632" spans="2:7" ht="15" customHeight="1" x14ac:dyDescent="0.25">
      <c r="B632" s="1"/>
      <c r="C632" s="113">
        <v>615</v>
      </c>
      <c r="D632" s="110"/>
      <c r="E632" s="110"/>
      <c r="F632" s="19" t="str">
        <f t="shared" si="9"/>
        <v/>
      </c>
      <c r="G632" s="2"/>
    </row>
    <row r="633" spans="2:7" ht="15" customHeight="1" x14ac:dyDescent="0.25">
      <c r="B633" s="1"/>
      <c r="C633" s="113">
        <v>616</v>
      </c>
      <c r="D633" s="110"/>
      <c r="E633" s="110"/>
      <c r="F633" s="19" t="str">
        <f t="shared" si="9"/>
        <v/>
      </c>
      <c r="G633" s="2"/>
    </row>
    <row r="634" spans="2:7" ht="15" customHeight="1" x14ac:dyDescent="0.25">
      <c r="B634" s="1"/>
      <c r="C634" s="113">
        <v>617</v>
      </c>
      <c r="D634" s="110"/>
      <c r="E634" s="110"/>
      <c r="F634" s="19" t="str">
        <f t="shared" si="9"/>
        <v/>
      </c>
      <c r="G634" s="2"/>
    </row>
    <row r="635" spans="2:7" ht="15" customHeight="1" x14ac:dyDescent="0.25">
      <c r="B635" s="1"/>
      <c r="C635" s="113">
        <v>618</v>
      </c>
      <c r="D635" s="110"/>
      <c r="E635" s="110"/>
      <c r="F635" s="19" t="str">
        <f t="shared" si="9"/>
        <v/>
      </c>
      <c r="G635" s="2"/>
    </row>
    <row r="636" spans="2:7" ht="15" customHeight="1" x14ac:dyDescent="0.25">
      <c r="B636" s="1"/>
      <c r="C636" s="113">
        <v>619</v>
      </c>
      <c r="D636" s="110"/>
      <c r="E636" s="110"/>
      <c r="F636" s="19" t="str">
        <f t="shared" si="9"/>
        <v/>
      </c>
      <c r="G636" s="2"/>
    </row>
    <row r="637" spans="2:7" ht="15" customHeight="1" x14ac:dyDescent="0.25">
      <c r="B637" s="1"/>
      <c r="C637" s="113">
        <v>620</v>
      </c>
      <c r="D637" s="110"/>
      <c r="E637" s="110"/>
      <c r="F637" s="19" t="str">
        <f t="shared" si="9"/>
        <v/>
      </c>
      <c r="G637" s="2"/>
    </row>
    <row r="638" spans="2:7" ht="15" customHeight="1" x14ac:dyDescent="0.25">
      <c r="B638" s="1"/>
      <c r="C638" s="113">
        <v>621</v>
      </c>
      <c r="D638" s="110"/>
      <c r="E638" s="110"/>
      <c r="F638" s="19" t="str">
        <f t="shared" si="9"/>
        <v/>
      </c>
      <c r="G638" s="2"/>
    </row>
    <row r="639" spans="2:7" ht="15" customHeight="1" x14ac:dyDescent="0.25">
      <c r="B639" s="1"/>
      <c r="C639" s="113">
        <v>622</v>
      </c>
      <c r="D639" s="110"/>
      <c r="E639" s="110"/>
      <c r="F639" s="19" t="str">
        <f t="shared" si="9"/>
        <v/>
      </c>
      <c r="G639" s="2"/>
    </row>
    <row r="640" spans="2:7" ht="15" customHeight="1" x14ac:dyDescent="0.25">
      <c r="B640" s="1"/>
      <c r="C640" s="113">
        <v>623</v>
      </c>
      <c r="D640" s="110"/>
      <c r="E640" s="110"/>
      <c r="F640" s="19" t="str">
        <f t="shared" si="9"/>
        <v/>
      </c>
      <c r="G640" s="2"/>
    </row>
    <row r="641" spans="2:7" ht="15" customHeight="1" x14ac:dyDescent="0.25">
      <c r="B641" s="1"/>
      <c r="C641" s="113">
        <v>624</v>
      </c>
      <c r="D641" s="110"/>
      <c r="E641" s="110"/>
      <c r="F641" s="19" t="str">
        <f t="shared" si="9"/>
        <v/>
      </c>
      <c r="G641" s="2"/>
    </row>
    <row r="642" spans="2:7" ht="15" customHeight="1" x14ac:dyDescent="0.25">
      <c r="B642" s="1"/>
      <c r="C642" s="113">
        <v>625</v>
      </c>
      <c r="D642" s="110"/>
      <c r="E642" s="110"/>
      <c r="F642" s="19" t="str">
        <f t="shared" si="9"/>
        <v/>
      </c>
      <c r="G642" s="2"/>
    </row>
    <row r="643" spans="2:7" ht="15" customHeight="1" x14ac:dyDescent="0.25">
      <c r="B643" s="1"/>
      <c r="C643" s="113">
        <v>626</v>
      </c>
      <c r="D643" s="110"/>
      <c r="E643" s="110"/>
      <c r="F643" s="19" t="str">
        <f t="shared" si="9"/>
        <v/>
      </c>
      <c r="G643" s="2"/>
    </row>
    <row r="644" spans="2:7" ht="15" customHeight="1" x14ac:dyDescent="0.25">
      <c r="B644" s="1"/>
      <c r="C644" s="113">
        <v>627</v>
      </c>
      <c r="D644" s="110"/>
      <c r="E644" s="110"/>
      <c r="F644" s="19" t="str">
        <f t="shared" si="9"/>
        <v/>
      </c>
      <c r="G644" s="2"/>
    </row>
    <row r="645" spans="2:7" ht="15" customHeight="1" x14ac:dyDescent="0.25">
      <c r="B645" s="1"/>
      <c r="C645" s="113">
        <v>628</v>
      </c>
      <c r="D645" s="110"/>
      <c r="E645" s="110"/>
      <c r="F645" s="19" t="str">
        <f t="shared" si="9"/>
        <v/>
      </c>
      <c r="G645" s="2"/>
    </row>
    <row r="646" spans="2:7" ht="15" customHeight="1" x14ac:dyDescent="0.25">
      <c r="B646" s="1"/>
      <c r="C646" s="113">
        <v>629</v>
      </c>
      <c r="D646" s="110"/>
      <c r="E646" s="110"/>
      <c r="F646" s="19" t="str">
        <f t="shared" si="9"/>
        <v/>
      </c>
      <c r="G646" s="2"/>
    </row>
    <row r="647" spans="2:7" ht="15" customHeight="1" x14ac:dyDescent="0.25">
      <c r="B647" s="1"/>
      <c r="C647" s="113">
        <v>630</v>
      </c>
      <c r="D647" s="110"/>
      <c r="E647" s="110"/>
      <c r="F647" s="19" t="str">
        <f t="shared" si="9"/>
        <v/>
      </c>
      <c r="G647" s="2"/>
    </row>
    <row r="648" spans="2:7" ht="15" customHeight="1" x14ac:dyDescent="0.25">
      <c r="B648" s="1"/>
      <c r="C648" s="113">
        <v>631</v>
      </c>
      <c r="D648" s="110"/>
      <c r="E648" s="110"/>
      <c r="F648" s="19" t="str">
        <f t="shared" si="9"/>
        <v/>
      </c>
      <c r="G648" s="2"/>
    </row>
    <row r="649" spans="2:7" ht="15" customHeight="1" x14ac:dyDescent="0.25">
      <c r="B649" s="1"/>
      <c r="C649" s="113">
        <v>632</v>
      </c>
      <c r="D649" s="110"/>
      <c r="E649" s="110"/>
      <c r="F649" s="19" t="str">
        <f t="shared" si="9"/>
        <v/>
      </c>
      <c r="G649" s="2"/>
    </row>
    <row r="650" spans="2:7" ht="15" customHeight="1" x14ac:dyDescent="0.25">
      <c r="B650" s="1"/>
      <c r="C650" s="113">
        <v>633</v>
      </c>
      <c r="D650" s="110"/>
      <c r="E650" s="110"/>
      <c r="F650" s="19" t="str">
        <f t="shared" si="9"/>
        <v/>
      </c>
      <c r="G650" s="2"/>
    </row>
    <row r="651" spans="2:7" ht="15" customHeight="1" x14ac:dyDescent="0.25">
      <c r="B651" s="1"/>
      <c r="C651" s="113">
        <v>634</v>
      </c>
      <c r="D651" s="110"/>
      <c r="E651" s="110"/>
      <c r="F651" s="19" t="str">
        <f t="shared" si="9"/>
        <v/>
      </c>
      <c r="G651" s="2"/>
    </row>
    <row r="652" spans="2:7" ht="15" customHeight="1" x14ac:dyDescent="0.25">
      <c r="B652" s="1"/>
      <c r="C652" s="113">
        <v>635</v>
      </c>
      <c r="D652" s="110"/>
      <c r="E652" s="110"/>
      <c r="F652" s="19" t="str">
        <f t="shared" si="9"/>
        <v/>
      </c>
      <c r="G652" s="2"/>
    </row>
    <row r="653" spans="2:7" ht="15" customHeight="1" x14ac:dyDescent="0.25">
      <c r="B653" s="1"/>
      <c r="C653" s="113">
        <v>636</v>
      </c>
      <c r="D653" s="110"/>
      <c r="E653" s="110"/>
      <c r="F653" s="19" t="str">
        <f t="shared" si="9"/>
        <v/>
      </c>
      <c r="G653" s="2"/>
    </row>
    <row r="654" spans="2:7" ht="15" customHeight="1" x14ac:dyDescent="0.25">
      <c r="B654" s="1"/>
      <c r="C654" s="113">
        <v>637</v>
      </c>
      <c r="D654" s="110"/>
      <c r="E654" s="110"/>
      <c r="F654" s="19" t="str">
        <f t="shared" si="9"/>
        <v/>
      </c>
      <c r="G654" s="2"/>
    </row>
    <row r="655" spans="2:7" ht="15" customHeight="1" x14ac:dyDescent="0.25">
      <c r="B655" s="1"/>
      <c r="C655" s="113">
        <v>638</v>
      </c>
      <c r="D655" s="110"/>
      <c r="E655" s="110"/>
      <c r="F655" s="19" t="str">
        <f t="shared" si="9"/>
        <v/>
      </c>
      <c r="G655" s="2"/>
    </row>
    <row r="656" spans="2:7" ht="15" customHeight="1" x14ac:dyDescent="0.25">
      <c r="B656" s="1"/>
      <c r="C656" s="113">
        <v>639</v>
      </c>
      <c r="D656" s="110"/>
      <c r="E656" s="110"/>
      <c r="F656" s="19" t="str">
        <f t="shared" si="9"/>
        <v/>
      </c>
      <c r="G656" s="2"/>
    </row>
    <row r="657" spans="2:7" ht="15" customHeight="1" x14ac:dyDescent="0.25">
      <c r="B657" s="1"/>
      <c r="C657" s="113">
        <v>640</v>
      </c>
      <c r="D657" s="110"/>
      <c r="E657" s="110"/>
      <c r="F657" s="19" t="str">
        <f t="shared" si="9"/>
        <v/>
      </c>
      <c r="G657" s="2"/>
    </row>
    <row r="658" spans="2:7" ht="15" customHeight="1" x14ac:dyDescent="0.25">
      <c r="B658" s="1"/>
      <c r="C658" s="113">
        <v>641</v>
      </c>
      <c r="D658" s="110"/>
      <c r="E658" s="110"/>
      <c r="F658" s="19" t="str">
        <f t="shared" si="9"/>
        <v/>
      </c>
      <c r="G658" s="2"/>
    </row>
    <row r="659" spans="2:7" ht="15" customHeight="1" x14ac:dyDescent="0.25">
      <c r="B659" s="1"/>
      <c r="C659" s="113">
        <v>642</v>
      </c>
      <c r="D659" s="110"/>
      <c r="E659" s="110"/>
      <c r="F659" s="19" t="str">
        <f t="shared" ref="F659:F722" si="10">IFERROR(IF(AND(LEFT(D659,6)=LEFT(E659,6),RIGHT(E659,9)-RIGHT(D659,9)&gt;=0),RIGHT(E659,9)-RIGHT(D659,9)+1,""),"")</f>
        <v/>
      </c>
      <c r="G659" s="2"/>
    </row>
    <row r="660" spans="2:7" ht="15" customHeight="1" x14ac:dyDescent="0.25">
      <c r="B660" s="1"/>
      <c r="C660" s="113">
        <v>643</v>
      </c>
      <c r="D660" s="110"/>
      <c r="E660" s="110"/>
      <c r="F660" s="19" t="str">
        <f t="shared" si="10"/>
        <v/>
      </c>
      <c r="G660" s="2"/>
    </row>
    <row r="661" spans="2:7" ht="15" customHeight="1" x14ac:dyDescent="0.25">
      <c r="B661" s="1"/>
      <c r="C661" s="113">
        <v>644</v>
      </c>
      <c r="D661" s="110"/>
      <c r="E661" s="110"/>
      <c r="F661" s="19" t="str">
        <f t="shared" si="10"/>
        <v/>
      </c>
      <c r="G661" s="2"/>
    </row>
    <row r="662" spans="2:7" ht="15" customHeight="1" x14ac:dyDescent="0.25">
      <c r="B662" s="1"/>
      <c r="C662" s="113">
        <v>645</v>
      </c>
      <c r="D662" s="110"/>
      <c r="E662" s="110"/>
      <c r="F662" s="19" t="str">
        <f t="shared" si="10"/>
        <v/>
      </c>
      <c r="G662" s="2"/>
    </row>
    <row r="663" spans="2:7" ht="15" customHeight="1" x14ac:dyDescent="0.25">
      <c r="B663" s="1"/>
      <c r="C663" s="113">
        <v>646</v>
      </c>
      <c r="D663" s="110"/>
      <c r="E663" s="110"/>
      <c r="F663" s="19" t="str">
        <f t="shared" si="10"/>
        <v/>
      </c>
      <c r="G663" s="2"/>
    </row>
    <row r="664" spans="2:7" ht="15" customHeight="1" x14ac:dyDescent="0.25">
      <c r="B664" s="1"/>
      <c r="C664" s="113">
        <v>647</v>
      </c>
      <c r="D664" s="110"/>
      <c r="E664" s="110"/>
      <c r="F664" s="19" t="str">
        <f t="shared" si="10"/>
        <v/>
      </c>
      <c r="G664" s="2"/>
    </row>
    <row r="665" spans="2:7" ht="15" customHeight="1" x14ac:dyDescent="0.25">
      <c r="B665" s="1"/>
      <c r="C665" s="113">
        <v>648</v>
      </c>
      <c r="D665" s="110"/>
      <c r="E665" s="110"/>
      <c r="F665" s="19" t="str">
        <f t="shared" si="10"/>
        <v/>
      </c>
      <c r="G665" s="2"/>
    </row>
    <row r="666" spans="2:7" ht="15" customHeight="1" x14ac:dyDescent="0.25">
      <c r="B666" s="1"/>
      <c r="C666" s="113">
        <v>649</v>
      </c>
      <c r="D666" s="110"/>
      <c r="E666" s="110"/>
      <c r="F666" s="19" t="str">
        <f t="shared" si="10"/>
        <v/>
      </c>
      <c r="G666" s="2"/>
    </row>
    <row r="667" spans="2:7" ht="15" customHeight="1" x14ac:dyDescent="0.25">
      <c r="B667" s="1"/>
      <c r="C667" s="113">
        <v>650</v>
      </c>
      <c r="D667" s="110"/>
      <c r="E667" s="110"/>
      <c r="F667" s="19" t="str">
        <f t="shared" si="10"/>
        <v/>
      </c>
      <c r="G667" s="2"/>
    </row>
    <row r="668" spans="2:7" ht="15" customHeight="1" x14ac:dyDescent="0.25">
      <c r="B668" s="1"/>
      <c r="C668" s="113">
        <v>651</v>
      </c>
      <c r="D668" s="110"/>
      <c r="E668" s="110"/>
      <c r="F668" s="19" t="str">
        <f t="shared" si="10"/>
        <v/>
      </c>
      <c r="G668" s="2"/>
    </row>
    <row r="669" spans="2:7" ht="15" customHeight="1" x14ac:dyDescent="0.25">
      <c r="B669" s="1"/>
      <c r="C669" s="113">
        <v>652</v>
      </c>
      <c r="D669" s="110"/>
      <c r="E669" s="110"/>
      <c r="F669" s="19" t="str">
        <f t="shared" si="10"/>
        <v/>
      </c>
      <c r="G669" s="2"/>
    </row>
    <row r="670" spans="2:7" ht="15" customHeight="1" x14ac:dyDescent="0.25">
      <c r="B670" s="1"/>
      <c r="C670" s="113">
        <v>653</v>
      </c>
      <c r="D670" s="110"/>
      <c r="E670" s="110"/>
      <c r="F670" s="19" t="str">
        <f t="shared" si="10"/>
        <v/>
      </c>
      <c r="G670" s="2"/>
    </row>
    <row r="671" spans="2:7" ht="15" customHeight="1" x14ac:dyDescent="0.25">
      <c r="B671" s="1"/>
      <c r="C671" s="113">
        <v>654</v>
      </c>
      <c r="D671" s="110"/>
      <c r="E671" s="110"/>
      <c r="F671" s="19" t="str">
        <f t="shared" si="10"/>
        <v/>
      </c>
      <c r="G671" s="2"/>
    </row>
    <row r="672" spans="2:7" ht="15" customHeight="1" x14ac:dyDescent="0.25">
      <c r="B672" s="1"/>
      <c r="C672" s="113">
        <v>655</v>
      </c>
      <c r="D672" s="110"/>
      <c r="E672" s="110"/>
      <c r="F672" s="19" t="str">
        <f t="shared" si="10"/>
        <v/>
      </c>
      <c r="G672" s="2"/>
    </row>
    <row r="673" spans="2:7" ht="15" customHeight="1" x14ac:dyDescent="0.25">
      <c r="B673" s="1"/>
      <c r="C673" s="113">
        <v>656</v>
      </c>
      <c r="D673" s="110"/>
      <c r="E673" s="110"/>
      <c r="F673" s="19" t="str">
        <f t="shared" si="10"/>
        <v/>
      </c>
      <c r="G673" s="2"/>
    </row>
    <row r="674" spans="2:7" ht="15" customHeight="1" x14ac:dyDescent="0.25">
      <c r="B674" s="1"/>
      <c r="C674" s="113">
        <v>657</v>
      </c>
      <c r="D674" s="110"/>
      <c r="E674" s="110"/>
      <c r="F674" s="19" t="str">
        <f t="shared" si="10"/>
        <v/>
      </c>
      <c r="G674" s="2"/>
    </row>
    <row r="675" spans="2:7" ht="15" customHeight="1" x14ac:dyDescent="0.25">
      <c r="B675" s="1"/>
      <c r="C675" s="113">
        <v>658</v>
      </c>
      <c r="D675" s="110"/>
      <c r="E675" s="110"/>
      <c r="F675" s="19" t="str">
        <f t="shared" si="10"/>
        <v/>
      </c>
      <c r="G675" s="2"/>
    </row>
    <row r="676" spans="2:7" ht="15" customHeight="1" x14ac:dyDescent="0.25">
      <c r="B676" s="1"/>
      <c r="C676" s="113">
        <v>659</v>
      </c>
      <c r="D676" s="110"/>
      <c r="E676" s="110"/>
      <c r="F676" s="19" t="str">
        <f t="shared" si="10"/>
        <v/>
      </c>
      <c r="G676" s="2"/>
    </row>
    <row r="677" spans="2:7" ht="15" customHeight="1" x14ac:dyDescent="0.25">
      <c r="B677" s="1"/>
      <c r="C677" s="113">
        <v>660</v>
      </c>
      <c r="D677" s="110"/>
      <c r="E677" s="110"/>
      <c r="F677" s="19" t="str">
        <f t="shared" si="10"/>
        <v/>
      </c>
      <c r="G677" s="2"/>
    </row>
    <row r="678" spans="2:7" ht="15" customHeight="1" x14ac:dyDescent="0.25">
      <c r="B678" s="1"/>
      <c r="C678" s="113">
        <v>661</v>
      </c>
      <c r="D678" s="110"/>
      <c r="E678" s="110"/>
      <c r="F678" s="19" t="str">
        <f t="shared" si="10"/>
        <v/>
      </c>
      <c r="G678" s="2"/>
    </row>
    <row r="679" spans="2:7" ht="15" customHeight="1" x14ac:dyDescent="0.25">
      <c r="B679" s="1"/>
      <c r="C679" s="113">
        <v>662</v>
      </c>
      <c r="D679" s="110"/>
      <c r="E679" s="110"/>
      <c r="F679" s="19" t="str">
        <f t="shared" si="10"/>
        <v/>
      </c>
      <c r="G679" s="2"/>
    </row>
    <row r="680" spans="2:7" ht="15" customHeight="1" x14ac:dyDescent="0.25">
      <c r="B680" s="1"/>
      <c r="C680" s="113">
        <v>663</v>
      </c>
      <c r="D680" s="110"/>
      <c r="E680" s="110"/>
      <c r="F680" s="19" t="str">
        <f t="shared" si="10"/>
        <v/>
      </c>
      <c r="G680" s="2"/>
    </row>
    <row r="681" spans="2:7" ht="15" customHeight="1" x14ac:dyDescent="0.25">
      <c r="B681" s="1"/>
      <c r="C681" s="113">
        <v>664</v>
      </c>
      <c r="D681" s="110"/>
      <c r="E681" s="110"/>
      <c r="F681" s="19" t="str">
        <f t="shared" si="10"/>
        <v/>
      </c>
      <c r="G681" s="2"/>
    </row>
    <row r="682" spans="2:7" ht="15" customHeight="1" x14ac:dyDescent="0.25">
      <c r="B682" s="1"/>
      <c r="C682" s="113">
        <v>665</v>
      </c>
      <c r="D682" s="110"/>
      <c r="E682" s="110"/>
      <c r="F682" s="19" t="str">
        <f t="shared" si="10"/>
        <v/>
      </c>
      <c r="G682" s="2"/>
    </row>
    <row r="683" spans="2:7" ht="15" customHeight="1" x14ac:dyDescent="0.25">
      <c r="B683" s="1"/>
      <c r="C683" s="113">
        <v>666</v>
      </c>
      <c r="D683" s="110"/>
      <c r="E683" s="110"/>
      <c r="F683" s="19" t="str">
        <f t="shared" si="10"/>
        <v/>
      </c>
      <c r="G683" s="2"/>
    </row>
    <row r="684" spans="2:7" ht="15" customHeight="1" x14ac:dyDescent="0.25">
      <c r="B684" s="1"/>
      <c r="C684" s="113">
        <v>667</v>
      </c>
      <c r="D684" s="110"/>
      <c r="E684" s="110"/>
      <c r="F684" s="19" t="str">
        <f t="shared" si="10"/>
        <v/>
      </c>
      <c r="G684" s="2"/>
    </row>
    <row r="685" spans="2:7" ht="15" customHeight="1" x14ac:dyDescent="0.25">
      <c r="B685" s="1"/>
      <c r="C685" s="113">
        <v>668</v>
      </c>
      <c r="D685" s="110"/>
      <c r="E685" s="110"/>
      <c r="F685" s="19" t="str">
        <f t="shared" si="10"/>
        <v/>
      </c>
      <c r="G685" s="2"/>
    </row>
    <row r="686" spans="2:7" ht="15" customHeight="1" x14ac:dyDescent="0.25">
      <c r="B686" s="1"/>
      <c r="C686" s="113">
        <v>669</v>
      </c>
      <c r="D686" s="110"/>
      <c r="E686" s="110"/>
      <c r="F686" s="19" t="str">
        <f t="shared" si="10"/>
        <v/>
      </c>
      <c r="G686" s="2"/>
    </row>
    <row r="687" spans="2:7" ht="15" customHeight="1" x14ac:dyDescent="0.25">
      <c r="B687" s="1"/>
      <c r="C687" s="113">
        <v>670</v>
      </c>
      <c r="D687" s="110"/>
      <c r="E687" s="110"/>
      <c r="F687" s="19" t="str">
        <f t="shared" si="10"/>
        <v/>
      </c>
      <c r="G687" s="2"/>
    </row>
    <row r="688" spans="2:7" ht="15" customHeight="1" x14ac:dyDescent="0.25">
      <c r="B688" s="1"/>
      <c r="C688" s="113">
        <v>671</v>
      </c>
      <c r="D688" s="110"/>
      <c r="E688" s="110"/>
      <c r="F688" s="19" t="str">
        <f t="shared" si="10"/>
        <v/>
      </c>
      <c r="G688" s="2"/>
    </row>
    <row r="689" spans="2:7" ht="15" customHeight="1" x14ac:dyDescent="0.25">
      <c r="B689" s="1"/>
      <c r="C689" s="113">
        <v>672</v>
      </c>
      <c r="D689" s="110"/>
      <c r="E689" s="110"/>
      <c r="F689" s="19" t="str">
        <f t="shared" si="10"/>
        <v/>
      </c>
      <c r="G689" s="2"/>
    </row>
    <row r="690" spans="2:7" ht="15" customHeight="1" x14ac:dyDescent="0.25">
      <c r="B690" s="1"/>
      <c r="C690" s="113">
        <v>673</v>
      </c>
      <c r="D690" s="110"/>
      <c r="E690" s="110"/>
      <c r="F690" s="19" t="str">
        <f t="shared" si="10"/>
        <v/>
      </c>
      <c r="G690" s="2"/>
    </row>
    <row r="691" spans="2:7" ht="15" customHeight="1" x14ac:dyDescent="0.25">
      <c r="B691" s="1"/>
      <c r="C691" s="113">
        <v>674</v>
      </c>
      <c r="D691" s="110"/>
      <c r="E691" s="110"/>
      <c r="F691" s="19" t="str">
        <f t="shared" si="10"/>
        <v/>
      </c>
      <c r="G691" s="2"/>
    </row>
    <row r="692" spans="2:7" ht="15" customHeight="1" x14ac:dyDescent="0.25">
      <c r="B692" s="1"/>
      <c r="C692" s="113">
        <v>675</v>
      </c>
      <c r="D692" s="110"/>
      <c r="E692" s="110"/>
      <c r="F692" s="19" t="str">
        <f t="shared" si="10"/>
        <v/>
      </c>
      <c r="G692" s="2"/>
    </row>
    <row r="693" spans="2:7" ht="15" customHeight="1" x14ac:dyDescent="0.25">
      <c r="B693" s="1"/>
      <c r="C693" s="113">
        <v>676</v>
      </c>
      <c r="D693" s="110"/>
      <c r="E693" s="110"/>
      <c r="F693" s="19" t="str">
        <f t="shared" si="10"/>
        <v/>
      </c>
      <c r="G693" s="2"/>
    </row>
    <row r="694" spans="2:7" ht="15" customHeight="1" x14ac:dyDescent="0.25">
      <c r="B694" s="1"/>
      <c r="C694" s="113">
        <v>677</v>
      </c>
      <c r="D694" s="110"/>
      <c r="E694" s="110"/>
      <c r="F694" s="19" t="str">
        <f t="shared" si="10"/>
        <v/>
      </c>
      <c r="G694" s="2"/>
    </row>
    <row r="695" spans="2:7" ht="15" customHeight="1" x14ac:dyDescent="0.25">
      <c r="B695" s="1"/>
      <c r="C695" s="113">
        <v>678</v>
      </c>
      <c r="D695" s="110"/>
      <c r="E695" s="110"/>
      <c r="F695" s="19" t="str">
        <f t="shared" si="10"/>
        <v/>
      </c>
      <c r="G695" s="2"/>
    </row>
    <row r="696" spans="2:7" ht="15" customHeight="1" x14ac:dyDescent="0.25">
      <c r="B696" s="1"/>
      <c r="C696" s="113">
        <v>679</v>
      </c>
      <c r="D696" s="110"/>
      <c r="E696" s="110"/>
      <c r="F696" s="19" t="str">
        <f t="shared" si="10"/>
        <v/>
      </c>
      <c r="G696" s="2"/>
    </row>
    <row r="697" spans="2:7" ht="15" customHeight="1" x14ac:dyDescent="0.25">
      <c r="B697" s="1"/>
      <c r="C697" s="113">
        <v>680</v>
      </c>
      <c r="D697" s="110"/>
      <c r="E697" s="110"/>
      <c r="F697" s="19" t="str">
        <f t="shared" si="10"/>
        <v/>
      </c>
      <c r="G697" s="2"/>
    </row>
    <row r="698" spans="2:7" ht="15" customHeight="1" x14ac:dyDescent="0.25">
      <c r="B698" s="1"/>
      <c r="C698" s="113">
        <v>681</v>
      </c>
      <c r="D698" s="110"/>
      <c r="E698" s="110"/>
      <c r="F698" s="19" t="str">
        <f t="shared" si="10"/>
        <v/>
      </c>
      <c r="G698" s="2"/>
    </row>
    <row r="699" spans="2:7" ht="15" customHeight="1" x14ac:dyDescent="0.25">
      <c r="B699" s="1"/>
      <c r="C699" s="113">
        <v>682</v>
      </c>
      <c r="D699" s="110"/>
      <c r="E699" s="110"/>
      <c r="F699" s="19" t="str">
        <f t="shared" si="10"/>
        <v/>
      </c>
      <c r="G699" s="2"/>
    </row>
    <row r="700" spans="2:7" ht="15" customHeight="1" x14ac:dyDescent="0.25">
      <c r="B700" s="1"/>
      <c r="C700" s="113">
        <v>683</v>
      </c>
      <c r="D700" s="110"/>
      <c r="E700" s="110"/>
      <c r="F700" s="19" t="str">
        <f t="shared" si="10"/>
        <v/>
      </c>
      <c r="G700" s="2"/>
    </row>
    <row r="701" spans="2:7" ht="15" customHeight="1" x14ac:dyDescent="0.25">
      <c r="B701" s="1"/>
      <c r="C701" s="113">
        <v>684</v>
      </c>
      <c r="D701" s="110"/>
      <c r="E701" s="110"/>
      <c r="F701" s="19" t="str">
        <f t="shared" si="10"/>
        <v/>
      </c>
      <c r="G701" s="2"/>
    </row>
    <row r="702" spans="2:7" ht="15" customHeight="1" x14ac:dyDescent="0.25">
      <c r="B702" s="1"/>
      <c r="C702" s="113">
        <v>685</v>
      </c>
      <c r="D702" s="110"/>
      <c r="E702" s="110"/>
      <c r="F702" s="19" t="str">
        <f t="shared" si="10"/>
        <v/>
      </c>
      <c r="G702" s="2"/>
    </row>
    <row r="703" spans="2:7" ht="15" customHeight="1" x14ac:dyDescent="0.25">
      <c r="B703" s="1"/>
      <c r="C703" s="113">
        <v>686</v>
      </c>
      <c r="D703" s="110"/>
      <c r="E703" s="110"/>
      <c r="F703" s="19" t="str">
        <f t="shared" si="10"/>
        <v/>
      </c>
      <c r="G703" s="2"/>
    </row>
    <row r="704" spans="2:7" ht="15" customHeight="1" x14ac:dyDescent="0.25">
      <c r="B704" s="1"/>
      <c r="C704" s="113">
        <v>687</v>
      </c>
      <c r="D704" s="110"/>
      <c r="E704" s="110"/>
      <c r="F704" s="19" t="str">
        <f t="shared" si="10"/>
        <v/>
      </c>
      <c r="G704" s="2"/>
    </row>
    <row r="705" spans="2:7" ht="15" customHeight="1" x14ac:dyDescent="0.25">
      <c r="B705" s="1"/>
      <c r="C705" s="113">
        <v>688</v>
      </c>
      <c r="D705" s="110"/>
      <c r="E705" s="110"/>
      <c r="F705" s="19" t="str">
        <f t="shared" si="10"/>
        <v/>
      </c>
      <c r="G705" s="2"/>
    </row>
    <row r="706" spans="2:7" ht="15" customHeight="1" x14ac:dyDescent="0.25">
      <c r="B706" s="1"/>
      <c r="C706" s="113">
        <v>689</v>
      </c>
      <c r="D706" s="110"/>
      <c r="E706" s="110"/>
      <c r="F706" s="19" t="str">
        <f t="shared" si="10"/>
        <v/>
      </c>
      <c r="G706" s="2"/>
    </row>
    <row r="707" spans="2:7" ht="15" customHeight="1" x14ac:dyDescent="0.25">
      <c r="B707" s="1"/>
      <c r="C707" s="113">
        <v>690</v>
      </c>
      <c r="D707" s="110"/>
      <c r="E707" s="110"/>
      <c r="F707" s="19" t="str">
        <f t="shared" si="10"/>
        <v/>
      </c>
      <c r="G707" s="2"/>
    </row>
    <row r="708" spans="2:7" ht="15" customHeight="1" x14ac:dyDescent="0.25">
      <c r="B708" s="1"/>
      <c r="C708" s="113">
        <v>691</v>
      </c>
      <c r="D708" s="110"/>
      <c r="E708" s="110"/>
      <c r="F708" s="19" t="str">
        <f t="shared" si="10"/>
        <v/>
      </c>
      <c r="G708" s="2"/>
    </row>
    <row r="709" spans="2:7" ht="15" customHeight="1" x14ac:dyDescent="0.25">
      <c r="B709" s="1"/>
      <c r="C709" s="113">
        <v>692</v>
      </c>
      <c r="D709" s="110"/>
      <c r="E709" s="110"/>
      <c r="F709" s="19" t="str">
        <f t="shared" si="10"/>
        <v/>
      </c>
      <c r="G709" s="2"/>
    </row>
    <row r="710" spans="2:7" ht="15" customHeight="1" x14ac:dyDescent="0.25">
      <c r="B710" s="1"/>
      <c r="C710" s="113">
        <v>693</v>
      </c>
      <c r="D710" s="110"/>
      <c r="E710" s="110"/>
      <c r="F710" s="19" t="str">
        <f t="shared" si="10"/>
        <v/>
      </c>
      <c r="G710" s="2"/>
    </row>
    <row r="711" spans="2:7" ht="15" customHeight="1" x14ac:dyDescent="0.25">
      <c r="B711" s="1"/>
      <c r="C711" s="113">
        <v>694</v>
      </c>
      <c r="D711" s="110"/>
      <c r="E711" s="110"/>
      <c r="F711" s="19" t="str">
        <f t="shared" si="10"/>
        <v/>
      </c>
      <c r="G711" s="2"/>
    </row>
    <row r="712" spans="2:7" ht="15" customHeight="1" x14ac:dyDescent="0.25">
      <c r="B712" s="1"/>
      <c r="C712" s="113">
        <v>695</v>
      </c>
      <c r="D712" s="110"/>
      <c r="E712" s="110"/>
      <c r="F712" s="19" t="str">
        <f t="shared" si="10"/>
        <v/>
      </c>
      <c r="G712" s="2"/>
    </row>
    <row r="713" spans="2:7" ht="15" customHeight="1" x14ac:dyDescent="0.25">
      <c r="B713" s="1"/>
      <c r="C713" s="113">
        <v>696</v>
      </c>
      <c r="D713" s="110"/>
      <c r="E713" s="110"/>
      <c r="F713" s="19" t="str">
        <f t="shared" si="10"/>
        <v/>
      </c>
      <c r="G713" s="2"/>
    </row>
    <row r="714" spans="2:7" ht="15" customHeight="1" x14ac:dyDescent="0.25">
      <c r="B714" s="1"/>
      <c r="C714" s="113">
        <v>697</v>
      </c>
      <c r="D714" s="110"/>
      <c r="E714" s="110"/>
      <c r="F714" s="19" t="str">
        <f t="shared" si="10"/>
        <v/>
      </c>
      <c r="G714" s="2"/>
    </row>
    <row r="715" spans="2:7" ht="15" customHeight="1" x14ac:dyDescent="0.25">
      <c r="B715" s="1"/>
      <c r="C715" s="113">
        <v>698</v>
      </c>
      <c r="D715" s="110"/>
      <c r="E715" s="110"/>
      <c r="F715" s="19" t="str">
        <f t="shared" si="10"/>
        <v/>
      </c>
      <c r="G715" s="2"/>
    </row>
    <row r="716" spans="2:7" ht="15" customHeight="1" x14ac:dyDescent="0.25">
      <c r="B716" s="1"/>
      <c r="C716" s="113">
        <v>699</v>
      </c>
      <c r="D716" s="110"/>
      <c r="E716" s="110"/>
      <c r="F716" s="19" t="str">
        <f t="shared" si="10"/>
        <v/>
      </c>
      <c r="G716" s="2"/>
    </row>
    <row r="717" spans="2:7" ht="15" customHeight="1" x14ac:dyDescent="0.25">
      <c r="B717" s="1"/>
      <c r="C717" s="113">
        <v>700</v>
      </c>
      <c r="D717" s="110"/>
      <c r="E717" s="110"/>
      <c r="F717" s="19" t="str">
        <f t="shared" si="10"/>
        <v/>
      </c>
      <c r="G717" s="2"/>
    </row>
    <row r="718" spans="2:7" ht="15" customHeight="1" x14ac:dyDescent="0.25">
      <c r="B718" s="1"/>
      <c r="C718" s="113">
        <v>701</v>
      </c>
      <c r="D718" s="110"/>
      <c r="E718" s="110"/>
      <c r="F718" s="19" t="str">
        <f t="shared" si="10"/>
        <v/>
      </c>
      <c r="G718" s="2"/>
    </row>
    <row r="719" spans="2:7" ht="15" customHeight="1" x14ac:dyDescent="0.25">
      <c r="B719" s="1"/>
      <c r="C719" s="113">
        <v>702</v>
      </c>
      <c r="D719" s="110"/>
      <c r="E719" s="110"/>
      <c r="F719" s="19" t="str">
        <f t="shared" si="10"/>
        <v/>
      </c>
      <c r="G719" s="2"/>
    </row>
    <row r="720" spans="2:7" ht="15" customHeight="1" x14ac:dyDescent="0.25">
      <c r="B720" s="1"/>
      <c r="C720" s="113">
        <v>703</v>
      </c>
      <c r="D720" s="110"/>
      <c r="E720" s="110"/>
      <c r="F720" s="19" t="str">
        <f t="shared" si="10"/>
        <v/>
      </c>
      <c r="G720" s="2"/>
    </row>
    <row r="721" spans="2:7" ht="15" customHeight="1" x14ac:dyDescent="0.25">
      <c r="B721" s="1"/>
      <c r="C721" s="113">
        <v>704</v>
      </c>
      <c r="D721" s="110"/>
      <c r="E721" s="110"/>
      <c r="F721" s="19" t="str">
        <f t="shared" si="10"/>
        <v/>
      </c>
      <c r="G721" s="2"/>
    </row>
    <row r="722" spans="2:7" ht="15" customHeight="1" x14ac:dyDescent="0.25">
      <c r="B722" s="1"/>
      <c r="C722" s="113">
        <v>705</v>
      </c>
      <c r="D722" s="110"/>
      <c r="E722" s="110"/>
      <c r="F722" s="19" t="str">
        <f t="shared" si="10"/>
        <v/>
      </c>
      <c r="G722" s="2"/>
    </row>
    <row r="723" spans="2:7" ht="15" customHeight="1" x14ac:dyDescent="0.25">
      <c r="B723" s="1"/>
      <c r="C723" s="113">
        <v>706</v>
      </c>
      <c r="D723" s="110"/>
      <c r="E723" s="110"/>
      <c r="F723" s="19" t="str">
        <f t="shared" ref="F723:F786" si="11">IFERROR(IF(AND(LEFT(D723,6)=LEFT(E723,6),RIGHT(E723,9)-RIGHT(D723,9)&gt;=0),RIGHT(E723,9)-RIGHT(D723,9)+1,""),"")</f>
        <v/>
      </c>
      <c r="G723" s="2"/>
    </row>
    <row r="724" spans="2:7" ht="15" customHeight="1" x14ac:dyDescent="0.25">
      <c r="B724" s="1"/>
      <c r="C724" s="113">
        <v>707</v>
      </c>
      <c r="D724" s="110"/>
      <c r="E724" s="110"/>
      <c r="F724" s="19" t="str">
        <f t="shared" si="11"/>
        <v/>
      </c>
      <c r="G724" s="2"/>
    </row>
    <row r="725" spans="2:7" ht="15" customHeight="1" x14ac:dyDescent="0.25">
      <c r="B725" s="1"/>
      <c r="C725" s="113">
        <v>708</v>
      </c>
      <c r="D725" s="110"/>
      <c r="E725" s="110"/>
      <c r="F725" s="19" t="str">
        <f t="shared" si="11"/>
        <v/>
      </c>
      <c r="G725" s="2"/>
    </row>
    <row r="726" spans="2:7" ht="15" customHeight="1" x14ac:dyDescent="0.25">
      <c r="B726" s="1"/>
      <c r="C726" s="113">
        <v>709</v>
      </c>
      <c r="D726" s="110"/>
      <c r="E726" s="110"/>
      <c r="F726" s="19" t="str">
        <f t="shared" si="11"/>
        <v/>
      </c>
      <c r="G726" s="2"/>
    </row>
    <row r="727" spans="2:7" ht="15" customHeight="1" x14ac:dyDescent="0.25">
      <c r="B727" s="1"/>
      <c r="C727" s="113">
        <v>710</v>
      </c>
      <c r="D727" s="110"/>
      <c r="E727" s="110"/>
      <c r="F727" s="19" t="str">
        <f t="shared" si="11"/>
        <v/>
      </c>
      <c r="G727" s="2"/>
    </row>
    <row r="728" spans="2:7" ht="15" customHeight="1" x14ac:dyDescent="0.25">
      <c r="B728" s="1"/>
      <c r="C728" s="113">
        <v>711</v>
      </c>
      <c r="D728" s="110"/>
      <c r="E728" s="110"/>
      <c r="F728" s="19" t="str">
        <f t="shared" si="11"/>
        <v/>
      </c>
      <c r="G728" s="2"/>
    </row>
    <row r="729" spans="2:7" ht="15" customHeight="1" x14ac:dyDescent="0.25">
      <c r="B729" s="1"/>
      <c r="C729" s="113">
        <v>712</v>
      </c>
      <c r="D729" s="110"/>
      <c r="E729" s="110"/>
      <c r="F729" s="19" t="str">
        <f t="shared" si="11"/>
        <v/>
      </c>
      <c r="G729" s="2"/>
    </row>
    <row r="730" spans="2:7" ht="15" customHeight="1" x14ac:dyDescent="0.25">
      <c r="B730" s="1"/>
      <c r="C730" s="113">
        <v>713</v>
      </c>
      <c r="D730" s="110"/>
      <c r="E730" s="110"/>
      <c r="F730" s="19" t="str">
        <f t="shared" si="11"/>
        <v/>
      </c>
      <c r="G730" s="2"/>
    </row>
    <row r="731" spans="2:7" ht="15" customHeight="1" x14ac:dyDescent="0.25">
      <c r="B731" s="1"/>
      <c r="C731" s="113">
        <v>714</v>
      </c>
      <c r="D731" s="110"/>
      <c r="E731" s="110"/>
      <c r="F731" s="19" t="str">
        <f t="shared" si="11"/>
        <v/>
      </c>
      <c r="G731" s="2"/>
    </row>
    <row r="732" spans="2:7" ht="15" customHeight="1" x14ac:dyDescent="0.25">
      <c r="B732" s="1"/>
      <c r="C732" s="113">
        <v>715</v>
      </c>
      <c r="D732" s="110"/>
      <c r="E732" s="110"/>
      <c r="F732" s="19" t="str">
        <f t="shared" si="11"/>
        <v/>
      </c>
      <c r="G732" s="2"/>
    </row>
    <row r="733" spans="2:7" ht="15" customHeight="1" x14ac:dyDescent="0.25">
      <c r="B733" s="1"/>
      <c r="C733" s="113">
        <v>716</v>
      </c>
      <c r="D733" s="110"/>
      <c r="E733" s="110"/>
      <c r="F733" s="19" t="str">
        <f t="shared" si="11"/>
        <v/>
      </c>
      <c r="G733" s="2"/>
    </row>
    <row r="734" spans="2:7" ht="15" customHeight="1" x14ac:dyDescent="0.25">
      <c r="B734" s="1"/>
      <c r="C734" s="113">
        <v>717</v>
      </c>
      <c r="D734" s="110"/>
      <c r="E734" s="110"/>
      <c r="F734" s="19" t="str">
        <f t="shared" si="11"/>
        <v/>
      </c>
      <c r="G734" s="2"/>
    </row>
    <row r="735" spans="2:7" ht="15" customHeight="1" x14ac:dyDescent="0.25">
      <c r="B735" s="1"/>
      <c r="C735" s="113">
        <v>718</v>
      </c>
      <c r="D735" s="110"/>
      <c r="E735" s="110"/>
      <c r="F735" s="19" t="str">
        <f t="shared" si="11"/>
        <v/>
      </c>
      <c r="G735" s="2"/>
    </row>
    <row r="736" spans="2:7" ht="15" customHeight="1" x14ac:dyDescent="0.25">
      <c r="B736" s="1"/>
      <c r="C736" s="113">
        <v>719</v>
      </c>
      <c r="D736" s="110"/>
      <c r="E736" s="110"/>
      <c r="F736" s="19" t="str">
        <f t="shared" si="11"/>
        <v/>
      </c>
      <c r="G736" s="2"/>
    </row>
    <row r="737" spans="2:7" ht="15" customHeight="1" x14ac:dyDescent="0.25">
      <c r="B737" s="1"/>
      <c r="C737" s="113">
        <v>720</v>
      </c>
      <c r="D737" s="110"/>
      <c r="E737" s="110"/>
      <c r="F737" s="19" t="str">
        <f t="shared" si="11"/>
        <v/>
      </c>
      <c r="G737" s="2"/>
    </row>
    <row r="738" spans="2:7" ht="15" customHeight="1" x14ac:dyDescent="0.25">
      <c r="B738" s="1"/>
      <c r="C738" s="113">
        <v>721</v>
      </c>
      <c r="D738" s="110"/>
      <c r="E738" s="110"/>
      <c r="F738" s="19" t="str">
        <f t="shared" si="11"/>
        <v/>
      </c>
      <c r="G738" s="2"/>
    </row>
    <row r="739" spans="2:7" ht="15" customHeight="1" x14ac:dyDescent="0.25">
      <c r="B739" s="1"/>
      <c r="C739" s="113">
        <v>722</v>
      </c>
      <c r="D739" s="110"/>
      <c r="E739" s="110"/>
      <c r="F739" s="19" t="str">
        <f t="shared" si="11"/>
        <v/>
      </c>
      <c r="G739" s="2"/>
    </row>
    <row r="740" spans="2:7" ht="15" customHeight="1" x14ac:dyDescent="0.25">
      <c r="B740" s="1"/>
      <c r="C740" s="113">
        <v>723</v>
      </c>
      <c r="D740" s="110"/>
      <c r="E740" s="110"/>
      <c r="F740" s="19" t="str">
        <f t="shared" si="11"/>
        <v/>
      </c>
      <c r="G740" s="2"/>
    </row>
    <row r="741" spans="2:7" ht="15" customHeight="1" x14ac:dyDescent="0.25">
      <c r="B741" s="1"/>
      <c r="C741" s="113">
        <v>724</v>
      </c>
      <c r="D741" s="110"/>
      <c r="E741" s="110"/>
      <c r="F741" s="19" t="str">
        <f t="shared" si="11"/>
        <v/>
      </c>
      <c r="G741" s="2"/>
    </row>
    <row r="742" spans="2:7" ht="15" customHeight="1" x14ac:dyDescent="0.25">
      <c r="B742" s="1"/>
      <c r="C742" s="113">
        <v>725</v>
      </c>
      <c r="D742" s="110"/>
      <c r="E742" s="110"/>
      <c r="F742" s="19" t="str">
        <f t="shared" si="11"/>
        <v/>
      </c>
      <c r="G742" s="2"/>
    </row>
    <row r="743" spans="2:7" ht="15" customHeight="1" x14ac:dyDescent="0.25">
      <c r="B743" s="1"/>
      <c r="C743" s="113">
        <v>726</v>
      </c>
      <c r="D743" s="110"/>
      <c r="E743" s="110"/>
      <c r="F743" s="19" t="str">
        <f t="shared" si="11"/>
        <v/>
      </c>
      <c r="G743" s="2"/>
    </row>
    <row r="744" spans="2:7" ht="15" customHeight="1" x14ac:dyDescent="0.25">
      <c r="B744" s="1"/>
      <c r="C744" s="113">
        <v>727</v>
      </c>
      <c r="D744" s="110"/>
      <c r="E744" s="110"/>
      <c r="F744" s="19" t="str">
        <f t="shared" si="11"/>
        <v/>
      </c>
      <c r="G744" s="2"/>
    </row>
    <row r="745" spans="2:7" ht="15" customHeight="1" x14ac:dyDescent="0.25">
      <c r="B745" s="1"/>
      <c r="C745" s="113">
        <v>728</v>
      </c>
      <c r="D745" s="110"/>
      <c r="E745" s="110"/>
      <c r="F745" s="19" t="str">
        <f t="shared" si="11"/>
        <v/>
      </c>
      <c r="G745" s="2"/>
    </row>
    <row r="746" spans="2:7" ht="15" customHeight="1" x14ac:dyDescent="0.25">
      <c r="B746" s="1"/>
      <c r="C746" s="113">
        <v>729</v>
      </c>
      <c r="D746" s="110"/>
      <c r="E746" s="110"/>
      <c r="F746" s="19" t="str">
        <f t="shared" si="11"/>
        <v/>
      </c>
      <c r="G746" s="2"/>
    </row>
    <row r="747" spans="2:7" ht="15" customHeight="1" x14ac:dyDescent="0.25">
      <c r="B747" s="1"/>
      <c r="C747" s="113">
        <v>730</v>
      </c>
      <c r="D747" s="110"/>
      <c r="E747" s="110"/>
      <c r="F747" s="19" t="str">
        <f t="shared" si="11"/>
        <v/>
      </c>
      <c r="G747" s="2"/>
    </row>
    <row r="748" spans="2:7" ht="15" customHeight="1" x14ac:dyDescent="0.25">
      <c r="B748" s="1"/>
      <c r="C748" s="113">
        <v>731</v>
      </c>
      <c r="D748" s="110"/>
      <c r="E748" s="110"/>
      <c r="F748" s="19" t="str">
        <f t="shared" si="11"/>
        <v/>
      </c>
      <c r="G748" s="2"/>
    </row>
    <row r="749" spans="2:7" ht="15" customHeight="1" x14ac:dyDescent="0.25">
      <c r="B749" s="1"/>
      <c r="C749" s="113">
        <v>732</v>
      </c>
      <c r="D749" s="110"/>
      <c r="E749" s="110"/>
      <c r="F749" s="19" t="str">
        <f t="shared" si="11"/>
        <v/>
      </c>
      <c r="G749" s="2"/>
    </row>
    <row r="750" spans="2:7" ht="15" customHeight="1" x14ac:dyDescent="0.25">
      <c r="B750" s="1"/>
      <c r="C750" s="113">
        <v>733</v>
      </c>
      <c r="D750" s="110"/>
      <c r="E750" s="110"/>
      <c r="F750" s="19" t="str">
        <f t="shared" si="11"/>
        <v/>
      </c>
      <c r="G750" s="2"/>
    </row>
    <row r="751" spans="2:7" ht="15" customHeight="1" x14ac:dyDescent="0.25">
      <c r="B751" s="1"/>
      <c r="C751" s="113">
        <v>734</v>
      </c>
      <c r="D751" s="110"/>
      <c r="E751" s="110"/>
      <c r="F751" s="19" t="str">
        <f t="shared" si="11"/>
        <v/>
      </c>
      <c r="G751" s="2"/>
    </row>
    <row r="752" spans="2:7" ht="15" customHeight="1" x14ac:dyDescent="0.25">
      <c r="B752" s="1"/>
      <c r="C752" s="113">
        <v>735</v>
      </c>
      <c r="D752" s="110"/>
      <c r="E752" s="110"/>
      <c r="F752" s="19" t="str">
        <f t="shared" si="11"/>
        <v/>
      </c>
      <c r="G752" s="2"/>
    </row>
    <row r="753" spans="2:7" ht="15" customHeight="1" x14ac:dyDescent="0.25">
      <c r="B753" s="1"/>
      <c r="C753" s="113">
        <v>736</v>
      </c>
      <c r="D753" s="110"/>
      <c r="E753" s="110"/>
      <c r="F753" s="19" t="str">
        <f t="shared" si="11"/>
        <v/>
      </c>
      <c r="G753" s="2"/>
    </row>
    <row r="754" spans="2:7" ht="15" customHeight="1" x14ac:dyDescent="0.25">
      <c r="B754" s="1"/>
      <c r="C754" s="113">
        <v>737</v>
      </c>
      <c r="D754" s="110"/>
      <c r="E754" s="110"/>
      <c r="F754" s="19" t="str">
        <f t="shared" si="11"/>
        <v/>
      </c>
      <c r="G754" s="2"/>
    </row>
    <row r="755" spans="2:7" ht="15" customHeight="1" x14ac:dyDescent="0.25">
      <c r="B755" s="1"/>
      <c r="C755" s="113">
        <v>738</v>
      </c>
      <c r="D755" s="110"/>
      <c r="E755" s="110"/>
      <c r="F755" s="19" t="str">
        <f t="shared" si="11"/>
        <v/>
      </c>
      <c r="G755" s="2"/>
    </row>
    <row r="756" spans="2:7" ht="15" customHeight="1" x14ac:dyDescent="0.25">
      <c r="B756" s="1"/>
      <c r="C756" s="113">
        <v>739</v>
      </c>
      <c r="D756" s="110"/>
      <c r="E756" s="110"/>
      <c r="F756" s="19" t="str">
        <f t="shared" si="11"/>
        <v/>
      </c>
      <c r="G756" s="2"/>
    </row>
    <row r="757" spans="2:7" ht="15" customHeight="1" x14ac:dyDescent="0.25">
      <c r="B757" s="1"/>
      <c r="C757" s="113">
        <v>740</v>
      </c>
      <c r="D757" s="110"/>
      <c r="E757" s="110"/>
      <c r="F757" s="19" t="str">
        <f t="shared" si="11"/>
        <v/>
      </c>
      <c r="G757" s="2"/>
    </row>
    <row r="758" spans="2:7" ht="15" customHeight="1" x14ac:dyDescent="0.25">
      <c r="B758" s="1"/>
      <c r="C758" s="113">
        <v>741</v>
      </c>
      <c r="D758" s="110"/>
      <c r="E758" s="110"/>
      <c r="F758" s="19" t="str">
        <f t="shared" si="11"/>
        <v/>
      </c>
      <c r="G758" s="2"/>
    </row>
    <row r="759" spans="2:7" ht="15" customHeight="1" x14ac:dyDescent="0.25">
      <c r="B759" s="1"/>
      <c r="C759" s="113">
        <v>742</v>
      </c>
      <c r="D759" s="110"/>
      <c r="E759" s="110"/>
      <c r="F759" s="19" t="str">
        <f t="shared" si="11"/>
        <v/>
      </c>
      <c r="G759" s="2"/>
    </row>
    <row r="760" spans="2:7" ht="15" customHeight="1" x14ac:dyDescent="0.25">
      <c r="B760" s="1"/>
      <c r="C760" s="113">
        <v>743</v>
      </c>
      <c r="D760" s="110"/>
      <c r="E760" s="110"/>
      <c r="F760" s="19" t="str">
        <f t="shared" si="11"/>
        <v/>
      </c>
      <c r="G760" s="2"/>
    </row>
    <row r="761" spans="2:7" ht="15" customHeight="1" x14ac:dyDescent="0.25">
      <c r="B761" s="1"/>
      <c r="C761" s="113">
        <v>744</v>
      </c>
      <c r="D761" s="110"/>
      <c r="E761" s="110"/>
      <c r="F761" s="19" t="str">
        <f t="shared" si="11"/>
        <v/>
      </c>
      <c r="G761" s="2"/>
    </row>
    <row r="762" spans="2:7" ht="15" customHeight="1" x14ac:dyDescent="0.25">
      <c r="B762" s="1"/>
      <c r="C762" s="113">
        <v>745</v>
      </c>
      <c r="D762" s="110"/>
      <c r="E762" s="110"/>
      <c r="F762" s="19" t="str">
        <f t="shared" si="11"/>
        <v/>
      </c>
      <c r="G762" s="2"/>
    </row>
    <row r="763" spans="2:7" ht="15" customHeight="1" x14ac:dyDescent="0.25">
      <c r="B763" s="1"/>
      <c r="C763" s="113">
        <v>746</v>
      </c>
      <c r="D763" s="110"/>
      <c r="E763" s="110"/>
      <c r="F763" s="19" t="str">
        <f t="shared" si="11"/>
        <v/>
      </c>
      <c r="G763" s="2"/>
    </row>
    <row r="764" spans="2:7" ht="15" customHeight="1" x14ac:dyDescent="0.25">
      <c r="B764" s="1"/>
      <c r="C764" s="113">
        <v>747</v>
      </c>
      <c r="D764" s="110"/>
      <c r="E764" s="110"/>
      <c r="F764" s="19" t="str">
        <f t="shared" si="11"/>
        <v/>
      </c>
      <c r="G764" s="2"/>
    </row>
    <row r="765" spans="2:7" ht="15" customHeight="1" x14ac:dyDescent="0.25">
      <c r="B765" s="1"/>
      <c r="C765" s="113">
        <v>748</v>
      </c>
      <c r="D765" s="110"/>
      <c r="E765" s="110"/>
      <c r="F765" s="19" t="str">
        <f t="shared" si="11"/>
        <v/>
      </c>
      <c r="G765" s="2"/>
    </row>
    <row r="766" spans="2:7" ht="15" customHeight="1" x14ac:dyDescent="0.25">
      <c r="B766" s="1"/>
      <c r="C766" s="113">
        <v>749</v>
      </c>
      <c r="D766" s="110"/>
      <c r="E766" s="110"/>
      <c r="F766" s="19" t="str">
        <f t="shared" si="11"/>
        <v/>
      </c>
      <c r="G766" s="2"/>
    </row>
    <row r="767" spans="2:7" ht="15" customHeight="1" x14ac:dyDescent="0.25">
      <c r="B767" s="1"/>
      <c r="C767" s="113">
        <v>750</v>
      </c>
      <c r="D767" s="110"/>
      <c r="E767" s="110"/>
      <c r="F767" s="19" t="str">
        <f t="shared" si="11"/>
        <v/>
      </c>
      <c r="G767" s="2"/>
    </row>
    <row r="768" spans="2:7" ht="15" customHeight="1" x14ac:dyDescent="0.25">
      <c r="B768" s="1"/>
      <c r="C768" s="113">
        <v>751</v>
      </c>
      <c r="D768" s="110"/>
      <c r="E768" s="110"/>
      <c r="F768" s="19" t="str">
        <f t="shared" si="11"/>
        <v/>
      </c>
      <c r="G768" s="2"/>
    </row>
    <row r="769" spans="2:7" ht="15" customHeight="1" x14ac:dyDescent="0.25">
      <c r="B769" s="1"/>
      <c r="C769" s="113">
        <v>752</v>
      </c>
      <c r="D769" s="110"/>
      <c r="E769" s="110"/>
      <c r="F769" s="19" t="str">
        <f t="shared" si="11"/>
        <v/>
      </c>
      <c r="G769" s="2"/>
    </row>
    <row r="770" spans="2:7" ht="15" customHeight="1" x14ac:dyDescent="0.25">
      <c r="B770" s="1"/>
      <c r="C770" s="113">
        <v>753</v>
      </c>
      <c r="D770" s="110"/>
      <c r="E770" s="110"/>
      <c r="F770" s="19" t="str">
        <f t="shared" si="11"/>
        <v/>
      </c>
      <c r="G770" s="2"/>
    </row>
    <row r="771" spans="2:7" ht="15" customHeight="1" x14ac:dyDescent="0.25">
      <c r="B771" s="1"/>
      <c r="C771" s="113">
        <v>754</v>
      </c>
      <c r="D771" s="110"/>
      <c r="E771" s="110"/>
      <c r="F771" s="19" t="str">
        <f t="shared" si="11"/>
        <v/>
      </c>
      <c r="G771" s="2"/>
    </row>
    <row r="772" spans="2:7" ht="15" customHeight="1" x14ac:dyDescent="0.25">
      <c r="B772" s="1"/>
      <c r="C772" s="113">
        <v>755</v>
      </c>
      <c r="D772" s="110"/>
      <c r="E772" s="110"/>
      <c r="F772" s="19" t="str">
        <f t="shared" si="11"/>
        <v/>
      </c>
      <c r="G772" s="2"/>
    </row>
    <row r="773" spans="2:7" ht="15" customHeight="1" x14ac:dyDescent="0.25">
      <c r="B773" s="1"/>
      <c r="C773" s="113">
        <v>756</v>
      </c>
      <c r="D773" s="110"/>
      <c r="E773" s="110"/>
      <c r="F773" s="19" t="str">
        <f t="shared" si="11"/>
        <v/>
      </c>
      <c r="G773" s="2"/>
    </row>
    <row r="774" spans="2:7" ht="15" customHeight="1" x14ac:dyDescent="0.25">
      <c r="B774" s="1"/>
      <c r="C774" s="113">
        <v>757</v>
      </c>
      <c r="D774" s="110"/>
      <c r="E774" s="110"/>
      <c r="F774" s="19" t="str">
        <f t="shared" si="11"/>
        <v/>
      </c>
      <c r="G774" s="2"/>
    </row>
    <row r="775" spans="2:7" ht="15" customHeight="1" x14ac:dyDescent="0.25">
      <c r="B775" s="1"/>
      <c r="C775" s="113">
        <v>758</v>
      </c>
      <c r="D775" s="110"/>
      <c r="E775" s="110"/>
      <c r="F775" s="19" t="str">
        <f t="shared" si="11"/>
        <v/>
      </c>
      <c r="G775" s="2"/>
    </row>
    <row r="776" spans="2:7" ht="15" customHeight="1" x14ac:dyDescent="0.25">
      <c r="B776" s="1"/>
      <c r="C776" s="113">
        <v>759</v>
      </c>
      <c r="D776" s="110"/>
      <c r="E776" s="110"/>
      <c r="F776" s="19" t="str">
        <f t="shared" si="11"/>
        <v/>
      </c>
      <c r="G776" s="2"/>
    </row>
    <row r="777" spans="2:7" ht="15" customHeight="1" x14ac:dyDescent="0.25">
      <c r="B777" s="1"/>
      <c r="C777" s="113">
        <v>760</v>
      </c>
      <c r="D777" s="110"/>
      <c r="E777" s="110"/>
      <c r="F777" s="19" t="str">
        <f t="shared" si="11"/>
        <v/>
      </c>
      <c r="G777" s="2"/>
    </row>
    <row r="778" spans="2:7" ht="15" customHeight="1" x14ac:dyDescent="0.25">
      <c r="B778" s="1"/>
      <c r="C778" s="113">
        <v>761</v>
      </c>
      <c r="D778" s="110"/>
      <c r="E778" s="110"/>
      <c r="F778" s="19" t="str">
        <f t="shared" si="11"/>
        <v/>
      </c>
      <c r="G778" s="2"/>
    </row>
    <row r="779" spans="2:7" ht="15" customHeight="1" x14ac:dyDescent="0.25">
      <c r="B779" s="1"/>
      <c r="C779" s="113">
        <v>762</v>
      </c>
      <c r="D779" s="110"/>
      <c r="E779" s="110"/>
      <c r="F779" s="19" t="str">
        <f t="shared" si="11"/>
        <v/>
      </c>
      <c r="G779" s="2"/>
    </row>
    <row r="780" spans="2:7" ht="15" customHeight="1" x14ac:dyDescent="0.25">
      <c r="B780" s="1"/>
      <c r="C780" s="113">
        <v>763</v>
      </c>
      <c r="D780" s="110"/>
      <c r="E780" s="110"/>
      <c r="F780" s="19" t="str">
        <f t="shared" si="11"/>
        <v/>
      </c>
      <c r="G780" s="2"/>
    </row>
    <row r="781" spans="2:7" ht="15" customHeight="1" x14ac:dyDescent="0.25">
      <c r="B781" s="1"/>
      <c r="C781" s="113">
        <v>764</v>
      </c>
      <c r="D781" s="110"/>
      <c r="E781" s="110"/>
      <c r="F781" s="19" t="str">
        <f t="shared" si="11"/>
        <v/>
      </c>
      <c r="G781" s="2"/>
    </row>
    <row r="782" spans="2:7" ht="15" customHeight="1" x14ac:dyDescent="0.25">
      <c r="B782" s="1"/>
      <c r="C782" s="113">
        <v>765</v>
      </c>
      <c r="D782" s="110"/>
      <c r="E782" s="110"/>
      <c r="F782" s="19" t="str">
        <f t="shared" si="11"/>
        <v/>
      </c>
      <c r="G782" s="2"/>
    </row>
    <row r="783" spans="2:7" ht="15" customHeight="1" x14ac:dyDescent="0.25">
      <c r="B783" s="1"/>
      <c r="C783" s="113">
        <v>766</v>
      </c>
      <c r="D783" s="110"/>
      <c r="E783" s="110"/>
      <c r="F783" s="19" t="str">
        <f t="shared" si="11"/>
        <v/>
      </c>
      <c r="G783" s="2"/>
    </row>
    <row r="784" spans="2:7" ht="15" customHeight="1" x14ac:dyDescent="0.25">
      <c r="B784" s="1"/>
      <c r="C784" s="113">
        <v>767</v>
      </c>
      <c r="D784" s="110"/>
      <c r="E784" s="110"/>
      <c r="F784" s="19" t="str">
        <f t="shared" si="11"/>
        <v/>
      </c>
      <c r="G784" s="2"/>
    </row>
    <row r="785" spans="2:7" ht="15" customHeight="1" x14ac:dyDescent="0.25">
      <c r="B785" s="1"/>
      <c r="C785" s="113">
        <v>768</v>
      </c>
      <c r="D785" s="110"/>
      <c r="E785" s="110"/>
      <c r="F785" s="19" t="str">
        <f t="shared" si="11"/>
        <v/>
      </c>
      <c r="G785" s="2"/>
    </row>
    <row r="786" spans="2:7" ht="15" customHeight="1" x14ac:dyDescent="0.25">
      <c r="B786" s="1"/>
      <c r="C786" s="113">
        <v>769</v>
      </c>
      <c r="D786" s="110"/>
      <c r="E786" s="110"/>
      <c r="F786" s="19" t="str">
        <f t="shared" si="11"/>
        <v/>
      </c>
      <c r="G786" s="2"/>
    </row>
    <row r="787" spans="2:7" ht="15" customHeight="1" x14ac:dyDescent="0.25">
      <c r="B787" s="1"/>
      <c r="C787" s="113">
        <v>770</v>
      </c>
      <c r="D787" s="110"/>
      <c r="E787" s="110"/>
      <c r="F787" s="19" t="str">
        <f t="shared" ref="F787:F850" si="12">IFERROR(IF(AND(LEFT(D787,6)=LEFT(E787,6),RIGHT(E787,9)-RIGHT(D787,9)&gt;=0),RIGHT(E787,9)-RIGHT(D787,9)+1,""),"")</f>
        <v/>
      </c>
      <c r="G787" s="2"/>
    </row>
    <row r="788" spans="2:7" ht="15" customHeight="1" x14ac:dyDescent="0.25">
      <c r="B788" s="1"/>
      <c r="C788" s="113">
        <v>771</v>
      </c>
      <c r="D788" s="110"/>
      <c r="E788" s="110"/>
      <c r="F788" s="19" t="str">
        <f t="shared" si="12"/>
        <v/>
      </c>
      <c r="G788" s="2"/>
    </row>
    <row r="789" spans="2:7" ht="15" customHeight="1" x14ac:dyDescent="0.25">
      <c r="B789" s="1"/>
      <c r="C789" s="113">
        <v>772</v>
      </c>
      <c r="D789" s="110"/>
      <c r="E789" s="110"/>
      <c r="F789" s="19" t="str">
        <f t="shared" si="12"/>
        <v/>
      </c>
      <c r="G789" s="2"/>
    </row>
    <row r="790" spans="2:7" ht="15" customHeight="1" x14ac:dyDescent="0.25">
      <c r="B790" s="1"/>
      <c r="C790" s="113">
        <v>773</v>
      </c>
      <c r="D790" s="110"/>
      <c r="E790" s="110"/>
      <c r="F790" s="19" t="str">
        <f t="shared" si="12"/>
        <v/>
      </c>
      <c r="G790" s="2"/>
    </row>
    <row r="791" spans="2:7" ht="15" customHeight="1" x14ac:dyDescent="0.25">
      <c r="B791" s="1"/>
      <c r="C791" s="113">
        <v>774</v>
      </c>
      <c r="D791" s="110"/>
      <c r="E791" s="110"/>
      <c r="F791" s="19" t="str">
        <f t="shared" si="12"/>
        <v/>
      </c>
      <c r="G791" s="2"/>
    </row>
    <row r="792" spans="2:7" ht="15" customHeight="1" x14ac:dyDescent="0.25">
      <c r="B792" s="1"/>
      <c r="C792" s="113">
        <v>775</v>
      </c>
      <c r="D792" s="110"/>
      <c r="E792" s="110"/>
      <c r="F792" s="19" t="str">
        <f t="shared" si="12"/>
        <v/>
      </c>
      <c r="G792" s="2"/>
    </row>
    <row r="793" spans="2:7" ht="15" customHeight="1" x14ac:dyDescent="0.25">
      <c r="B793" s="1"/>
      <c r="C793" s="113">
        <v>776</v>
      </c>
      <c r="D793" s="110"/>
      <c r="E793" s="110"/>
      <c r="F793" s="19" t="str">
        <f t="shared" si="12"/>
        <v/>
      </c>
      <c r="G793" s="2"/>
    </row>
    <row r="794" spans="2:7" ht="15" customHeight="1" x14ac:dyDescent="0.25">
      <c r="B794" s="1"/>
      <c r="C794" s="113">
        <v>777</v>
      </c>
      <c r="D794" s="110"/>
      <c r="E794" s="110"/>
      <c r="F794" s="19" t="str">
        <f t="shared" si="12"/>
        <v/>
      </c>
      <c r="G794" s="2"/>
    </row>
    <row r="795" spans="2:7" ht="15" customHeight="1" x14ac:dyDescent="0.25">
      <c r="B795" s="1"/>
      <c r="C795" s="113">
        <v>778</v>
      </c>
      <c r="D795" s="110"/>
      <c r="E795" s="110"/>
      <c r="F795" s="19" t="str">
        <f t="shared" si="12"/>
        <v/>
      </c>
      <c r="G795" s="2"/>
    </row>
    <row r="796" spans="2:7" ht="15" customHeight="1" x14ac:dyDescent="0.25">
      <c r="B796" s="1"/>
      <c r="C796" s="113">
        <v>779</v>
      </c>
      <c r="D796" s="110"/>
      <c r="E796" s="110"/>
      <c r="F796" s="19" t="str">
        <f t="shared" si="12"/>
        <v/>
      </c>
      <c r="G796" s="2"/>
    </row>
    <row r="797" spans="2:7" ht="15" customHeight="1" x14ac:dyDescent="0.25">
      <c r="B797" s="1"/>
      <c r="C797" s="113">
        <v>780</v>
      </c>
      <c r="D797" s="110"/>
      <c r="E797" s="110"/>
      <c r="F797" s="19" t="str">
        <f t="shared" si="12"/>
        <v/>
      </c>
      <c r="G797" s="2"/>
    </row>
    <row r="798" spans="2:7" ht="15" customHeight="1" x14ac:dyDescent="0.25">
      <c r="B798" s="1"/>
      <c r="C798" s="113">
        <v>781</v>
      </c>
      <c r="D798" s="110"/>
      <c r="E798" s="110"/>
      <c r="F798" s="19" t="str">
        <f t="shared" si="12"/>
        <v/>
      </c>
      <c r="G798" s="2"/>
    </row>
    <row r="799" spans="2:7" ht="15" customHeight="1" x14ac:dyDescent="0.25">
      <c r="B799" s="1"/>
      <c r="C799" s="113">
        <v>782</v>
      </c>
      <c r="D799" s="110"/>
      <c r="E799" s="110"/>
      <c r="F799" s="19" t="str">
        <f t="shared" si="12"/>
        <v/>
      </c>
      <c r="G799" s="2"/>
    </row>
    <row r="800" spans="2:7" ht="15" customHeight="1" x14ac:dyDescent="0.25">
      <c r="B800" s="1"/>
      <c r="C800" s="113">
        <v>783</v>
      </c>
      <c r="D800" s="110"/>
      <c r="E800" s="110"/>
      <c r="F800" s="19" t="str">
        <f t="shared" si="12"/>
        <v/>
      </c>
      <c r="G800" s="2"/>
    </row>
    <row r="801" spans="2:7" ht="15" customHeight="1" x14ac:dyDescent="0.25">
      <c r="B801" s="1"/>
      <c r="C801" s="113">
        <v>784</v>
      </c>
      <c r="D801" s="110"/>
      <c r="E801" s="110"/>
      <c r="F801" s="19" t="str">
        <f t="shared" si="12"/>
        <v/>
      </c>
      <c r="G801" s="2"/>
    </row>
    <row r="802" spans="2:7" ht="15" customHeight="1" x14ac:dyDescent="0.25">
      <c r="B802" s="1"/>
      <c r="C802" s="113">
        <v>785</v>
      </c>
      <c r="D802" s="110"/>
      <c r="E802" s="110"/>
      <c r="F802" s="19" t="str">
        <f t="shared" si="12"/>
        <v/>
      </c>
      <c r="G802" s="2"/>
    </row>
    <row r="803" spans="2:7" ht="15" customHeight="1" x14ac:dyDescent="0.25">
      <c r="B803" s="1"/>
      <c r="C803" s="113">
        <v>786</v>
      </c>
      <c r="D803" s="110"/>
      <c r="E803" s="110"/>
      <c r="F803" s="19" t="str">
        <f t="shared" si="12"/>
        <v/>
      </c>
      <c r="G803" s="2"/>
    </row>
    <row r="804" spans="2:7" ht="15" customHeight="1" x14ac:dyDescent="0.25">
      <c r="B804" s="1"/>
      <c r="C804" s="113">
        <v>787</v>
      </c>
      <c r="D804" s="110"/>
      <c r="E804" s="110"/>
      <c r="F804" s="19" t="str">
        <f t="shared" si="12"/>
        <v/>
      </c>
      <c r="G804" s="2"/>
    </row>
    <row r="805" spans="2:7" ht="15" customHeight="1" x14ac:dyDescent="0.25">
      <c r="B805" s="1"/>
      <c r="C805" s="113">
        <v>788</v>
      </c>
      <c r="D805" s="110"/>
      <c r="E805" s="110"/>
      <c r="F805" s="19" t="str">
        <f t="shared" si="12"/>
        <v/>
      </c>
      <c r="G805" s="2"/>
    </row>
    <row r="806" spans="2:7" ht="15" customHeight="1" x14ac:dyDescent="0.25">
      <c r="B806" s="1"/>
      <c r="C806" s="113">
        <v>789</v>
      </c>
      <c r="D806" s="110"/>
      <c r="E806" s="110"/>
      <c r="F806" s="19" t="str">
        <f t="shared" si="12"/>
        <v/>
      </c>
      <c r="G806" s="2"/>
    </row>
    <row r="807" spans="2:7" ht="15" customHeight="1" x14ac:dyDescent="0.25">
      <c r="B807" s="1"/>
      <c r="C807" s="113">
        <v>790</v>
      </c>
      <c r="D807" s="110"/>
      <c r="E807" s="110"/>
      <c r="F807" s="19" t="str">
        <f t="shared" si="12"/>
        <v/>
      </c>
      <c r="G807" s="2"/>
    </row>
    <row r="808" spans="2:7" ht="15" customHeight="1" x14ac:dyDescent="0.25">
      <c r="B808" s="1"/>
      <c r="C808" s="113">
        <v>791</v>
      </c>
      <c r="D808" s="110"/>
      <c r="E808" s="110"/>
      <c r="F808" s="19" t="str">
        <f t="shared" si="12"/>
        <v/>
      </c>
      <c r="G808" s="2"/>
    </row>
    <row r="809" spans="2:7" ht="15" customHeight="1" x14ac:dyDescent="0.25">
      <c r="B809" s="1"/>
      <c r="C809" s="113">
        <v>792</v>
      </c>
      <c r="D809" s="110"/>
      <c r="E809" s="110"/>
      <c r="F809" s="19" t="str">
        <f t="shared" si="12"/>
        <v/>
      </c>
      <c r="G809" s="2"/>
    </row>
    <row r="810" spans="2:7" ht="15" customHeight="1" x14ac:dyDescent="0.25">
      <c r="B810" s="1"/>
      <c r="C810" s="113">
        <v>793</v>
      </c>
      <c r="D810" s="110"/>
      <c r="E810" s="110"/>
      <c r="F810" s="19" t="str">
        <f t="shared" si="12"/>
        <v/>
      </c>
      <c r="G810" s="2"/>
    </row>
    <row r="811" spans="2:7" ht="15" customHeight="1" x14ac:dyDescent="0.25">
      <c r="B811" s="1"/>
      <c r="C811" s="113">
        <v>794</v>
      </c>
      <c r="D811" s="110"/>
      <c r="E811" s="110"/>
      <c r="F811" s="19" t="str">
        <f t="shared" si="12"/>
        <v/>
      </c>
      <c r="G811" s="2"/>
    </row>
    <row r="812" spans="2:7" ht="15" customHeight="1" x14ac:dyDescent="0.25">
      <c r="B812" s="1"/>
      <c r="C812" s="113">
        <v>795</v>
      </c>
      <c r="D812" s="110"/>
      <c r="E812" s="110"/>
      <c r="F812" s="19" t="str">
        <f t="shared" si="12"/>
        <v/>
      </c>
      <c r="G812" s="2"/>
    </row>
    <row r="813" spans="2:7" ht="15" customHeight="1" x14ac:dyDescent="0.25">
      <c r="B813" s="1"/>
      <c r="C813" s="113">
        <v>796</v>
      </c>
      <c r="D813" s="110"/>
      <c r="E813" s="110"/>
      <c r="F813" s="19" t="str">
        <f t="shared" si="12"/>
        <v/>
      </c>
      <c r="G813" s="2"/>
    </row>
    <row r="814" spans="2:7" ht="15" customHeight="1" x14ac:dyDescent="0.25">
      <c r="B814" s="1"/>
      <c r="C814" s="113">
        <v>797</v>
      </c>
      <c r="D814" s="110"/>
      <c r="E814" s="110"/>
      <c r="F814" s="19" t="str">
        <f t="shared" si="12"/>
        <v/>
      </c>
      <c r="G814" s="2"/>
    </row>
    <row r="815" spans="2:7" ht="15" customHeight="1" x14ac:dyDescent="0.25">
      <c r="B815" s="1"/>
      <c r="C815" s="113">
        <v>798</v>
      </c>
      <c r="D815" s="110"/>
      <c r="E815" s="110"/>
      <c r="F815" s="19" t="str">
        <f t="shared" si="12"/>
        <v/>
      </c>
      <c r="G815" s="2"/>
    </row>
    <row r="816" spans="2:7" ht="15" customHeight="1" x14ac:dyDescent="0.25">
      <c r="B816" s="1"/>
      <c r="C816" s="113">
        <v>799</v>
      </c>
      <c r="D816" s="110"/>
      <c r="E816" s="110"/>
      <c r="F816" s="19" t="str">
        <f t="shared" si="12"/>
        <v/>
      </c>
      <c r="G816" s="2"/>
    </row>
    <row r="817" spans="2:7" ht="15" customHeight="1" x14ac:dyDescent="0.25">
      <c r="B817" s="1"/>
      <c r="C817" s="113">
        <v>800</v>
      </c>
      <c r="D817" s="110"/>
      <c r="E817" s="110"/>
      <c r="F817" s="19" t="str">
        <f t="shared" si="12"/>
        <v/>
      </c>
      <c r="G817" s="2"/>
    </row>
    <row r="818" spans="2:7" ht="15" customHeight="1" x14ac:dyDescent="0.25">
      <c r="B818" s="1"/>
      <c r="C818" s="113">
        <v>801</v>
      </c>
      <c r="D818" s="110"/>
      <c r="E818" s="110"/>
      <c r="F818" s="19" t="str">
        <f t="shared" si="12"/>
        <v/>
      </c>
      <c r="G818" s="2"/>
    </row>
    <row r="819" spans="2:7" ht="15" customHeight="1" x14ac:dyDescent="0.25">
      <c r="B819" s="1"/>
      <c r="C819" s="113">
        <v>802</v>
      </c>
      <c r="D819" s="110"/>
      <c r="E819" s="110"/>
      <c r="F819" s="19" t="str">
        <f t="shared" si="12"/>
        <v/>
      </c>
      <c r="G819" s="2"/>
    </row>
    <row r="820" spans="2:7" ht="15" customHeight="1" x14ac:dyDescent="0.25">
      <c r="B820" s="1"/>
      <c r="C820" s="113">
        <v>803</v>
      </c>
      <c r="D820" s="110"/>
      <c r="E820" s="110"/>
      <c r="F820" s="19" t="str">
        <f t="shared" si="12"/>
        <v/>
      </c>
      <c r="G820" s="2"/>
    </row>
    <row r="821" spans="2:7" ht="15" customHeight="1" x14ac:dyDescent="0.25">
      <c r="B821" s="1"/>
      <c r="C821" s="113">
        <v>804</v>
      </c>
      <c r="D821" s="110"/>
      <c r="E821" s="110"/>
      <c r="F821" s="19" t="str">
        <f t="shared" si="12"/>
        <v/>
      </c>
      <c r="G821" s="2"/>
    </row>
    <row r="822" spans="2:7" ht="15" customHeight="1" x14ac:dyDescent="0.25">
      <c r="B822" s="1"/>
      <c r="C822" s="113">
        <v>805</v>
      </c>
      <c r="D822" s="110"/>
      <c r="E822" s="110"/>
      <c r="F822" s="19" t="str">
        <f t="shared" si="12"/>
        <v/>
      </c>
      <c r="G822" s="2"/>
    </row>
    <row r="823" spans="2:7" ht="15" customHeight="1" x14ac:dyDescent="0.25">
      <c r="B823" s="1"/>
      <c r="C823" s="113">
        <v>806</v>
      </c>
      <c r="D823" s="110"/>
      <c r="E823" s="110"/>
      <c r="F823" s="19" t="str">
        <f t="shared" si="12"/>
        <v/>
      </c>
      <c r="G823" s="2"/>
    </row>
    <row r="824" spans="2:7" ht="15" customHeight="1" x14ac:dyDescent="0.25">
      <c r="B824" s="1"/>
      <c r="C824" s="113">
        <v>807</v>
      </c>
      <c r="D824" s="110"/>
      <c r="E824" s="110"/>
      <c r="F824" s="19" t="str">
        <f t="shared" si="12"/>
        <v/>
      </c>
      <c r="G824" s="2"/>
    </row>
    <row r="825" spans="2:7" ht="15" customHeight="1" x14ac:dyDescent="0.25">
      <c r="B825" s="1"/>
      <c r="C825" s="113">
        <v>808</v>
      </c>
      <c r="D825" s="110"/>
      <c r="E825" s="110"/>
      <c r="F825" s="19" t="str">
        <f t="shared" si="12"/>
        <v/>
      </c>
      <c r="G825" s="2"/>
    </row>
    <row r="826" spans="2:7" ht="15" customHeight="1" x14ac:dyDescent="0.25">
      <c r="B826" s="1"/>
      <c r="C826" s="113">
        <v>809</v>
      </c>
      <c r="D826" s="110"/>
      <c r="E826" s="110"/>
      <c r="F826" s="19" t="str">
        <f t="shared" si="12"/>
        <v/>
      </c>
      <c r="G826" s="2"/>
    </row>
    <row r="827" spans="2:7" ht="15" customHeight="1" x14ac:dyDescent="0.25">
      <c r="B827" s="1"/>
      <c r="C827" s="113">
        <v>810</v>
      </c>
      <c r="D827" s="110"/>
      <c r="E827" s="110"/>
      <c r="F827" s="19" t="str">
        <f t="shared" si="12"/>
        <v/>
      </c>
      <c r="G827" s="2"/>
    </row>
    <row r="828" spans="2:7" ht="15" customHeight="1" x14ac:dyDescent="0.25">
      <c r="B828" s="1"/>
      <c r="C828" s="113">
        <v>811</v>
      </c>
      <c r="D828" s="110"/>
      <c r="E828" s="110"/>
      <c r="F828" s="19" t="str">
        <f t="shared" si="12"/>
        <v/>
      </c>
      <c r="G828" s="2"/>
    </row>
    <row r="829" spans="2:7" ht="15" customHeight="1" x14ac:dyDescent="0.25">
      <c r="B829" s="1"/>
      <c r="C829" s="113">
        <v>812</v>
      </c>
      <c r="D829" s="110"/>
      <c r="E829" s="110"/>
      <c r="F829" s="19" t="str">
        <f t="shared" si="12"/>
        <v/>
      </c>
      <c r="G829" s="2"/>
    </row>
    <row r="830" spans="2:7" ht="15" customHeight="1" x14ac:dyDescent="0.25">
      <c r="B830" s="1"/>
      <c r="C830" s="113">
        <v>813</v>
      </c>
      <c r="D830" s="110"/>
      <c r="E830" s="110"/>
      <c r="F830" s="19" t="str">
        <f t="shared" si="12"/>
        <v/>
      </c>
      <c r="G830" s="2"/>
    </row>
    <row r="831" spans="2:7" ht="15" customHeight="1" x14ac:dyDescent="0.25">
      <c r="B831" s="1"/>
      <c r="C831" s="113">
        <v>814</v>
      </c>
      <c r="D831" s="110"/>
      <c r="E831" s="110"/>
      <c r="F831" s="19" t="str">
        <f t="shared" si="12"/>
        <v/>
      </c>
      <c r="G831" s="2"/>
    </row>
    <row r="832" spans="2:7" ht="15" customHeight="1" x14ac:dyDescent="0.25">
      <c r="B832" s="1"/>
      <c r="C832" s="113">
        <v>815</v>
      </c>
      <c r="D832" s="110"/>
      <c r="E832" s="110"/>
      <c r="F832" s="19" t="str">
        <f t="shared" si="12"/>
        <v/>
      </c>
      <c r="G832" s="2"/>
    </row>
    <row r="833" spans="2:7" ht="15" customHeight="1" x14ac:dyDescent="0.25">
      <c r="B833" s="1"/>
      <c r="C833" s="113">
        <v>816</v>
      </c>
      <c r="D833" s="110"/>
      <c r="E833" s="110"/>
      <c r="F833" s="19" t="str">
        <f t="shared" si="12"/>
        <v/>
      </c>
      <c r="G833" s="2"/>
    </row>
    <row r="834" spans="2:7" ht="15" customHeight="1" x14ac:dyDescent="0.25">
      <c r="B834" s="1"/>
      <c r="C834" s="113">
        <v>817</v>
      </c>
      <c r="D834" s="110"/>
      <c r="E834" s="110"/>
      <c r="F834" s="19" t="str">
        <f t="shared" si="12"/>
        <v/>
      </c>
      <c r="G834" s="2"/>
    </row>
    <row r="835" spans="2:7" ht="15" customHeight="1" x14ac:dyDescent="0.25">
      <c r="B835" s="1"/>
      <c r="C835" s="113">
        <v>818</v>
      </c>
      <c r="D835" s="110"/>
      <c r="E835" s="110"/>
      <c r="F835" s="19" t="str">
        <f t="shared" si="12"/>
        <v/>
      </c>
      <c r="G835" s="2"/>
    </row>
    <row r="836" spans="2:7" ht="15" customHeight="1" x14ac:dyDescent="0.25">
      <c r="B836" s="1"/>
      <c r="C836" s="113">
        <v>819</v>
      </c>
      <c r="D836" s="110"/>
      <c r="E836" s="110"/>
      <c r="F836" s="19" t="str">
        <f t="shared" si="12"/>
        <v/>
      </c>
      <c r="G836" s="2"/>
    </row>
    <row r="837" spans="2:7" ht="15" customHeight="1" x14ac:dyDescent="0.25">
      <c r="B837" s="1"/>
      <c r="C837" s="113">
        <v>820</v>
      </c>
      <c r="D837" s="110"/>
      <c r="E837" s="110"/>
      <c r="F837" s="19" t="str">
        <f t="shared" si="12"/>
        <v/>
      </c>
      <c r="G837" s="2"/>
    </row>
    <row r="838" spans="2:7" ht="15" customHeight="1" x14ac:dyDescent="0.25">
      <c r="B838" s="1"/>
      <c r="C838" s="113">
        <v>821</v>
      </c>
      <c r="D838" s="110"/>
      <c r="E838" s="110"/>
      <c r="F838" s="19" t="str">
        <f t="shared" si="12"/>
        <v/>
      </c>
      <c r="G838" s="2"/>
    </row>
    <row r="839" spans="2:7" ht="15" customHeight="1" x14ac:dyDescent="0.25">
      <c r="B839" s="1"/>
      <c r="C839" s="113">
        <v>822</v>
      </c>
      <c r="D839" s="110"/>
      <c r="E839" s="110"/>
      <c r="F839" s="19" t="str">
        <f t="shared" si="12"/>
        <v/>
      </c>
      <c r="G839" s="2"/>
    </row>
    <row r="840" spans="2:7" ht="15" customHeight="1" x14ac:dyDescent="0.25">
      <c r="B840" s="1"/>
      <c r="C840" s="113">
        <v>823</v>
      </c>
      <c r="D840" s="110"/>
      <c r="E840" s="110"/>
      <c r="F840" s="19" t="str">
        <f t="shared" si="12"/>
        <v/>
      </c>
      <c r="G840" s="2"/>
    </row>
    <row r="841" spans="2:7" ht="15" customHeight="1" x14ac:dyDescent="0.25">
      <c r="B841" s="1"/>
      <c r="C841" s="113">
        <v>824</v>
      </c>
      <c r="D841" s="110"/>
      <c r="E841" s="110"/>
      <c r="F841" s="19" t="str">
        <f t="shared" si="12"/>
        <v/>
      </c>
      <c r="G841" s="2"/>
    </row>
    <row r="842" spans="2:7" ht="15" customHeight="1" x14ac:dyDescent="0.25">
      <c r="B842" s="1"/>
      <c r="C842" s="113">
        <v>825</v>
      </c>
      <c r="D842" s="110"/>
      <c r="E842" s="110"/>
      <c r="F842" s="19" t="str">
        <f t="shared" si="12"/>
        <v/>
      </c>
      <c r="G842" s="2"/>
    </row>
    <row r="843" spans="2:7" ht="15" customHeight="1" x14ac:dyDescent="0.25">
      <c r="B843" s="1"/>
      <c r="C843" s="113">
        <v>826</v>
      </c>
      <c r="D843" s="110"/>
      <c r="E843" s="110"/>
      <c r="F843" s="19" t="str">
        <f t="shared" si="12"/>
        <v/>
      </c>
      <c r="G843" s="2"/>
    </row>
    <row r="844" spans="2:7" ht="15" customHeight="1" x14ac:dyDescent="0.25">
      <c r="B844" s="1"/>
      <c r="C844" s="113">
        <v>827</v>
      </c>
      <c r="D844" s="110"/>
      <c r="E844" s="110"/>
      <c r="F844" s="19" t="str">
        <f t="shared" si="12"/>
        <v/>
      </c>
      <c r="G844" s="2"/>
    </row>
    <row r="845" spans="2:7" ht="15" customHeight="1" x14ac:dyDescent="0.25">
      <c r="B845" s="1"/>
      <c r="C845" s="113">
        <v>828</v>
      </c>
      <c r="D845" s="110"/>
      <c r="E845" s="110"/>
      <c r="F845" s="19" t="str">
        <f t="shared" si="12"/>
        <v/>
      </c>
      <c r="G845" s="2"/>
    </row>
    <row r="846" spans="2:7" ht="15" customHeight="1" x14ac:dyDescent="0.25">
      <c r="B846" s="1"/>
      <c r="C846" s="113">
        <v>829</v>
      </c>
      <c r="D846" s="110"/>
      <c r="E846" s="110"/>
      <c r="F846" s="19" t="str">
        <f t="shared" si="12"/>
        <v/>
      </c>
      <c r="G846" s="2"/>
    </row>
    <row r="847" spans="2:7" ht="15" customHeight="1" x14ac:dyDescent="0.25">
      <c r="B847" s="1"/>
      <c r="C847" s="113">
        <v>830</v>
      </c>
      <c r="D847" s="110"/>
      <c r="E847" s="110"/>
      <c r="F847" s="19" t="str">
        <f t="shared" si="12"/>
        <v/>
      </c>
      <c r="G847" s="2"/>
    </row>
    <row r="848" spans="2:7" ht="15" customHeight="1" x14ac:dyDescent="0.25">
      <c r="B848" s="1"/>
      <c r="C848" s="113">
        <v>831</v>
      </c>
      <c r="D848" s="110"/>
      <c r="E848" s="110"/>
      <c r="F848" s="19" t="str">
        <f t="shared" si="12"/>
        <v/>
      </c>
      <c r="G848" s="2"/>
    </row>
    <row r="849" spans="2:7" ht="15" customHeight="1" x14ac:dyDescent="0.25">
      <c r="B849" s="1"/>
      <c r="C849" s="113">
        <v>832</v>
      </c>
      <c r="D849" s="110"/>
      <c r="E849" s="110"/>
      <c r="F849" s="19" t="str">
        <f t="shared" si="12"/>
        <v/>
      </c>
      <c r="G849" s="2"/>
    </row>
    <row r="850" spans="2:7" ht="15" customHeight="1" x14ac:dyDescent="0.25">
      <c r="B850" s="1"/>
      <c r="C850" s="113">
        <v>833</v>
      </c>
      <c r="D850" s="110"/>
      <c r="E850" s="110"/>
      <c r="F850" s="19" t="str">
        <f t="shared" si="12"/>
        <v/>
      </c>
      <c r="G850" s="2"/>
    </row>
    <row r="851" spans="2:7" ht="15" customHeight="1" x14ac:dyDescent="0.25">
      <c r="B851" s="1"/>
      <c r="C851" s="113">
        <v>834</v>
      </c>
      <c r="D851" s="110"/>
      <c r="E851" s="110"/>
      <c r="F851" s="19" t="str">
        <f t="shared" ref="F851:F914" si="13">IFERROR(IF(AND(LEFT(D851,6)=LEFT(E851,6),RIGHT(E851,9)-RIGHT(D851,9)&gt;=0),RIGHT(E851,9)-RIGHT(D851,9)+1,""),"")</f>
        <v/>
      </c>
      <c r="G851" s="2"/>
    </row>
    <row r="852" spans="2:7" ht="15" customHeight="1" x14ac:dyDescent="0.25">
      <c r="B852" s="1"/>
      <c r="C852" s="113">
        <v>835</v>
      </c>
      <c r="D852" s="110"/>
      <c r="E852" s="110"/>
      <c r="F852" s="19" t="str">
        <f t="shared" si="13"/>
        <v/>
      </c>
      <c r="G852" s="2"/>
    </row>
    <row r="853" spans="2:7" ht="15" customHeight="1" x14ac:dyDescent="0.25">
      <c r="B853" s="1"/>
      <c r="C853" s="113">
        <v>836</v>
      </c>
      <c r="D853" s="110"/>
      <c r="E853" s="110"/>
      <c r="F853" s="19" t="str">
        <f t="shared" si="13"/>
        <v/>
      </c>
      <c r="G853" s="2"/>
    </row>
    <row r="854" spans="2:7" ht="15" customHeight="1" x14ac:dyDescent="0.25">
      <c r="B854" s="1"/>
      <c r="C854" s="113">
        <v>837</v>
      </c>
      <c r="D854" s="110"/>
      <c r="E854" s="110"/>
      <c r="F854" s="19" t="str">
        <f t="shared" si="13"/>
        <v/>
      </c>
      <c r="G854" s="2"/>
    </row>
    <row r="855" spans="2:7" ht="15" customHeight="1" x14ac:dyDescent="0.25">
      <c r="B855" s="1"/>
      <c r="C855" s="113">
        <v>838</v>
      </c>
      <c r="D855" s="110"/>
      <c r="E855" s="110"/>
      <c r="F855" s="19" t="str">
        <f t="shared" si="13"/>
        <v/>
      </c>
      <c r="G855" s="2"/>
    </row>
    <row r="856" spans="2:7" ht="15" customHeight="1" x14ac:dyDescent="0.25">
      <c r="B856" s="1"/>
      <c r="C856" s="113">
        <v>839</v>
      </c>
      <c r="D856" s="110"/>
      <c r="E856" s="110"/>
      <c r="F856" s="19" t="str">
        <f t="shared" si="13"/>
        <v/>
      </c>
      <c r="G856" s="2"/>
    </row>
    <row r="857" spans="2:7" ht="15" customHeight="1" x14ac:dyDescent="0.25">
      <c r="B857" s="1"/>
      <c r="C857" s="113">
        <v>840</v>
      </c>
      <c r="D857" s="110"/>
      <c r="E857" s="110"/>
      <c r="F857" s="19" t="str">
        <f t="shared" si="13"/>
        <v/>
      </c>
      <c r="G857" s="2"/>
    </row>
    <row r="858" spans="2:7" ht="15" customHeight="1" x14ac:dyDescent="0.25">
      <c r="B858" s="1"/>
      <c r="C858" s="113">
        <v>841</v>
      </c>
      <c r="D858" s="110"/>
      <c r="E858" s="110"/>
      <c r="F858" s="19" t="str">
        <f t="shared" si="13"/>
        <v/>
      </c>
      <c r="G858" s="2"/>
    </row>
    <row r="859" spans="2:7" ht="15" customHeight="1" x14ac:dyDescent="0.25">
      <c r="B859" s="1"/>
      <c r="C859" s="113">
        <v>842</v>
      </c>
      <c r="D859" s="110"/>
      <c r="E859" s="110"/>
      <c r="F859" s="19" t="str">
        <f t="shared" si="13"/>
        <v/>
      </c>
      <c r="G859" s="2"/>
    </row>
    <row r="860" spans="2:7" ht="15" customHeight="1" x14ac:dyDescent="0.25">
      <c r="B860" s="1"/>
      <c r="C860" s="113">
        <v>843</v>
      </c>
      <c r="D860" s="110"/>
      <c r="E860" s="110"/>
      <c r="F860" s="19" t="str">
        <f t="shared" si="13"/>
        <v/>
      </c>
      <c r="G860" s="2"/>
    </row>
    <row r="861" spans="2:7" ht="15" customHeight="1" x14ac:dyDescent="0.25">
      <c r="B861" s="1"/>
      <c r="C861" s="113">
        <v>844</v>
      </c>
      <c r="D861" s="110"/>
      <c r="E861" s="110"/>
      <c r="F861" s="19" t="str">
        <f t="shared" si="13"/>
        <v/>
      </c>
      <c r="G861" s="2"/>
    </row>
    <row r="862" spans="2:7" ht="15" customHeight="1" x14ac:dyDescent="0.25">
      <c r="B862" s="1"/>
      <c r="C862" s="113">
        <v>845</v>
      </c>
      <c r="D862" s="110"/>
      <c r="E862" s="110"/>
      <c r="F862" s="19" t="str">
        <f t="shared" si="13"/>
        <v/>
      </c>
      <c r="G862" s="2"/>
    </row>
    <row r="863" spans="2:7" ht="15" customHeight="1" x14ac:dyDescent="0.25">
      <c r="B863" s="1"/>
      <c r="C863" s="113">
        <v>846</v>
      </c>
      <c r="D863" s="110"/>
      <c r="E863" s="110"/>
      <c r="F863" s="19" t="str">
        <f t="shared" si="13"/>
        <v/>
      </c>
      <c r="G863" s="2"/>
    </row>
    <row r="864" spans="2:7" ht="15" customHeight="1" x14ac:dyDescent="0.25">
      <c r="B864" s="1"/>
      <c r="C864" s="113">
        <v>847</v>
      </c>
      <c r="D864" s="110"/>
      <c r="E864" s="110"/>
      <c r="F864" s="19" t="str">
        <f t="shared" si="13"/>
        <v/>
      </c>
      <c r="G864" s="2"/>
    </row>
    <row r="865" spans="2:7" ht="15" customHeight="1" x14ac:dyDescent="0.25">
      <c r="B865" s="1"/>
      <c r="C865" s="113">
        <v>848</v>
      </c>
      <c r="D865" s="110"/>
      <c r="E865" s="110"/>
      <c r="F865" s="19" t="str">
        <f t="shared" si="13"/>
        <v/>
      </c>
      <c r="G865" s="2"/>
    </row>
    <row r="866" spans="2:7" ht="15" customHeight="1" x14ac:dyDescent="0.25">
      <c r="B866" s="1"/>
      <c r="C866" s="113">
        <v>849</v>
      </c>
      <c r="D866" s="110"/>
      <c r="E866" s="110"/>
      <c r="F866" s="19" t="str">
        <f t="shared" si="13"/>
        <v/>
      </c>
      <c r="G866" s="2"/>
    </row>
    <row r="867" spans="2:7" ht="15" customHeight="1" x14ac:dyDescent="0.25">
      <c r="B867" s="1"/>
      <c r="C867" s="113">
        <v>850</v>
      </c>
      <c r="D867" s="110"/>
      <c r="E867" s="110"/>
      <c r="F867" s="19" t="str">
        <f t="shared" si="13"/>
        <v/>
      </c>
      <c r="G867" s="2"/>
    </row>
    <row r="868" spans="2:7" ht="15" customHeight="1" x14ac:dyDescent="0.25">
      <c r="B868" s="1"/>
      <c r="C868" s="113">
        <v>851</v>
      </c>
      <c r="D868" s="110"/>
      <c r="E868" s="110"/>
      <c r="F868" s="19" t="str">
        <f t="shared" si="13"/>
        <v/>
      </c>
      <c r="G868" s="2"/>
    </row>
    <row r="869" spans="2:7" ht="15" customHeight="1" x14ac:dyDescent="0.25">
      <c r="B869" s="1"/>
      <c r="C869" s="113">
        <v>852</v>
      </c>
      <c r="D869" s="110"/>
      <c r="E869" s="110"/>
      <c r="F869" s="19" t="str">
        <f t="shared" si="13"/>
        <v/>
      </c>
      <c r="G869" s="2"/>
    </row>
    <row r="870" spans="2:7" ht="15" customHeight="1" x14ac:dyDescent="0.25">
      <c r="B870" s="1"/>
      <c r="C870" s="113">
        <v>853</v>
      </c>
      <c r="D870" s="110"/>
      <c r="E870" s="110"/>
      <c r="F870" s="19" t="str">
        <f t="shared" si="13"/>
        <v/>
      </c>
      <c r="G870" s="2"/>
    </row>
    <row r="871" spans="2:7" ht="15" customHeight="1" x14ac:dyDescent="0.25">
      <c r="B871" s="1"/>
      <c r="C871" s="113">
        <v>854</v>
      </c>
      <c r="D871" s="110"/>
      <c r="E871" s="110"/>
      <c r="F871" s="19" t="str">
        <f t="shared" si="13"/>
        <v/>
      </c>
      <c r="G871" s="2"/>
    </row>
    <row r="872" spans="2:7" ht="15" customHeight="1" x14ac:dyDescent="0.25">
      <c r="B872" s="1"/>
      <c r="C872" s="113">
        <v>855</v>
      </c>
      <c r="D872" s="110"/>
      <c r="E872" s="110"/>
      <c r="F872" s="19" t="str">
        <f t="shared" si="13"/>
        <v/>
      </c>
      <c r="G872" s="2"/>
    </row>
    <row r="873" spans="2:7" ht="15" customHeight="1" x14ac:dyDescent="0.25">
      <c r="B873" s="1"/>
      <c r="C873" s="113">
        <v>856</v>
      </c>
      <c r="D873" s="110"/>
      <c r="E873" s="110"/>
      <c r="F873" s="19" t="str">
        <f t="shared" si="13"/>
        <v/>
      </c>
      <c r="G873" s="2"/>
    </row>
    <row r="874" spans="2:7" ht="15" customHeight="1" x14ac:dyDescent="0.25">
      <c r="B874" s="1"/>
      <c r="C874" s="113">
        <v>857</v>
      </c>
      <c r="D874" s="110"/>
      <c r="E874" s="110"/>
      <c r="F874" s="19" t="str">
        <f t="shared" si="13"/>
        <v/>
      </c>
      <c r="G874" s="2"/>
    </row>
    <row r="875" spans="2:7" ht="15" customHeight="1" x14ac:dyDescent="0.25">
      <c r="B875" s="1"/>
      <c r="C875" s="113">
        <v>858</v>
      </c>
      <c r="D875" s="110"/>
      <c r="E875" s="110"/>
      <c r="F875" s="19" t="str">
        <f t="shared" si="13"/>
        <v/>
      </c>
      <c r="G875" s="2"/>
    </row>
    <row r="876" spans="2:7" ht="15" customHeight="1" x14ac:dyDescent="0.25">
      <c r="B876" s="1"/>
      <c r="C876" s="113">
        <v>859</v>
      </c>
      <c r="D876" s="110"/>
      <c r="E876" s="110"/>
      <c r="F876" s="19" t="str">
        <f t="shared" si="13"/>
        <v/>
      </c>
      <c r="G876" s="2"/>
    </row>
    <row r="877" spans="2:7" ht="15" customHeight="1" x14ac:dyDescent="0.25">
      <c r="B877" s="1"/>
      <c r="C877" s="113">
        <v>860</v>
      </c>
      <c r="D877" s="110"/>
      <c r="E877" s="110"/>
      <c r="F877" s="19" t="str">
        <f t="shared" si="13"/>
        <v/>
      </c>
      <c r="G877" s="2"/>
    </row>
    <row r="878" spans="2:7" ht="15" customHeight="1" x14ac:dyDescent="0.25">
      <c r="B878" s="1"/>
      <c r="C878" s="113">
        <v>861</v>
      </c>
      <c r="D878" s="110"/>
      <c r="E878" s="110"/>
      <c r="F878" s="19" t="str">
        <f t="shared" si="13"/>
        <v/>
      </c>
      <c r="G878" s="2"/>
    </row>
    <row r="879" spans="2:7" ht="15" customHeight="1" x14ac:dyDescent="0.25">
      <c r="B879" s="1"/>
      <c r="C879" s="113">
        <v>862</v>
      </c>
      <c r="D879" s="110"/>
      <c r="E879" s="110"/>
      <c r="F879" s="19" t="str">
        <f t="shared" si="13"/>
        <v/>
      </c>
      <c r="G879" s="2"/>
    </row>
    <row r="880" spans="2:7" ht="15" customHeight="1" x14ac:dyDescent="0.25">
      <c r="B880" s="1"/>
      <c r="C880" s="113">
        <v>863</v>
      </c>
      <c r="D880" s="110"/>
      <c r="E880" s="110"/>
      <c r="F880" s="19" t="str">
        <f t="shared" si="13"/>
        <v/>
      </c>
      <c r="G880" s="2"/>
    </row>
    <row r="881" spans="2:7" ht="15" customHeight="1" x14ac:dyDescent="0.25">
      <c r="B881" s="1"/>
      <c r="C881" s="113">
        <v>864</v>
      </c>
      <c r="D881" s="110"/>
      <c r="E881" s="110"/>
      <c r="F881" s="19" t="str">
        <f t="shared" si="13"/>
        <v/>
      </c>
      <c r="G881" s="2"/>
    </row>
    <row r="882" spans="2:7" ht="15" customHeight="1" x14ac:dyDescent="0.25">
      <c r="B882" s="1"/>
      <c r="C882" s="113">
        <v>865</v>
      </c>
      <c r="D882" s="110"/>
      <c r="E882" s="110"/>
      <c r="F882" s="19" t="str">
        <f t="shared" si="13"/>
        <v/>
      </c>
      <c r="G882" s="2"/>
    </row>
    <row r="883" spans="2:7" ht="15" customHeight="1" x14ac:dyDescent="0.25">
      <c r="B883" s="1"/>
      <c r="C883" s="113">
        <v>866</v>
      </c>
      <c r="D883" s="110"/>
      <c r="E883" s="110"/>
      <c r="F883" s="19" t="str">
        <f t="shared" si="13"/>
        <v/>
      </c>
      <c r="G883" s="2"/>
    </row>
    <row r="884" spans="2:7" ht="15" customHeight="1" x14ac:dyDescent="0.25">
      <c r="B884" s="1"/>
      <c r="C884" s="113">
        <v>867</v>
      </c>
      <c r="D884" s="110"/>
      <c r="E884" s="110"/>
      <c r="F884" s="19" t="str">
        <f t="shared" si="13"/>
        <v/>
      </c>
      <c r="G884" s="2"/>
    </row>
    <row r="885" spans="2:7" ht="15" customHeight="1" x14ac:dyDescent="0.25">
      <c r="B885" s="1"/>
      <c r="C885" s="113">
        <v>868</v>
      </c>
      <c r="D885" s="110"/>
      <c r="E885" s="110"/>
      <c r="F885" s="19" t="str">
        <f t="shared" si="13"/>
        <v/>
      </c>
      <c r="G885" s="2"/>
    </row>
    <row r="886" spans="2:7" ht="15" customHeight="1" x14ac:dyDescent="0.25">
      <c r="B886" s="1"/>
      <c r="C886" s="113">
        <v>869</v>
      </c>
      <c r="D886" s="110"/>
      <c r="E886" s="110"/>
      <c r="F886" s="19" t="str">
        <f t="shared" si="13"/>
        <v/>
      </c>
      <c r="G886" s="2"/>
    </row>
    <row r="887" spans="2:7" ht="15" customHeight="1" x14ac:dyDescent="0.25">
      <c r="B887" s="1"/>
      <c r="C887" s="113">
        <v>870</v>
      </c>
      <c r="D887" s="110"/>
      <c r="E887" s="110"/>
      <c r="F887" s="19" t="str">
        <f t="shared" si="13"/>
        <v/>
      </c>
      <c r="G887" s="2"/>
    </row>
    <row r="888" spans="2:7" ht="15" customHeight="1" x14ac:dyDescent="0.25">
      <c r="B888" s="1"/>
      <c r="C888" s="113">
        <v>871</v>
      </c>
      <c r="D888" s="110"/>
      <c r="E888" s="110"/>
      <c r="F888" s="19" t="str">
        <f t="shared" si="13"/>
        <v/>
      </c>
      <c r="G888" s="2"/>
    </row>
    <row r="889" spans="2:7" ht="15" customHeight="1" x14ac:dyDescent="0.25">
      <c r="B889" s="1"/>
      <c r="C889" s="113">
        <v>872</v>
      </c>
      <c r="D889" s="110"/>
      <c r="E889" s="110"/>
      <c r="F889" s="19" t="str">
        <f t="shared" si="13"/>
        <v/>
      </c>
      <c r="G889" s="2"/>
    </row>
    <row r="890" spans="2:7" ht="15" customHeight="1" x14ac:dyDescent="0.25">
      <c r="B890" s="1"/>
      <c r="C890" s="113">
        <v>873</v>
      </c>
      <c r="D890" s="110"/>
      <c r="E890" s="110"/>
      <c r="F890" s="19" t="str">
        <f t="shared" si="13"/>
        <v/>
      </c>
      <c r="G890" s="2"/>
    </row>
    <row r="891" spans="2:7" ht="15" customHeight="1" x14ac:dyDescent="0.25">
      <c r="B891" s="1"/>
      <c r="C891" s="113">
        <v>874</v>
      </c>
      <c r="D891" s="110"/>
      <c r="E891" s="110"/>
      <c r="F891" s="19" t="str">
        <f t="shared" si="13"/>
        <v/>
      </c>
      <c r="G891" s="2"/>
    </row>
    <row r="892" spans="2:7" ht="15" customHeight="1" x14ac:dyDescent="0.25">
      <c r="B892" s="1"/>
      <c r="C892" s="113">
        <v>875</v>
      </c>
      <c r="D892" s="110"/>
      <c r="E892" s="110"/>
      <c r="F892" s="19" t="str">
        <f t="shared" si="13"/>
        <v/>
      </c>
      <c r="G892" s="2"/>
    </row>
    <row r="893" spans="2:7" ht="15" customHeight="1" x14ac:dyDescent="0.25">
      <c r="B893" s="1"/>
      <c r="C893" s="113">
        <v>876</v>
      </c>
      <c r="D893" s="110"/>
      <c r="E893" s="110"/>
      <c r="F893" s="19" t="str">
        <f t="shared" si="13"/>
        <v/>
      </c>
      <c r="G893" s="2"/>
    </row>
    <row r="894" spans="2:7" ht="15" customHeight="1" x14ac:dyDescent="0.25">
      <c r="B894" s="1"/>
      <c r="C894" s="113">
        <v>877</v>
      </c>
      <c r="D894" s="110"/>
      <c r="E894" s="110"/>
      <c r="F894" s="19" t="str">
        <f t="shared" si="13"/>
        <v/>
      </c>
      <c r="G894" s="2"/>
    </row>
    <row r="895" spans="2:7" ht="15" customHeight="1" x14ac:dyDescent="0.25">
      <c r="B895" s="1"/>
      <c r="C895" s="113">
        <v>878</v>
      </c>
      <c r="D895" s="110"/>
      <c r="E895" s="110"/>
      <c r="F895" s="19" t="str">
        <f t="shared" si="13"/>
        <v/>
      </c>
      <c r="G895" s="2"/>
    </row>
    <row r="896" spans="2:7" ht="15" customHeight="1" x14ac:dyDescent="0.25">
      <c r="B896" s="1"/>
      <c r="C896" s="113">
        <v>879</v>
      </c>
      <c r="D896" s="110"/>
      <c r="E896" s="110"/>
      <c r="F896" s="19" t="str">
        <f t="shared" si="13"/>
        <v/>
      </c>
      <c r="G896" s="2"/>
    </row>
    <row r="897" spans="2:7" ht="15" customHeight="1" x14ac:dyDescent="0.25">
      <c r="B897" s="1"/>
      <c r="C897" s="113">
        <v>880</v>
      </c>
      <c r="D897" s="110"/>
      <c r="E897" s="110"/>
      <c r="F897" s="19" t="str">
        <f t="shared" si="13"/>
        <v/>
      </c>
      <c r="G897" s="2"/>
    </row>
    <row r="898" spans="2:7" ht="15" customHeight="1" x14ac:dyDescent="0.25">
      <c r="B898" s="1"/>
      <c r="C898" s="113">
        <v>881</v>
      </c>
      <c r="D898" s="110"/>
      <c r="E898" s="110"/>
      <c r="F898" s="19" t="str">
        <f t="shared" si="13"/>
        <v/>
      </c>
      <c r="G898" s="2"/>
    </row>
    <row r="899" spans="2:7" ht="15" customHeight="1" x14ac:dyDescent="0.25">
      <c r="B899" s="1"/>
      <c r="C899" s="113">
        <v>882</v>
      </c>
      <c r="D899" s="110"/>
      <c r="E899" s="110"/>
      <c r="F899" s="19" t="str">
        <f t="shared" si="13"/>
        <v/>
      </c>
      <c r="G899" s="2"/>
    </row>
    <row r="900" spans="2:7" ht="15" customHeight="1" x14ac:dyDescent="0.25">
      <c r="B900" s="1"/>
      <c r="C900" s="113">
        <v>883</v>
      </c>
      <c r="D900" s="110"/>
      <c r="E900" s="110"/>
      <c r="F900" s="19" t="str">
        <f t="shared" si="13"/>
        <v/>
      </c>
      <c r="G900" s="2"/>
    </row>
    <row r="901" spans="2:7" ht="15" customHeight="1" x14ac:dyDescent="0.25">
      <c r="B901" s="1"/>
      <c r="C901" s="113">
        <v>884</v>
      </c>
      <c r="D901" s="110"/>
      <c r="E901" s="110"/>
      <c r="F901" s="19" t="str">
        <f t="shared" si="13"/>
        <v/>
      </c>
      <c r="G901" s="2"/>
    </row>
    <row r="902" spans="2:7" ht="15" customHeight="1" x14ac:dyDescent="0.25">
      <c r="B902" s="1"/>
      <c r="C902" s="113">
        <v>885</v>
      </c>
      <c r="D902" s="110"/>
      <c r="E902" s="110"/>
      <c r="F902" s="19" t="str">
        <f t="shared" si="13"/>
        <v/>
      </c>
      <c r="G902" s="2"/>
    </row>
    <row r="903" spans="2:7" ht="15" customHeight="1" x14ac:dyDescent="0.25">
      <c r="B903" s="1"/>
      <c r="C903" s="113">
        <v>886</v>
      </c>
      <c r="D903" s="110"/>
      <c r="E903" s="110"/>
      <c r="F903" s="19" t="str">
        <f t="shared" si="13"/>
        <v/>
      </c>
      <c r="G903" s="2"/>
    </row>
    <row r="904" spans="2:7" ht="15" customHeight="1" x14ac:dyDescent="0.25">
      <c r="B904" s="1"/>
      <c r="C904" s="113">
        <v>887</v>
      </c>
      <c r="D904" s="110"/>
      <c r="E904" s="110"/>
      <c r="F904" s="19" t="str">
        <f t="shared" si="13"/>
        <v/>
      </c>
      <c r="G904" s="2"/>
    </row>
    <row r="905" spans="2:7" ht="15" customHeight="1" x14ac:dyDescent="0.25">
      <c r="B905" s="1"/>
      <c r="C905" s="113">
        <v>888</v>
      </c>
      <c r="D905" s="110"/>
      <c r="E905" s="110"/>
      <c r="F905" s="19" t="str">
        <f t="shared" si="13"/>
        <v/>
      </c>
      <c r="G905" s="2"/>
    </row>
    <row r="906" spans="2:7" ht="15" customHeight="1" x14ac:dyDescent="0.25">
      <c r="B906" s="1"/>
      <c r="C906" s="113">
        <v>889</v>
      </c>
      <c r="D906" s="110"/>
      <c r="E906" s="110"/>
      <c r="F906" s="19" t="str">
        <f t="shared" si="13"/>
        <v/>
      </c>
      <c r="G906" s="2"/>
    </row>
    <row r="907" spans="2:7" ht="15" customHeight="1" x14ac:dyDescent="0.25">
      <c r="B907" s="1"/>
      <c r="C907" s="113">
        <v>890</v>
      </c>
      <c r="D907" s="110"/>
      <c r="E907" s="110"/>
      <c r="F907" s="19" t="str">
        <f t="shared" si="13"/>
        <v/>
      </c>
      <c r="G907" s="2"/>
    </row>
    <row r="908" spans="2:7" ht="15" customHeight="1" x14ac:dyDescent="0.25">
      <c r="B908" s="1"/>
      <c r="C908" s="113">
        <v>891</v>
      </c>
      <c r="D908" s="110"/>
      <c r="E908" s="110"/>
      <c r="F908" s="19" t="str">
        <f t="shared" si="13"/>
        <v/>
      </c>
      <c r="G908" s="2"/>
    </row>
    <row r="909" spans="2:7" ht="15" customHeight="1" x14ac:dyDescent="0.25">
      <c r="B909" s="1"/>
      <c r="C909" s="113">
        <v>892</v>
      </c>
      <c r="D909" s="110"/>
      <c r="E909" s="110"/>
      <c r="F909" s="19" t="str">
        <f t="shared" si="13"/>
        <v/>
      </c>
      <c r="G909" s="2"/>
    </row>
    <row r="910" spans="2:7" ht="15" customHeight="1" x14ac:dyDescent="0.25">
      <c r="B910" s="1"/>
      <c r="C910" s="113">
        <v>893</v>
      </c>
      <c r="D910" s="110"/>
      <c r="E910" s="110"/>
      <c r="F910" s="19" t="str">
        <f t="shared" si="13"/>
        <v/>
      </c>
      <c r="G910" s="2"/>
    </row>
    <row r="911" spans="2:7" ht="15" customHeight="1" x14ac:dyDescent="0.25">
      <c r="B911" s="1"/>
      <c r="C911" s="113">
        <v>894</v>
      </c>
      <c r="D911" s="110"/>
      <c r="E911" s="110"/>
      <c r="F911" s="19" t="str">
        <f t="shared" si="13"/>
        <v/>
      </c>
      <c r="G911" s="2"/>
    </row>
    <row r="912" spans="2:7" ht="15" customHeight="1" x14ac:dyDescent="0.25">
      <c r="B912" s="1"/>
      <c r="C912" s="113">
        <v>895</v>
      </c>
      <c r="D912" s="110"/>
      <c r="E912" s="110"/>
      <c r="F912" s="19" t="str">
        <f t="shared" si="13"/>
        <v/>
      </c>
      <c r="G912" s="2"/>
    </row>
    <row r="913" spans="2:7" ht="15" customHeight="1" x14ac:dyDescent="0.25">
      <c r="B913" s="1"/>
      <c r="C913" s="113">
        <v>896</v>
      </c>
      <c r="D913" s="110"/>
      <c r="E913" s="110"/>
      <c r="F913" s="19" t="str">
        <f t="shared" si="13"/>
        <v/>
      </c>
      <c r="G913" s="2"/>
    </row>
    <row r="914" spans="2:7" ht="15" customHeight="1" x14ac:dyDescent="0.25">
      <c r="B914" s="1"/>
      <c r="C914" s="113">
        <v>897</v>
      </c>
      <c r="D914" s="110"/>
      <c r="E914" s="110"/>
      <c r="F914" s="19" t="str">
        <f t="shared" si="13"/>
        <v/>
      </c>
      <c r="G914" s="2"/>
    </row>
    <row r="915" spans="2:7" ht="15" customHeight="1" x14ac:dyDescent="0.25">
      <c r="B915" s="1"/>
      <c r="C915" s="113">
        <v>898</v>
      </c>
      <c r="D915" s="110"/>
      <c r="E915" s="110"/>
      <c r="F915" s="19" t="str">
        <f t="shared" ref="F915:F978" si="14">IFERROR(IF(AND(LEFT(D915,6)=LEFT(E915,6),RIGHT(E915,9)-RIGHT(D915,9)&gt;=0),RIGHT(E915,9)-RIGHT(D915,9)+1,""),"")</f>
        <v/>
      </c>
      <c r="G915" s="2"/>
    </row>
    <row r="916" spans="2:7" ht="15" customHeight="1" x14ac:dyDescent="0.25">
      <c r="B916" s="1"/>
      <c r="C916" s="113">
        <v>899</v>
      </c>
      <c r="D916" s="110"/>
      <c r="E916" s="110"/>
      <c r="F916" s="19" t="str">
        <f t="shared" si="14"/>
        <v/>
      </c>
      <c r="G916" s="2"/>
    </row>
    <row r="917" spans="2:7" ht="15" customHeight="1" x14ac:dyDescent="0.25">
      <c r="B917" s="1"/>
      <c r="C917" s="113">
        <v>900</v>
      </c>
      <c r="D917" s="110"/>
      <c r="E917" s="110"/>
      <c r="F917" s="19" t="str">
        <f t="shared" si="14"/>
        <v/>
      </c>
      <c r="G917" s="2"/>
    </row>
    <row r="918" spans="2:7" ht="15" customHeight="1" x14ac:dyDescent="0.25">
      <c r="B918" s="1"/>
      <c r="C918" s="113">
        <v>901</v>
      </c>
      <c r="D918" s="110"/>
      <c r="E918" s="110"/>
      <c r="F918" s="19" t="str">
        <f t="shared" si="14"/>
        <v/>
      </c>
      <c r="G918" s="2"/>
    </row>
    <row r="919" spans="2:7" ht="15" customHeight="1" x14ac:dyDescent="0.25">
      <c r="B919" s="1"/>
      <c r="C919" s="113">
        <v>902</v>
      </c>
      <c r="D919" s="110"/>
      <c r="E919" s="110"/>
      <c r="F919" s="19" t="str">
        <f t="shared" si="14"/>
        <v/>
      </c>
      <c r="G919" s="2"/>
    </row>
    <row r="920" spans="2:7" ht="15" customHeight="1" x14ac:dyDescent="0.25">
      <c r="B920" s="1"/>
      <c r="C920" s="113">
        <v>903</v>
      </c>
      <c r="D920" s="110"/>
      <c r="E920" s="110"/>
      <c r="F920" s="19" t="str">
        <f t="shared" si="14"/>
        <v/>
      </c>
      <c r="G920" s="2"/>
    </row>
    <row r="921" spans="2:7" ht="15" customHeight="1" x14ac:dyDescent="0.25">
      <c r="B921" s="1"/>
      <c r="C921" s="113">
        <v>904</v>
      </c>
      <c r="D921" s="110"/>
      <c r="E921" s="110"/>
      <c r="F921" s="19" t="str">
        <f t="shared" si="14"/>
        <v/>
      </c>
      <c r="G921" s="2"/>
    </row>
    <row r="922" spans="2:7" ht="15" customHeight="1" x14ac:dyDescent="0.25">
      <c r="B922" s="1"/>
      <c r="C922" s="113">
        <v>905</v>
      </c>
      <c r="D922" s="110"/>
      <c r="E922" s="110"/>
      <c r="F922" s="19" t="str">
        <f t="shared" si="14"/>
        <v/>
      </c>
      <c r="G922" s="2"/>
    </row>
    <row r="923" spans="2:7" ht="15" customHeight="1" x14ac:dyDescent="0.25">
      <c r="B923" s="1"/>
      <c r="C923" s="113">
        <v>906</v>
      </c>
      <c r="D923" s="110"/>
      <c r="E923" s="110"/>
      <c r="F923" s="19" t="str">
        <f t="shared" si="14"/>
        <v/>
      </c>
      <c r="G923" s="2"/>
    </row>
    <row r="924" spans="2:7" ht="15" customHeight="1" x14ac:dyDescent="0.25">
      <c r="B924" s="1"/>
      <c r="C924" s="113">
        <v>907</v>
      </c>
      <c r="D924" s="110"/>
      <c r="E924" s="110"/>
      <c r="F924" s="19" t="str">
        <f t="shared" si="14"/>
        <v/>
      </c>
      <c r="G924" s="2"/>
    </row>
    <row r="925" spans="2:7" ht="15" customHeight="1" x14ac:dyDescent="0.25">
      <c r="B925" s="1"/>
      <c r="C925" s="113">
        <v>908</v>
      </c>
      <c r="D925" s="110"/>
      <c r="E925" s="110"/>
      <c r="F925" s="19" t="str">
        <f t="shared" si="14"/>
        <v/>
      </c>
      <c r="G925" s="2"/>
    </row>
    <row r="926" spans="2:7" ht="15" customHeight="1" x14ac:dyDescent="0.25">
      <c r="B926" s="1"/>
      <c r="C926" s="113">
        <v>909</v>
      </c>
      <c r="D926" s="110"/>
      <c r="E926" s="110"/>
      <c r="F926" s="19" t="str">
        <f t="shared" si="14"/>
        <v/>
      </c>
      <c r="G926" s="2"/>
    </row>
    <row r="927" spans="2:7" ht="15" customHeight="1" x14ac:dyDescent="0.25">
      <c r="B927" s="1"/>
      <c r="C927" s="113">
        <v>910</v>
      </c>
      <c r="D927" s="110"/>
      <c r="E927" s="110"/>
      <c r="F927" s="19" t="str">
        <f t="shared" si="14"/>
        <v/>
      </c>
      <c r="G927" s="2"/>
    </row>
    <row r="928" spans="2:7" ht="15" customHeight="1" x14ac:dyDescent="0.25">
      <c r="B928" s="1"/>
      <c r="C928" s="113">
        <v>911</v>
      </c>
      <c r="D928" s="110"/>
      <c r="E928" s="110"/>
      <c r="F928" s="19" t="str">
        <f t="shared" si="14"/>
        <v/>
      </c>
      <c r="G928" s="2"/>
    </row>
    <row r="929" spans="2:7" ht="15" customHeight="1" x14ac:dyDescent="0.25">
      <c r="B929" s="1"/>
      <c r="C929" s="113">
        <v>912</v>
      </c>
      <c r="D929" s="110"/>
      <c r="E929" s="110"/>
      <c r="F929" s="19" t="str">
        <f t="shared" si="14"/>
        <v/>
      </c>
      <c r="G929" s="2"/>
    </row>
    <row r="930" spans="2:7" ht="15" customHeight="1" x14ac:dyDescent="0.25">
      <c r="B930" s="1"/>
      <c r="C930" s="113">
        <v>913</v>
      </c>
      <c r="D930" s="110"/>
      <c r="E930" s="110"/>
      <c r="F930" s="19" t="str">
        <f t="shared" si="14"/>
        <v/>
      </c>
      <c r="G930" s="2"/>
    </row>
    <row r="931" spans="2:7" ht="15" customHeight="1" x14ac:dyDescent="0.25">
      <c r="B931" s="1"/>
      <c r="C931" s="113">
        <v>914</v>
      </c>
      <c r="D931" s="110"/>
      <c r="E931" s="110"/>
      <c r="F931" s="19" t="str">
        <f t="shared" si="14"/>
        <v/>
      </c>
      <c r="G931" s="2"/>
    </row>
    <row r="932" spans="2:7" ht="15" customHeight="1" x14ac:dyDescent="0.25">
      <c r="B932" s="1"/>
      <c r="C932" s="113">
        <v>915</v>
      </c>
      <c r="D932" s="110"/>
      <c r="E932" s="110"/>
      <c r="F932" s="19" t="str">
        <f t="shared" si="14"/>
        <v/>
      </c>
      <c r="G932" s="2"/>
    </row>
    <row r="933" spans="2:7" ht="15" customHeight="1" x14ac:dyDescent="0.25">
      <c r="B933" s="1"/>
      <c r="C933" s="113">
        <v>916</v>
      </c>
      <c r="D933" s="110"/>
      <c r="E933" s="110"/>
      <c r="F933" s="19" t="str">
        <f t="shared" si="14"/>
        <v/>
      </c>
      <c r="G933" s="2"/>
    </row>
    <row r="934" spans="2:7" ht="15" customHeight="1" x14ac:dyDescent="0.25">
      <c r="B934" s="1"/>
      <c r="C934" s="113">
        <v>917</v>
      </c>
      <c r="D934" s="110"/>
      <c r="E934" s="110"/>
      <c r="F934" s="19" t="str">
        <f t="shared" si="14"/>
        <v/>
      </c>
      <c r="G934" s="2"/>
    </row>
    <row r="935" spans="2:7" ht="15" customHeight="1" x14ac:dyDescent="0.25">
      <c r="B935" s="1"/>
      <c r="C935" s="113">
        <v>918</v>
      </c>
      <c r="D935" s="110"/>
      <c r="E935" s="110"/>
      <c r="F935" s="19" t="str">
        <f t="shared" si="14"/>
        <v/>
      </c>
      <c r="G935" s="2"/>
    </row>
    <row r="936" spans="2:7" ht="15" customHeight="1" x14ac:dyDescent="0.25">
      <c r="B936" s="1"/>
      <c r="C936" s="113">
        <v>919</v>
      </c>
      <c r="D936" s="110"/>
      <c r="E936" s="110"/>
      <c r="F936" s="19" t="str">
        <f t="shared" si="14"/>
        <v/>
      </c>
      <c r="G936" s="2"/>
    </row>
    <row r="937" spans="2:7" ht="15" customHeight="1" x14ac:dyDescent="0.25">
      <c r="B937" s="1"/>
      <c r="C937" s="113">
        <v>920</v>
      </c>
      <c r="D937" s="110"/>
      <c r="E937" s="110"/>
      <c r="F937" s="19" t="str">
        <f t="shared" si="14"/>
        <v/>
      </c>
      <c r="G937" s="2"/>
    </row>
    <row r="938" spans="2:7" ht="15" customHeight="1" x14ac:dyDescent="0.25">
      <c r="B938" s="1"/>
      <c r="C938" s="113">
        <v>921</v>
      </c>
      <c r="D938" s="110"/>
      <c r="E938" s="110"/>
      <c r="F938" s="19" t="str">
        <f t="shared" si="14"/>
        <v/>
      </c>
      <c r="G938" s="2"/>
    </row>
    <row r="939" spans="2:7" ht="15" customHeight="1" x14ac:dyDescent="0.25">
      <c r="B939" s="1"/>
      <c r="C939" s="113">
        <v>922</v>
      </c>
      <c r="D939" s="110"/>
      <c r="E939" s="110"/>
      <c r="F939" s="19" t="str">
        <f t="shared" si="14"/>
        <v/>
      </c>
      <c r="G939" s="2"/>
    </row>
    <row r="940" spans="2:7" ht="15" customHeight="1" x14ac:dyDescent="0.25">
      <c r="B940" s="1"/>
      <c r="C940" s="113">
        <v>923</v>
      </c>
      <c r="D940" s="110"/>
      <c r="E940" s="110"/>
      <c r="F940" s="19" t="str">
        <f t="shared" si="14"/>
        <v/>
      </c>
      <c r="G940" s="2"/>
    </row>
    <row r="941" spans="2:7" ht="15" customHeight="1" x14ac:dyDescent="0.25">
      <c r="B941" s="1"/>
      <c r="C941" s="113">
        <v>924</v>
      </c>
      <c r="D941" s="110"/>
      <c r="E941" s="110"/>
      <c r="F941" s="19" t="str">
        <f t="shared" si="14"/>
        <v/>
      </c>
      <c r="G941" s="2"/>
    </row>
    <row r="942" spans="2:7" ht="15" customHeight="1" x14ac:dyDescent="0.25">
      <c r="B942" s="1"/>
      <c r="C942" s="113">
        <v>925</v>
      </c>
      <c r="D942" s="110"/>
      <c r="E942" s="110"/>
      <c r="F942" s="19" t="str">
        <f t="shared" si="14"/>
        <v/>
      </c>
      <c r="G942" s="2"/>
    </row>
    <row r="943" spans="2:7" ht="15" customHeight="1" x14ac:dyDescent="0.25">
      <c r="B943" s="1"/>
      <c r="C943" s="113">
        <v>926</v>
      </c>
      <c r="D943" s="110"/>
      <c r="E943" s="110"/>
      <c r="F943" s="19" t="str">
        <f t="shared" si="14"/>
        <v/>
      </c>
      <c r="G943" s="2"/>
    </row>
    <row r="944" spans="2:7" ht="15" customHeight="1" x14ac:dyDescent="0.25">
      <c r="B944" s="1"/>
      <c r="C944" s="113">
        <v>927</v>
      </c>
      <c r="D944" s="110"/>
      <c r="E944" s="110"/>
      <c r="F944" s="19" t="str">
        <f t="shared" si="14"/>
        <v/>
      </c>
      <c r="G944" s="2"/>
    </row>
    <row r="945" spans="2:7" ht="15" customHeight="1" x14ac:dyDescent="0.25">
      <c r="B945" s="1"/>
      <c r="C945" s="113">
        <v>928</v>
      </c>
      <c r="D945" s="110"/>
      <c r="E945" s="110"/>
      <c r="F945" s="19" t="str">
        <f t="shared" si="14"/>
        <v/>
      </c>
      <c r="G945" s="2"/>
    </row>
    <row r="946" spans="2:7" ht="15" customHeight="1" x14ac:dyDescent="0.25">
      <c r="B946" s="1"/>
      <c r="C946" s="113">
        <v>929</v>
      </c>
      <c r="D946" s="110"/>
      <c r="E946" s="110"/>
      <c r="F946" s="19" t="str">
        <f t="shared" si="14"/>
        <v/>
      </c>
      <c r="G946" s="2"/>
    </row>
    <row r="947" spans="2:7" ht="15" customHeight="1" x14ac:dyDescent="0.25">
      <c r="B947" s="1"/>
      <c r="C947" s="113">
        <v>930</v>
      </c>
      <c r="D947" s="110"/>
      <c r="E947" s="110"/>
      <c r="F947" s="19" t="str">
        <f t="shared" si="14"/>
        <v/>
      </c>
      <c r="G947" s="2"/>
    </row>
    <row r="948" spans="2:7" ht="15" customHeight="1" x14ac:dyDescent="0.25">
      <c r="B948" s="1"/>
      <c r="C948" s="113">
        <v>931</v>
      </c>
      <c r="D948" s="110"/>
      <c r="E948" s="110"/>
      <c r="F948" s="19" t="str">
        <f t="shared" si="14"/>
        <v/>
      </c>
      <c r="G948" s="2"/>
    </row>
    <row r="949" spans="2:7" ht="15" customHeight="1" x14ac:dyDescent="0.25">
      <c r="B949" s="1"/>
      <c r="C949" s="113">
        <v>932</v>
      </c>
      <c r="D949" s="110"/>
      <c r="E949" s="110"/>
      <c r="F949" s="19" t="str">
        <f t="shared" si="14"/>
        <v/>
      </c>
      <c r="G949" s="2"/>
    </row>
    <row r="950" spans="2:7" ht="15" customHeight="1" x14ac:dyDescent="0.25">
      <c r="B950" s="1"/>
      <c r="C950" s="113">
        <v>933</v>
      </c>
      <c r="D950" s="110"/>
      <c r="E950" s="110"/>
      <c r="F950" s="19" t="str">
        <f t="shared" si="14"/>
        <v/>
      </c>
      <c r="G950" s="2"/>
    </row>
    <row r="951" spans="2:7" ht="15" customHeight="1" x14ac:dyDescent="0.25">
      <c r="B951" s="1"/>
      <c r="C951" s="113">
        <v>934</v>
      </c>
      <c r="D951" s="110"/>
      <c r="E951" s="110"/>
      <c r="F951" s="19" t="str">
        <f t="shared" si="14"/>
        <v/>
      </c>
      <c r="G951" s="2"/>
    </row>
    <row r="952" spans="2:7" ht="15" customHeight="1" x14ac:dyDescent="0.25">
      <c r="B952" s="1"/>
      <c r="C952" s="113">
        <v>935</v>
      </c>
      <c r="D952" s="110"/>
      <c r="E952" s="110"/>
      <c r="F952" s="19" t="str">
        <f t="shared" si="14"/>
        <v/>
      </c>
      <c r="G952" s="2"/>
    </row>
    <row r="953" spans="2:7" ht="15" customHeight="1" x14ac:dyDescent="0.25">
      <c r="B953" s="1"/>
      <c r="C953" s="113">
        <v>936</v>
      </c>
      <c r="D953" s="110"/>
      <c r="E953" s="110"/>
      <c r="F953" s="19" t="str">
        <f t="shared" si="14"/>
        <v/>
      </c>
      <c r="G953" s="2"/>
    </row>
    <row r="954" spans="2:7" ht="15" customHeight="1" x14ac:dyDescent="0.25">
      <c r="B954" s="1"/>
      <c r="C954" s="113">
        <v>937</v>
      </c>
      <c r="D954" s="110"/>
      <c r="E954" s="110"/>
      <c r="F954" s="19" t="str">
        <f t="shared" si="14"/>
        <v/>
      </c>
      <c r="G954" s="2"/>
    </row>
    <row r="955" spans="2:7" ht="15" customHeight="1" x14ac:dyDescent="0.25">
      <c r="B955" s="1"/>
      <c r="C955" s="113">
        <v>938</v>
      </c>
      <c r="D955" s="110"/>
      <c r="E955" s="110"/>
      <c r="F955" s="19" t="str">
        <f t="shared" si="14"/>
        <v/>
      </c>
      <c r="G955" s="2"/>
    </row>
    <row r="956" spans="2:7" ht="15" customHeight="1" x14ac:dyDescent="0.25">
      <c r="B956" s="1"/>
      <c r="C956" s="113">
        <v>939</v>
      </c>
      <c r="D956" s="110"/>
      <c r="E956" s="110"/>
      <c r="F956" s="19" t="str">
        <f t="shared" si="14"/>
        <v/>
      </c>
      <c r="G956" s="2"/>
    </row>
    <row r="957" spans="2:7" ht="15" customHeight="1" x14ac:dyDescent="0.25">
      <c r="B957" s="1"/>
      <c r="C957" s="113">
        <v>940</v>
      </c>
      <c r="D957" s="110"/>
      <c r="E957" s="110"/>
      <c r="F957" s="19" t="str">
        <f t="shared" si="14"/>
        <v/>
      </c>
      <c r="G957" s="2"/>
    </row>
    <row r="958" spans="2:7" ht="15" customHeight="1" x14ac:dyDescent="0.25">
      <c r="B958" s="1"/>
      <c r="C958" s="113">
        <v>941</v>
      </c>
      <c r="D958" s="110"/>
      <c r="E958" s="110"/>
      <c r="F958" s="19" t="str">
        <f t="shared" si="14"/>
        <v/>
      </c>
      <c r="G958" s="2"/>
    </row>
    <row r="959" spans="2:7" ht="15" customHeight="1" x14ac:dyDescent="0.25">
      <c r="B959" s="1"/>
      <c r="C959" s="113">
        <v>942</v>
      </c>
      <c r="D959" s="110"/>
      <c r="E959" s="110"/>
      <c r="F959" s="19" t="str">
        <f t="shared" si="14"/>
        <v/>
      </c>
      <c r="G959" s="2"/>
    </row>
    <row r="960" spans="2:7" ht="15" customHeight="1" x14ac:dyDescent="0.25">
      <c r="B960" s="1"/>
      <c r="C960" s="113">
        <v>943</v>
      </c>
      <c r="D960" s="110"/>
      <c r="E960" s="110"/>
      <c r="F960" s="19" t="str">
        <f t="shared" si="14"/>
        <v/>
      </c>
      <c r="G960" s="2"/>
    </row>
    <row r="961" spans="2:7" ht="15" customHeight="1" x14ac:dyDescent="0.25">
      <c r="B961" s="1"/>
      <c r="C961" s="113">
        <v>944</v>
      </c>
      <c r="D961" s="110"/>
      <c r="E961" s="110"/>
      <c r="F961" s="19" t="str">
        <f t="shared" si="14"/>
        <v/>
      </c>
      <c r="G961" s="2"/>
    </row>
    <row r="962" spans="2:7" ht="15" customHeight="1" x14ac:dyDescent="0.25">
      <c r="B962" s="1"/>
      <c r="C962" s="113">
        <v>945</v>
      </c>
      <c r="D962" s="110"/>
      <c r="E962" s="110"/>
      <c r="F962" s="19" t="str">
        <f t="shared" si="14"/>
        <v/>
      </c>
      <c r="G962" s="2"/>
    </row>
    <row r="963" spans="2:7" ht="15" customHeight="1" x14ac:dyDescent="0.25">
      <c r="B963" s="1"/>
      <c r="C963" s="113">
        <v>946</v>
      </c>
      <c r="D963" s="110"/>
      <c r="E963" s="110"/>
      <c r="F963" s="19" t="str">
        <f t="shared" si="14"/>
        <v/>
      </c>
      <c r="G963" s="2"/>
    </row>
    <row r="964" spans="2:7" ht="15" customHeight="1" x14ac:dyDescent="0.25">
      <c r="B964" s="1"/>
      <c r="C964" s="113">
        <v>947</v>
      </c>
      <c r="D964" s="110"/>
      <c r="E964" s="110"/>
      <c r="F964" s="19" t="str">
        <f t="shared" si="14"/>
        <v/>
      </c>
      <c r="G964" s="2"/>
    </row>
    <row r="965" spans="2:7" ht="15" customHeight="1" x14ac:dyDescent="0.25">
      <c r="B965" s="1"/>
      <c r="C965" s="113">
        <v>948</v>
      </c>
      <c r="D965" s="110"/>
      <c r="E965" s="110"/>
      <c r="F965" s="19" t="str">
        <f t="shared" si="14"/>
        <v/>
      </c>
      <c r="G965" s="2"/>
    </row>
    <row r="966" spans="2:7" ht="15" customHeight="1" x14ac:dyDescent="0.25">
      <c r="B966" s="1"/>
      <c r="C966" s="113">
        <v>949</v>
      </c>
      <c r="D966" s="110"/>
      <c r="E966" s="110"/>
      <c r="F966" s="19" t="str">
        <f t="shared" si="14"/>
        <v/>
      </c>
      <c r="G966" s="2"/>
    </row>
    <row r="967" spans="2:7" ht="15" customHeight="1" x14ac:dyDescent="0.25">
      <c r="B967" s="1"/>
      <c r="C967" s="113">
        <v>950</v>
      </c>
      <c r="D967" s="110"/>
      <c r="E967" s="110"/>
      <c r="F967" s="19" t="str">
        <f t="shared" si="14"/>
        <v/>
      </c>
      <c r="G967" s="2"/>
    </row>
    <row r="968" spans="2:7" ht="15" customHeight="1" x14ac:dyDescent="0.25">
      <c r="B968" s="1"/>
      <c r="C968" s="113">
        <v>951</v>
      </c>
      <c r="D968" s="110"/>
      <c r="E968" s="110"/>
      <c r="F968" s="19" t="str">
        <f t="shared" si="14"/>
        <v/>
      </c>
      <c r="G968" s="2"/>
    </row>
    <row r="969" spans="2:7" ht="15" customHeight="1" x14ac:dyDescent="0.25">
      <c r="B969" s="1"/>
      <c r="C969" s="113">
        <v>952</v>
      </c>
      <c r="D969" s="110"/>
      <c r="E969" s="110"/>
      <c r="F969" s="19" t="str">
        <f t="shared" si="14"/>
        <v/>
      </c>
      <c r="G969" s="2"/>
    </row>
    <row r="970" spans="2:7" ht="15" customHeight="1" x14ac:dyDescent="0.25">
      <c r="B970" s="1"/>
      <c r="C970" s="113">
        <v>953</v>
      </c>
      <c r="D970" s="110"/>
      <c r="E970" s="110"/>
      <c r="F970" s="19" t="str">
        <f t="shared" si="14"/>
        <v/>
      </c>
      <c r="G970" s="2"/>
    </row>
    <row r="971" spans="2:7" ht="15" customHeight="1" x14ac:dyDescent="0.25">
      <c r="B971" s="1"/>
      <c r="C971" s="113">
        <v>954</v>
      </c>
      <c r="D971" s="110"/>
      <c r="E971" s="110"/>
      <c r="F971" s="19" t="str">
        <f t="shared" si="14"/>
        <v/>
      </c>
      <c r="G971" s="2"/>
    </row>
    <row r="972" spans="2:7" ht="15" customHeight="1" x14ac:dyDescent="0.25">
      <c r="B972" s="1"/>
      <c r="C972" s="113">
        <v>955</v>
      </c>
      <c r="D972" s="110"/>
      <c r="E972" s="110"/>
      <c r="F972" s="19" t="str">
        <f t="shared" si="14"/>
        <v/>
      </c>
      <c r="G972" s="2"/>
    </row>
    <row r="973" spans="2:7" ht="15" customHeight="1" x14ac:dyDescent="0.25">
      <c r="B973" s="1"/>
      <c r="C973" s="113">
        <v>956</v>
      </c>
      <c r="D973" s="110"/>
      <c r="E973" s="110"/>
      <c r="F973" s="19" t="str">
        <f t="shared" si="14"/>
        <v/>
      </c>
      <c r="G973" s="2"/>
    </row>
    <row r="974" spans="2:7" ht="15" customHeight="1" x14ac:dyDescent="0.25">
      <c r="B974" s="1"/>
      <c r="C974" s="113">
        <v>957</v>
      </c>
      <c r="D974" s="110"/>
      <c r="E974" s="110"/>
      <c r="F974" s="19" t="str">
        <f t="shared" si="14"/>
        <v/>
      </c>
      <c r="G974" s="2"/>
    </row>
    <row r="975" spans="2:7" ht="15" customHeight="1" x14ac:dyDescent="0.25">
      <c r="B975" s="1"/>
      <c r="C975" s="113">
        <v>958</v>
      </c>
      <c r="D975" s="110"/>
      <c r="E975" s="110"/>
      <c r="F975" s="19" t="str">
        <f t="shared" si="14"/>
        <v/>
      </c>
      <c r="G975" s="2"/>
    </row>
    <row r="976" spans="2:7" ht="15" customHeight="1" x14ac:dyDescent="0.25">
      <c r="B976" s="1"/>
      <c r="C976" s="113">
        <v>959</v>
      </c>
      <c r="D976" s="110"/>
      <c r="E976" s="110"/>
      <c r="F976" s="19" t="str">
        <f t="shared" si="14"/>
        <v/>
      </c>
      <c r="G976" s="2"/>
    </row>
    <row r="977" spans="2:7" ht="15" customHeight="1" x14ac:dyDescent="0.25">
      <c r="B977" s="1"/>
      <c r="C977" s="113">
        <v>960</v>
      </c>
      <c r="D977" s="110"/>
      <c r="E977" s="110"/>
      <c r="F977" s="19" t="str">
        <f t="shared" si="14"/>
        <v/>
      </c>
      <c r="G977" s="2"/>
    </row>
    <row r="978" spans="2:7" ht="15" customHeight="1" x14ac:dyDescent="0.25">
      <c r="B978" s="1"/>
      <c r="C978" s="113">
        <v>961</v>
      </c>
      <c r="D978" s="110"/>
      <c r="E978" s="110"/>
      <c r="F978" s="19" t="str">
        <f t="shared" si="14"/>
        <v/>
      </c>
      <c r="G978" s="2"/>
    </row>
    <row r="979" spans="2:7" ht="15" customHeight="1" x14ac:dyDescent="0.25">
      <c r="B979" s="1"/>
      <c r="C979" s="113">
        <v>962</v>
      </c>
      <c r="D979" s="110"/>
      <c r="E979" s="110"/>
      <c r="F979" s="19" t="str">
        <f t="shared" ref="F979:F1017" si="15">IFERROR(IF(AND(LEFT(D979,6)=LEFT(E979,6),RIGHT(E979,9)-RIGHT(D979,9)&gt;=0),RIGHT(E979,9)-RIGHT(D979,9)+1,""),"")</f>
        <v/>
      </c>
      <c r="G979" s="2"/>
    </row>
    <row r="980" spans="2:7" ht="15" customHeight="1" x14ac:dyDescent="0.25">
      <c r="B980" s="1"/>
      <c r="C980" s="113">
        <v>963</v>
      </c>
      <c r="D980" s="110"/>
      <c r="E980" s="110"/>
      <c r="F980" s="19" t="str">
        <f t="shared" si="15"/>
        <v/>
      </c>
      <c r="G980" s="2"/>
    </row>
    <row r="981" spans="2:7" ht="15" customHeight="1" x14ac:dyDescent="0.25">
      <c r="B981" s="1"/>
      <c r="C981" s="113">
        <v>964</v>
      </c>
      <c r="D981" s="110"/>
      <c r="E981" s="110"/>
      <c r="F981" s="19" t="str">
        <f t="shared" si="15"/>
        <v/>
      </c>
      <c r="G981" s="2"/>
    </row>
    <row r="982" spans="2:7" ht="15" customHeight="1" x14ac:dyDescent="0.25">
      <c r="B982" s="1"/>
      <c r="C982" s="113">
        <v>965</v>
      </c>
      <c r="D982" s="110"/>
      <c r="E982" s="110"/>
      <c r="F982" s="19" t="str">
        <f t="shared" si="15"/>
        <v/>
      </c>
      <c r="G982" s="2"/>
    </row>
    <row r="983" spans="2:7" ht="15" customHeight="1" x14ac:dyDescent="0.25">
      <c r="B983" s="1"/>
      <c r="C983" s="113">
        <v>966</v>
      </c>
      <c r="D983" s="110"/>
      <c r="E983" s="110"/>
      <c r="F983" s="19" t="str">
        <f t="shared" si="15"/>
        <v/>
      </c>
      <c r="G983" s="2"/>
    </row>
    <row r="984" spans="2:7" ht="15" customHeight="1" x14ac:dyDescent="0.25">
      <c r="B984" s="1"/>
      <c r="C984" s="113">
        <v>967</v>
      </c>
      <c r="D984" s="110"/>
      <c r="E984" s="110"/>
      <c r="F984" s="19" t="str">
        <f t="shared" si="15"/>
        <v/>
      </c>
      <c r="G984" s="2"/>
    </row>
    <row r="985" spans="2:7" ht="15" customHeight="1" x14ac:dyDescent="0.25">
      <c r="B985" s="1"/>
      <c r="C985" s="113">
        <v>968</v>
      </c>
      <c r="D985" s="110"/>
      <c r="E985" s="110"/>
      <c r="F985" s="19" t="str">
        <f t="shared" si="15"/>
        <v/>
      </c>
      <c r="G985" s="2"/>
    </row>
    <row r="986" spans="2:7" ht="15" customHeight="1" x14ac:dyDescent="0.25">
      <c r="B986" s="1"/>
      <c r="C986" s="113">
        <v>969</v>
      </c>
      <c r="D986" s="110"/>
      <c r="E986" s="110"/>
      <c r="F986" s="19" t="str">
        <f t="shared" si="15"/>
        <v/>
      </c>
      <c r="G986" s="2"/>
    </row>
    <row r="987" spans="2:7" ht="15" customHeight="1" x14ac:dyDescent="0.25">
      <c r="B987" s="1"/>
      <c r="C987" s="113">
        <v>970</v>
      </c>
      <c r="D987" s="110"/>
      <c r="E987" s="110"/>
      <c r="F987" s="19" t="str">
        <f t="shared" si="15"/>
        <v/>
      </c>
      <c r="G987" s="2"/>
    </row>
    <row r="988" spans="2:7" ht="15" customHeight="1" x14ac:dyDescent="0.25">
      <c r="B988" s="1"/>
      <c r="C988" s="113">
        <v>971</v>
      </c>
      <c r="D988" s="110"/>
      <c r="E988" s="110"/>
      <c r="F988" s="19" t="str">
        <f t="shared" si="15"/>
        <v/>
      </c>
      <c r="G988" s="2"/>
    </row>
    <row r="989" spans="2:7" ht="15" customHeight="1" x14ac:dyDescent="0.25">
      <c r="B989" s="1"/>
      <c r="C989" s="113">
        <v>972</v>
      </c>
      <c r="D989" s="110"/>
      <c r="E989" s="110"/>
      <c r="F989" s="19" t="str">
        <f t="shared" si="15"/>
        <v/>
      </c>
      <c r="G989" s="2"/>
    </row>
    <row r="990" spans="2:7" ht="15" customHeight="1" x14ac:dyDescent="0.25">
      <c r="B990" s="1"/>
      <c r="C990" s="113">
        <v>973</v>
      </c>
      <c r="D990" s="110"/>
      <c r="E990" s="110"/>
      <c r="F990" s="19" t="str">
        <f t="shared" si="15"/>
        <v/>
      </c>
      <c r="G990" s="2"/>
    </row>
    <row r="991" spans="2:7" ht="15" customHeight="1" x14ac:dyDescent="0.25">
      <c r="B991" s="1"/>
      <c r="C991" s="113">
        <v>974</v>
      </c>
      <c r="D991" s="110"/>
      <c r="E991" s="110"/>
      <c r="F991" s="19" t="str">
        <f t="shared" si="15"/>
        <v/>
      </c>
      <c r="G991" s="2"/>
    </row>
    <row r="992" spans="2:7" ht="15" customHeight="1" x14ac:dyDescent="0.25">
      <c r="B992" s="1"/>
      <c r="C992" s="113">
        <v>975</v>
      </c>
      <c r="D992" s="110"/>
      <c r="E992" s="110"/>
      <c r="F992" s="19" t="str">
        <f t="shared" si="15"/>
        <v/>
      </c>
      <c r="G992" s="2"/>
    </row>
    <row r="993" spans="2:7" ht="15" customHeight="1" x14ac:dyDescent="0.25">
      <c r="B993" s="1"/>
      <c r="C993" s="113">
        <v>976</v>
      </c>
      <c r="D993" s="110"/>
      <c r="E993" s="110"/>
      <c r="F993" s="19" t="str">
        <f t="shared" si="15"/>
        <v/>
      </c>
      <c r="G993" s="2"/>
    </row>
    <row r="994" spans="2:7" ht="15" customHeight="1" x14ac:dyDescent="0.25">
      <c r="B994" s="1"/>
      <c r="C994" s="113">
        <v>977</v>
      </c>
      <c r="D994" s="110"/>
      <c r="E994" s="110"/>
      <c r="F994" s="19" t="str">
        <f t="shared" si="15"/>
        <v/>
      </c>
      <c r="G994" s="2"/>
    </row>
    <row r="995" spans="2:7" ht="15" customHeight="1" x14ac:dyDescent="0.25">
      <c r="B995" s="1"/>
      <c r="C995" s="113">
        <v>978</v>
      </c>
      <c r="D995" s="110"/>
      <c r="E995" s="110"/>
      <c r="F995" s="19" t="str">
        <f t="shared" si="15"/>
        <v/>
      </c>
      <c r="G995" s="2"/>
    </row>
    <row r="996" spans="2:7" ht="15" customHeight="1" x14ac:dyDescent="0.25">
      <c r="B996" s="1"/>
      <c r="C996" s="113">
        <v>979</v>
      </c>
      <c r="D996" s="110"/>
      <c r="E996" s="110"/>
      <c r="F996" s="19" t="str">
        <f t="shared" si="15"/>
        <v/>
      </c>
      <c r="G996" s="2"/>
    </row>
    <row r="997" spans="2:7" ht="15" customHeight="1" x14ac:dyDescent="0.25">
      <c r="B997" s="1"/>
      <c r="C997" s="113">
        <v>980</v>
      </c>
      <c r="D997" s="110"/>
      <c r="E997" s="110"/>
      <c r="F997" s="19" t="str">
        <f t="shared" si="15"/>
        <v/>
      </c>
      <c r="G997" s="2"/>
    </row>
    <row r="998" spans="2:7" ht="15" customHeight="1" x14ac:dyDescent="0.25">
      <c r="B998" s="1"/>
      <c r="C998" s="113">
        <v>981</v>
      </c>
      <c r="D998" s="110"/>
      <c r="E998" s="110"/>
      <c r="F998" s="19" t="str">
        <f t="shared" si="15"/>
        <v/>
      </c>
      <c r="G998" s="2"/>
    </row>
    <row r="999" spans="2:7" ht="15" customHeight="1" x14ac:dyDescent="0.25">
      <c r="B999" s="1"/>
      <c r="C999" s="113">
        <v>982</v>
      </c>
      <c r="D999" s="110"/>
      <c r="E999" s="110"/>
      <c r="F999" s="19" t="str">
        <f t="shared" si="15"/>
        <v/>
      </c>
      <c r="G999" s="2"/>
    </row>
    <row r="1000" spans="2:7" ht="15" customHeight="1" x14ac:dyDescent="0.25">
      <c r="B1000" s="1"/>
      <c r="C1000" s="113">
        <v>983</v>
      </c>
      <c r="D1000" s="110"/>
      <c r="E1000" s="110"/>
      <c r="F1000" s="19" t="str">
        <f t="shared" si="15"/>
        <v/>
      </c>
      <c r="G1000" s="2"/>
    </row>
    <row r="1001" spans="2:7" ht="15" customHeight="1" x14ac:dyDescent="0.25">
      <c r="B1001" s="1"/>
      <c r="C1001" s="113">
        <v>984</v>
      </c>
      <c r="D1001" s="110"/>
      <c r="E1001" s="110"/>
      <c r="F1001" s="19" t="str">
        <f t="shared" si="15"/>
        <v/>
      </c>
      <c r="G1001" s="2"/>
    </row>
    <row r="1002" spans="2:7" ht="15" customHeight="1" x14ac:dyDescent="0.25">
      <c r="B1002" s="1"/>
      <c r="C1002" s="113">
        <v>985</v>
      </c>
      <c r="D1002" s="110"/>
      <c r="E1002" s="110"/>
      <c r="F1002" s="19" t="str">
        <f t="shared" si="15"/>
        <v/>
      </c>
      <c r="G1002" s="2"/>
    </row>
    <row r="1003" spans="2:7" ht="15" customHeight="1" x14ac:dyDescent="0.25">
      <c r="B1003" s="1"/>
      <c r="C1003" s="113">
        <v>986</v>
      </c>
      <c r="D1003" s="110"/>
      <c r="E1003" s="110"/>
      <c r="F1003" s="19" t="str">
        <f t="shared" si="15"/>
        <v/>
      </c>
      <c r="G1003" s="2"/>
    </row>
    <row r="1004" spans="2:7" ht="15" customHeight="1" x14ac:dyDescent="0.25">
      <c r="B1004" s="1"/>
      <c r="C1004" s="113">
        <v>987</v>
      </c>
      <c r="D1004" s="110"/>
      <c r="E1004" s="110"/>
      <c r="F1004" s="19" t="str">
        <f t="shared" si="15"/>
        <v/>
      </c>
      <c r="G1004" s="2"/>
    </row>
    <row r="1005" spans="2:7" ht="15" customHeight="1" x14ac:dyDescent="0.25">
      <c r="B1005" s="1"/>
      <c r="C1005" s="113">
        <v>988</v>
      </c>
      <c r="D1005" s="110"/>
      <c r="E1005" s="110"/>
      <c r="F1005" s="19" t="str">
        <f t="shared" si="15"/>
        <v/>
      </c>
      <c r="G1005" s="2"/>
    </row>
    <row r="1006" spans="2:7" ht="15" customHeight="1" x14ac:dyDescent="0.25">
      <c r="B1006" s="1"/>
      <c r="C1006" s="113">
        <v>989</v>
      </c>
      <c r="D1006" s="110"/>
      <c r="E1006" s="110"/>
      <c r="F1006" s="19" t="str">
        <f t="shared" si="15"/>
        <v/>
      </c>
      <c r="G1006" s="2"/>
    </row>
    <row r="1007" spans="2:7" ht="15" customHeight="1" x14ac:dyDescent="0.25">
      <c r="B1007" s="1"/>
      <c r="C1007" s="113">
        <v>990</v>
      </c>
      <c r="D1007" s="110"/>
      <c r="E1007" s="110"/>
      <c r="F1007" s="19" t="str">
        <f t="shared" si="15"/>
        <v/>
      </c>
      <c r="G1007" s="2"/>
    </row>
    <row r="1008" spans="2:7" ht="15" customHeight="1" x14ac:dyDescent="0.25">
      <c r="B1008" s="1"/>
      <c r="C1008" s="113">
        <v>991</v>
      </c>
      <c r="D1008" s="110"/>
      <c r="E1008" s="110"/>
      <c r="F1008" s="19" t="str">
        <f t="shared" si="15"/>
        <v/>
      </c>
      <c r="G1008" s="2"/>
    </row>
    <row r="1009" spans="2:7" ht="15" customHeight="1" x14ac:dyDescent="0.25">
      <c r="B1009" s="1"/>
      <c r="C1009" s="113">
        <v>992</v>
      </c>
      <c r="D1009" s="110"/>
      <c r="E1009" s="110"/>
      <c r="F1009" s="19" t="str">
        <f t="shared" si="15"/>
        <v/>
      </c>
      <c r="G1009" s="2"/>
    </row>
    <row r="1010" spans="2:7" ht="15" customHeight="1" x14ac:dyDescent="0.25">
      <c r="B1010" s="1"/>
      <c r="C1010" s="113">
        <v>993</v>
      </c>
      <c r="D1010" s="110"/>
      <c r="E1010" s="110"/>
      <c r="F1010" s="19" t="str">
        <f t="shared" si="15"/>
        <v/>
      </c>
      <c r="G1010" s="2"/>
    </row>
    <row r="1011" spans="2:7" ht="15" customHeight="1" x14ac:dyDescent="0.25">
      <c r="B1011" s="1"/>
      <c r="C1011" s="113">
        <v>994</v>
      </c>
      <c r="D1011" s="110"/>
      <c r="E1011" s="110"/>
      <c r="F1011" s="19" t="str">
        <f t="shared" si="15"/>
        <v/>
      </c>
      <c r="G1011" s="2"/>
    </row>
    <row r="1012" spans="2:7" ht="15" customHeight="1" x14ac:dyDescent="0.25">
      <c r="B1012" s="1"/>
      <c r="C1012" s="113">
        <v>995</v>
      </c>
      <c r="D1012" s="110"/>
      <c r="E1012" s="110"/>
      <c r="F1012" s="19" t="str">
        <f t="shared" si="15"/>
        <v/>
      </c>
      <c r="G1012" s="2"/>
    </row>
    <row r="1013" spans="2:7" ht="15" customHeight="1" x14ac:dyDescent="0.25">
      <c r="B1013" s="1"/>
      <c r="C1013" s="113">
        <v>996</v>
      </c>
      <c r="D1013" s="110"/>
      <c r="E1013" s="110"/>
      <c r="F1013" s="19" t="str">
        <f t="shared" si="15"/>
        <v/>
      </c>
      <c r="G1013" s="2"/>
    </row>
    <row r="1014" spans="2:7" ht="15" customHeight="1" x14ac:dyDescent="0.25">
      <c r="B1014" s="1"/>
      <c r="C1014" s="113">
        <v>997</v>
      </c>
      <c r="D1014" s="110"/>
      <c r="E1014" s="110"/>
      <c r="F1014" s="19" t="str">
        <f t="shared" si="15"/>
        <v/>
      </c>
      <c r="G1014" s="2"/>
    </row>
    <row r="1015" spans="2:7" ht="15" customHeight="1" x14ac:dyDescent="0.25">
      <c r="B1015" s="1"/>
      <c r="C1015" s="113">
        <v>998</v>
      </c>
      <c r="D1015" s="110"/>
      <c r="E1015" s="110"/>
      <c r="F1015" s="19" t="str">
        <f t="shared" si="15"/>
        <v/>
      </c>
      <c r="G1015" s="2"/>
    </row>
    <row r="1016" spans="2:7" ht="15" customHeight="1" x14ac:dyDescent="0.25">
      <c r="B1016" s="1"/>
      <c r="C1016" s="113">
        <v>999</v>
      </c>
      <c r="D1016" s="110"/>
      <c r="E1016" s="110"/>
      <c r="F1016" s="19" t="str">
        <f t="shared" si="15"/>
        <v/>
      </c>
      <c r="G1016" s="2"/>
    </row>
    <row r="1017" spans="2:7" ht="15" customHeight="1" x14ac:dyDescent="0.25">
      <c r="B1017" s="1"/>
      <c r="C1017" s="113">
        <v>1000</v>
      </c>
      <c r="D1017" s="110"/>
      <c r="E1017" s="110"/>
      <c r="F1017" s="19" t="str">
        <f t="shared" si="15"/>
        <v/>
      </c>
      <c r="G1017" s="2"/>
    </row>
    <row r="1018" spans="2:7" ht="15" customHeight="1" x14ac:dyDescent="0.25">
      <c r="B1018" s="1"/>
      <c r="C1018" s="111"/>
      <c r="D1018" s="111"/>
      <c r="E1018" s="111"/>
      <c r="F1018" s="111"/>
      <c r="G1018" s="2"/>
    </row>
    <row r="1019" spans="2:7" ht="15" customHeight="1" x14ac:dyDescent="0.25">
      <c r="B1019" s="1"/>
      <c r="C1019" s="111" t="s">
        <v>241</v>
      </c>
      <c r="D1019" s="111"/>
      <c r="E1019" s="111"/>
      <c r="F1019" s="111"/>
      <c r="G1019" s="2"/>
    </row>
    <row r="1020" spans="2:7" ht="15" customHeight="1" x14ac:dyDescent="0.25">
      <c r="B1020" s="1"/>
      <c r="C1020" s="139">
        <f>IFERROR(SUM(R.Performance.RowCreditCount),"")</f>
        <v>0</v>
      </c>
      <c r="D1020" s="140"/>
      <c r="E1020" s="111"/>
      <c r="F1020" s="111"/>
      <c r="G1020" s="2"/>
    </row>
    <row r="1021" spans="2:7" ht="15" customHeight="1" x14ac:dyDescent="0.25">
      <c r="B1021" s="1"/>
      <c r="C1021" s="111"/>
      <c r="D1021" s="111"/>
      <c r="E1021" s="111"/>
      <c r="F1021" s="111"/>
      <c r="G1021" s="2"/>
    </row>
    <row r="1022" spans="2:7" ht="15" customHeight="1" x14ac:dyDescent="0.25">
      <c r="B1022" s="1"/>
      <c r="C1022" s="138"/>
      <c r="D1022" s="138"/>
      <c r="E1022" s="111"/>
      <c r="F1022" s="111"/>
      <c r="G1022" s="2"/>
    </row>
    <row r="1023" spans="2:7" ht="15" customHeight="1" x14ac:dyDescent="0.25">
      <c r="B1023" s="1"/>
      <c r="C1023" s="111"/>
      <c r="D1023" s="111"/>
      <c r="E1023" s="111"/>
      <c r="F1023" s="111"/>
      <c r="G1023" s="2"/>
    </row>
    <row r="1024" spans="2:7" ht="15" customHeight="1" x14ac:dyDescent="0.25">
      <c r="B1024" s="3"/>
      <c r="C1024" s="137">
        <f>R.Instructions.VersionNumber</f>
        <v>3</v>
      </c>
      <c r="D1024" s="137"/>
      <c r="E1024" s="143">
        <f>R.Instructions.VersionDate</f>
        <v>45693</v>
      </c>
      <c r="F1024" s="143"/>
      <c r="G1024" s="5"/>
    </row>
    <row r="1026" spans="3:6" ht="15" customHeight="1" x14ac:dyDescent="0.25">
      <c r="C1026" s="131" t="str">
        <f>IFERROR(VLOOKUP("Incomplete",Developer!H70:I2071,2,FALSE),"Sheet complete.")</f>
        <v>Sheet complete.</v>
      </c>
      <c r="D1026" s="131"/>
      <c r="E1026" s="131"/>
      <c r="F1026" s="131"/>
    </row>
    <row r="1027" spans="3:6" ht="15" customHeight="1" x14ac:dyDescent="0.25">
      <c r="C1027" s="131"/>
      <c r="D1027" s="131"/>
      <c r="E1027" s="131"/>
      <c r="F1027" s="131"/>
    </row>
    <row r="1028" spans="3:6" ht="15" customHeight="1" x14ac:dyDescent="0.25">
      <c r="C1028" s="131"/>
      <c r="D1028" s="131"/>
      <c r="E1028" s="131"/>
      <c r="F1028" s="131"/>
    </row>
  </sheetData>
  <sheetProtection algorithmName="SHA-512" hashValue="2n8kwb4Hqmcbrvwh0W1nrLUd5ITsagAmucF3rWi2fZNQ32An6BCgFkH/DnTBA9aUOocl7GDHG0h2i1WUXufIHQ==" saltValue="Sb+1gVrFkH74VN6+e/ZOWg==" spinCount="100000" sheet="1" objects="1" scenarios="1" selectLockedCells="1"/>
  <dataConsolidate/>
  <mergeCells count="9">
    <mergeCell ref="C1026:F1028"/>
    <mergeCell ref="C1024:D1024"/>
    <mergeCell ref="C1022:D1022"/>
    <mergeCell ref="C10:D10"/>
    <mergeCell ref="C4:F4"/>
    <mergeCell ref="C7:D7"/>
    <mergeCell ref="C1020:D1020"/>
    <mergeCell ref="E1024:F1024"/>
    <mergeCell ref="C12:F16"/>
  </mergeCells>
  <conditionalFormatting sqref="C1026">
    <cfRule type="cellIs" dxfId="3" priority="1" stopIfTrue="1" operator="equal">
      <formula>"Sheet complete."</formula>
    </cfRule>
  </conditionalFormatting>
  <dataValidations count="1">
    <dataValidation type="list" allowBlank="1" showInputMessage="1" showErrorMessage="1" errorTitle="Performance Credit Information" error="The number of performance credit serial number ranges must be between 1 and 1000." sqref="C10" xr:uid="{9837B4B3-F6C5-4E4E-A123-9B7EA5DCE623}">
      <formula1>R.Performance.RowNumber</formula1>
    </dataValidation>
  </dataValidations>
  <printOptions horizontalCentered="1"/>
  <pageMargins left="0.25" right="0.25" top="0.25" bottom="0.25" header="0" footer="0"/>
  <pageSetup scale="85"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DB044-FDD9-432A-8EA9-8BBF4A94DC3E}">
  <sheetPr codeName="Sheet4">
    <tabColor rgb="FF046A38"/>
    <pageSetUpPr fitToPage="1"/>
  </sheetPr>
  <dimension ref="B1:G1028"/>
  <sheetViews>
    <sheetView showGridLines="0" showRowColHeaders="0" zoomScaleNormal="100" workbookViewId="0">
      <selection activeCell="C10" sqref="C10:D10"/>
    </sheetView>
  </sheetViews>
  <sheetFormatPr defaultRowHeight="15" customHeight="1" x14ac:dyDescent="0.25"/>
  <cols>
    <col min="1" max="3" width="5.7109375" customWidth="1"/>
    <col min="4" max="5" width="45.7109375" customWidth="1"/>
    <col min="6" max="6" width="10"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32" t="s">
        <v>92</v>
      </c>
      <c r="D4" s="132"/>
      <c r="E4" s="132"/>
      <c r="F4" s="132"/>
      <c r="G4" s="7"/>
    </row>
    <row r="5" spans="2:7" ht="15" customHeight="1" x14ac:dyDescent="0.25">
      <c r="B5" s="1"/>
      <c r="C5" s="111"/>
      <c r="D5" s="111"/>
      <c r="E5" s="111"/>
      <c r="F5" s="111"/>
      <c r="G5" s="2"/>
    </row>
    <row r="6" spans="2:7" ht="15" customHeight="1" x14ac:dyDescent="0.25">
      <c r="B6" s="1"/>
      <c r="C6" s="111" t="s">
        <v>49</v>
      </c>
      <c r="D6" s="111"/>
      <c r="E6" s="111"/>
      <c r="F6" s="111"/>
      <c r="G6" s="2"/>
    </row>
    <row r="7" spans="2:7" ht="15" customHeight="1" x14ac:dyDescent="0.35">
      <c r="B7" s="1"/>
      <c r="C7" s="139">
        <f>I.Compliance.FulfilledCCUS</f>
        <v>0</v>
      </c>
      <c r="D7" s="140"/>
      <c r="E7" s="111" t="s">
        <v>38</v>
      </c>
      <c r="F7" s="111"/>
      <c r="G7" s="2"/>
    </row>
    <row r="8" spans="2:7" ht="15" customHeight="1" x14ac:dyDescent="0.25">
      <c r="B8" s="1"/>
      <c r="C8" s="111"/>
      <c r="D8" s="111"/>
      <c r="E8" s="111"/>
      <c r="F8" s="111"/>
      <c r="G8" s="2"/>
    </row>
    <row r="9" spans="2:7" ht="15" customHeight="1" x14ac:dyDescent="0.25">
      <c r="B9" s="1"/>
      <c r="C9" s="111" t="s">
        <v>210</v>
      </c>
      <c r="D9" s="111"/>
      <c r="E9" s="111"/>
      <c r="F9" s="111"/>
      <c r="G9" s="2"/>
    </row>
    <row r="10" spans="2:7" ht="15" customHeight="1" x14ac:dyDescent="0.25">
      <c r="B10" s="1"/>
      <c r="C10" s="139"/>
      <c r="D10" s="140"/>
      <c r="E10" s="111"/>
      <c r="F10" s="111"/>
      <c r="G10" s="2"/>
    </row>
    <row r="11" spans="2:7" ht="15" customHeight="1" x14ac:dyDescent="0.25">
      <c r="B11" s="1"/>
      <c r="C11" s="111"/>
      <c r="D11" s="111"/>
      <c r="E11" s="111"/>
      <c r="F11" s="111"/>
      <c r="G11" s="2"/>
    </row>
    <row r="12" spans="2:7" ht="15" customHeight="1" x14ac:dyDescent="0.25">
      <c r="B12" s="1"/>
      <c r="C12" s="127" t="s">
        <v>4281</v>
      </c>
      <c r="D12" s="127"/>
      <c r="E12" s="127"/>
      <c r="F12" s="127"/>
      <c r="G12" s="2"/>
    </row>
    <row r="13" spans="2:7" ht="15" customHeight="1" x14ac:dyDescent="0.25">
      <c r="B13" s="1"/>
      <c r="C13" s="127"/>
      <c r="D13" s="127"/>
      <c r="E13" s="127"/>
      <c r="F13" s="127"/>
      <c r="G13" s="2"/>
    </row>
    <row r="14" spans="2:7" ht="15" customHeight="1" x14ac:dyDescent="0.25">
      <c r="B14" s="1"/>
      <c r="C14" s="127"/>
      <c r="D14" s="127"/>
      <c r="E14" s="127"/>
      <c r="F14" s="127"/>
      <c r="G14" s="2"/>
    </row>
    <row r="15" spans="2:7" ht="15" customHeight="1" x14ac:dyDescent="0.25">
      <c r="B15" s="1"/>
      <c r="C15" s="127"/>
      <c r="D15" s="127"/>
      <c r="E15" s="127"/>
      <c r="F15" s="127"/>
      <c r="G15" s="2"/>
    </row>
    <row r="16" spans="2:7" ht="15" customHeight="1" x14ac:dyDescent="0.25">
      <c r="B16" s="1"/>
      <c r="C16" s="127"/>
      <c r="D16" s="127"/>
      <c r="E16" s="127"/>
      <c r="F16" s="127"/>
      <c r="G16" s="2"/>
    </row>
    <row r="17" spans="2:7" ht="15" customHeight="1" x14ac:dyDescent="0.25">
      <c r="B17" s="1"/>
      <c r="C17" s="112" t="s">
        <v>36</v>
      </c>
      <c r="D17" s="115" t="s">
        <v>4313</v>
      </c>
      <c r="E17" s="115" t="s">
        <v>4314</v>
      </c>
      <c r="F17" s="114" t="s">
        <v>50</v>
      </c>
      <c r="G17" s="2"/>
    </row>
    <row r="18" spans="2:7" ht="15" customHeight="1" x14ac:dyDescent="0.25">
      <c r="B18" s="1"/>
      <c r="C18" s="113">
        <v>1</v>
      </c>
      <c r="D18" s="110"/>
      <c r="E18" s="110"/>
      <c r="F18" s="19" t="str">
        <f>IFERROR(IF(AND(LEFT(D18,6)=LEFT(E18,6),RIGHT(E18,9)-RIGHT(D18,9)&gt;=0),RIGHT(E18,9)-RIGHT(D18,9)+1,""),"")</f>
        <v/>
      </c>
      <c r="G18" s="2"/>
    </row>
    <row r="19" spans="2:7" ht="15" customHeight="1" x14ac:dyDescent="0.25">
      <c r="B19" s="1"/>
      <c r="C19" s="113">
        <v>2</v>
      </c>
      <c r="D19" s="110"/>
      <c r="E19" s="110"/>
      <c r="F19" s="19" t="str">
        <f t="shared" ref="F19:F82" si="0">IFERROR(IF(AND(LEFT(D19,6)=LEFT(E19,6),RIGHT(E19,9)-RIGHT(D19,9)&gt;=0),RIGHT(E19,9)-RIGHT(D19,9)+1,""),"")</f>
        <v/>
      </c>
      <c r="G19" s="2"/>
    </row>
    <row r="20" spans="2:7" ht="15" customHeight="1" x14ac:dyDescent="0.25">
      <c r="B20" s="1"/>
      <c r="C20" s="113">
        <v>3</v>
      </c>
      <c r="D20" s="110"/>
      <c r="E20" s="110"/>
      <c r="F20" s="19" t="str">
        <f t="shared" si="0"/>
        <v/>
      </c>
      <c r="G20" s="2"/>
    </row>
    <row r="21" spans="2:7" ht="15" customHeight="1" x14ac:dyDescent="0.25">
      <c r="B21" s="1"/>
      <c r="C21" s="113">
        <v>4</v>
      </c>
      <c r="D21" s="110"/>
      <c r="E21" s="110"/>
      <c r="F21" s="19" t="str">
        <f t="shared" si="0"/>
        <v/>
      </c>
      <c r="G21" s="2"/>
    </row>
    <row r="22" spans="2:7" ht="15" customHeight="1" x14ac:dyDescent="0.25">
      <c r="B22" s="1"/>
      <c r="C22" s="113">
        <v>5</v>
      </c>
      <c r="D22" s="110"/>
      <c r="E22" s="110"/>
      <c r="F22" s="19" t="str">
        <f t="shared" si="0"/>
        <v/>
      </c>
      <c r="G22" s="2"/>
    </row>
    <row r="23" spans="2:7" ht="15" customHeight="1" x14ac:dyDescent="0.25">
      <c r="B23" s="1"/>
      <c r="C23" s="113">
        <v>6</v>
      </c>
      <c r="D23" s="110"/>
      <c r="E23" s="110"/>
      <c r="F23" s="19" t="str">
        <f t="shared" si="0"/>
        <v/>
      </c>
      <c r="G23" s="2"/>
    </row>
    <row r="24" spans="2:7" ht="15" customHeight="1" x14ac:dyDescent="0.25">
      <c r="B24" s="1"/>
      <c r="C24" s="113">
        <v>7</v>
      </c>
      <c r="D24" s="110"/>
      <c r="E24" s="110"/>
      <c r="F24" s="19" t="str">
        <f t="shared" si="0"/>
        <v/>
      </c>
      <c r="G24" s="2"/>
    </row>
    <row r="25" spans="2:7" ht="15" customHeight="1" x14ac:dyDescent="0.25">
      <c r="B25" s="1"/>
      <c r="C25" s="113">
        <v>8</v>
      </c>
      <c r="D25" s="110"/>
      <c r="E25" s="110"/>
      <c r="F25" s="19" t="str">
        <f t="shared" si="0"/>
        <v/>
      </c>
      <c r="G25" s="2"/>
    </row>
    <row r="26" spans="2:7" ht="15" customHeight="1" x14ac:dyDescent="0.25">
      <c r="B26" s="1"/>
      <c r="C26" s="113">
        <v>9</v>
      </c>
      <c r="D26" s="110"/>
      <c r="E26" s="110"/>
      <c r="F26" s="19" t="str">
        <f t="shared" si="0"/>
        <v/>
      </c>
      <c r="G26" s="2"/>
    </row>
    <row r="27" spans="2:7" ht="15" customHeight="1" x14ac:dyDescent="0.25">
      <c r="B27" s="1"/>
      <c r="C27" s="113">
        <v>10</v>
      </c>
      <c r="D27" s="110"/>
      <c r="E27" s="110"/>
      <c r="F27" s="19" t="str">
        <f t="shared" si="0"/>
        <v/>
      </c>
      <c r="G27" s="2"/>
    </row>
    <row r="28" spans="2:7" ht="15" customHeight="1" x14ac:dyDescent="0.25">
      <c r="B28" s="1"/>
      <c r="C28" s="113">
        <v>11</v>
      </c>
      <c r="D28" s="110"/>
      <c r="E28" s="110"/>
      <c r="F28" s="19" t="str">
        <f t="shared" si="0"/>
        <v/>
      </c>
      <c r="G28" s="2"/>
    </row>
    <row r="29" spans="2:7" ht="15" customHeight="1" x14ac:dyDescent="0.25">
      <c r="B29" s="1"/>
      <c r="C29" s="113">
        <v>12</v>
      </c>
      <c r="D29" s="110"/>
      <c r="E29" s="110"/>
      <c r="F29" s="19" t="str">
        <f t="shared" si="0"/>
        <v/>
      </c>
      <c r="G29" s="2"/>
    </row>
    <row r="30" spans="2:7" ht="15" customHeight="1" x14ac:dyDescent="0.25">
      <c r="B30" s="1"/>
      <c r="C30" s="113">
        <v>13</v>
      </c>
      <c r="D30" s="110"/>
      <c r="E30" s="110"/>
      <c r="F30" s="19" t="str">
        <f t="shared" si="0"/>
        <v/>
      </c>
      <c r="G30" s="2"/>
    </row>
    <row r="31" spans="2:7" ht="15" customHeight="1" x14ac:dyDescent="0.25">
      <c r="B31" s="1"/>
      <c r="C31" s="113">
        <v>14</v>
      </c>
      <c r="D31" s="110"/>
      <c r="E31" s="110"/>
      <c r="F31" s="19" t="str">
        <f t="shared" si="0"/>
        <v/>
      </c>
      <c r="G31" s="2"/>
    </row>
    <row r="32" spans="2:7" ht="15" customHeight="1" x14ac:dyDescent="0.25">
      <c r="B32" s="1"/>
      <c r="C32" s="113">
        <v>15</v>
      </c>
      <c r="D32" s="110"/>
      <c r="E32" s="110"/>
      <c r="F32" s="19" t="str">
        <f t="shared" si="0"/>
        <v/>
      </c>
      <c r="G32" s="2"/>
    </row>
    <row r="33" spans="2:7" ht="15" customHeight="1" x14ac:dyDescent="0.25">
      <c r="B33" s="1"/>
      <c r="C33" s="113">
        <v>16</v>
      </c>
      <c r="D33" s="110"/>
      <c r="E33" s="110"/>
      <c r="F33" s="19" t="str">
        <f t="shared" si="0"/>
        <v/>
      </c>
      <c r="G33" s="2"/>
    </row>
    <row r="34" spans="2:7" ht="15" customHeight="1" x14ac:dyDescent="0.25">
      <c r="B34" s="1"/>
      <c r="C34" s="113">
        <v>17</v>
      </c>
      <c r="D34" s="110"/>
      <c r="E34" s="110"/>
      <c r="F34" s="19" t="str">
        <f t="shared" si="0"/>
        <v/>
      </c>
      <c r="G34" s="2"/>
    </row>
    <row r="35" spans="2:7" ht="15" customHeight="1" x14ac:dyDescent="0.25">
      <c r="B35" s="1"/>
      <c r="C35" s="113">
        <v>18</v>
      </c>
      <c r="D35" s="110"/>
      <c r="E35" s="110"/>
      <c r="F35" s="19" t="str">
        <f t="shared" si="0"/>
        <v/>
      </c>
      <c r="G35" s="2"/>
    </row>
    <row r="36" spans="2:7" ht="15" customHeight="1" x14ac:dyDescent="0.25">
      <c r="B36" s="1"/>
      <c r="C36" s="113">
        <v>19</v>
      </c>
      <c r="D36" s="110"/>
      <c r="E36" s="110"/>
      <c r="F36" s="19" t="str">
        <f t="shared" si="0"/>
        <v/>
      </c>
      <c r="G36" s="2"/>
    </row>
    <row r="37" spans="2:7" ht="15" customHeight="1" x14ac:dyDescent="0.25">
      <c r="B37" s="1"/>
      <c r="C37" s="113">
        <v>20</v>
      </c>
      <c r="D37" s="110"/>
      <c r="E37" s="110"/>
      <c r="F37" s="19" t="str">
        <f t="shared" si="0"/>
        <v/>
      </c>
      <c r="G37" s="2"/>
    </row>
    <row r="38" spans="2:7" ht="15" customHeight="1" x14ac:dyDescent="0.25">
      <c r="B38" s="1"/>
      <c r="C38" s="113">
        <v>21</v>
      </c>
      <c r="D38" s="110"/>
      <c r="E38" s="110"/>
      <c r="F38" s="19" t="str">
        <f t="shared" si="0"/>
        <v/>
      </c>
      <c r="G38" s="2"/>
    </row>
    <row r="39" spans="2:7" ht="15" customHeight="1" x14ac:dyDescent="0.25">
      <c r="B39" s="1"/>
      <c r="C39" s="113">
        <v>22</v>
      </c>
      <c r="D39" s="110"/>
      <c r="E39" s="110"/>
      <c r="F39" s="19" t="str">
        <f t="shared" si="0"/>
        <v/>
      </c>
      <c r="G39" s="2"/>
    </row>
    <row r="40" spans="2:7" ht="15" customHeight="1" x14ac:dyDescent="0.25">
      <c r="B40" s="1"/>
      <c r="C40" s="113">
        <v>23</v>
      </c>
      <c r="D40" s="110"/>
      <c r="E40" s="110"/>
      <c r="F40" s="19" t="str">
        <f t="shared" si="0"/>
        <v/>
      </c>
      <c r="G40" s="2"/>
    </row>
    <row r="41" spans="2:7" ht="15" customHeight="1" x14ac:dyDescent="0.25">
      <c r="B41" s="1"/>
      <c r="C41" s="113">
        <v>24</v>
      </c>
      <c r="D41" s="110"/>
      <c r="E41" s="110"/>
      <c r="F41" s="19" t="str">
        <f t="shared" si="0"/>
        <v/>
      </c>
      <c r="G41" s="2"/>
    </row>
    <row r="42" spans="2:7" ht="15" customHeight="1" x14ac:dyDescent="0.25">
      <c r="B42" s="1"/>
      <c r="C42" s="113">
        <v>25</v>
      </c>
      <c r="D42" s="110"/>
      <c r="E42" s="110"/>
      <c r="F42" s="19" t="str">
        <f t="shared" si="0"/>
        <v/>
      </c>
      <c r="G42" s="2"/>
    </row>
    <row r="43" spans="2:7" ht="15" customHeight="1" x14ac:dyDescent="0.25">
      <c r="B43" s="1"/>
      <c r="C43" s="113">
        <v>26</v>
      </c>
      <c r="D43" s="110"/>
      <c r="E43" s="110"/>
      <c r="F43" s="19" t="str">
        <f t="shared" si="0"/>
        <v/>
      </c>
      <c r="G43" s="2"/>
    </row>
    <row r="44" spans="2:7" ht="15" customHeight="1" x14ac:dyDescent="0.25">
      <c r="B44" s="1"/>
      <c r="C44" s="113">
        <v>27</v>
      </c>
      <c r="D44" s="110"/>
      <c r="E44" s="110"/>
      <c r="F44" s="19" t="str">
        <f t="shared" si="0"/>
        <v/>
      </c>
      <c r="G44" s="2"/>
    </row>
    <row r="45" spans="2:7" ht="15" customHeight="1" x14ac:dyDescent="0.25">
      <c r="B45" s="1"/>
      <c r="C45" s="113">
        <v>28</v>
      </c>
      <c r="D45" s="110"/>
      <c r="E45" s="110"/>
      <c r="F45" s="19" t="str">
        <f t="shared" si="0"/>
        <v/>
      </c>
      <c r="G45" s="2"/>
    </row>
    <row r="46" spans="2:7" ht="15" customHeight="1" x14ac:dyDescent="0.25">
      <c r="B46" s="1"/>
      <c r="C46" s="113">
        <v>29</v>
      </c>
      <c r="D46" s="110"/>
      <c r="E46" s="110"/>
      <c r="F46" s="19" t="str">
        <f t="shared" si="0"/>
        <v/>
      </c>
      <c r="G46" s="2"/>
    </row>
    <row r="47" spans="2:7" ht="15" customHeight="1" x14ac:dyDescent="0.25">
      <c r="B47" s="1"/>
      <c r="C47" s="113">
        <v>30</v>
      </c>
      <c r="D47" s="110"/>
      <c r="E47" s="110"/>
      <c r="F47" s="19" t="str">
        <f t="shared" si="0"/>
        <v/>
      </c>
      <c r="G47" s="2"/>
    </row>
    <row r="48" spans="2:7" ht="15" customHeight="1" x14ac:dyDescent="0.25">
      <c r="B48" s="1"/>
      <c r="C48" s="113">
        <v>31</v>
      </c>
      <c r="D48" s="110"/>
      <c r="E48" s="110"/>
      <c r="F48" s="19" t="str">
        <f t="shared" si="0"/>
        <v/>
      </c>
      <c r="G48" s="2"/>
    </row>
    <row r="49" spans="2:7" ht="15" customHeight="1" x14ac:dyDescent="0.25">
      <c r="B49" s="1"/>
      <c r="C49" s="113">
        <v>32</v>
      </c>
      <c r="D49" s="110"/>
      <c r="E49" s="110"/>
      <c r="F49" s="19" t="str">
        <f t="shared" si="0"/>
        <v/>
      </c>
      <c r="G49" s="2"/>
    </row>
    <row r="50" spans="2:7" ht="15" customHeight="1" x14ac:dyDescent="0.25">
      <c r="B50" s="1"/>
      <c r="C50" s="113">
        <v>33</v>
      </c>
      <c r="D50" s="110"/>
      <c r="E50" s="110"/>
      <c r="F50" s="19" t="str">
        <f t="shared" si="0"/>
        <v/>
      </c>
      <c r="G50" s="2"/>
    </row>
    <row r="51" spans="2:7" ht="15" customHeight="1" x14ac:dyDescent="0.25">
      <c r="B51" s="1"/>
      <c r="C51" s="113">
        <v>34</v>
      </c>
      <c r="D51" s="110"/>
      <c r="E51" s="110"/>
      <c r="F51" s="19" t="str">
        <f t="shared" si="0"/>
        <v/>
      </c>
      <c r="G51" s="2"/>
    </row>
    <row r="52" spans="2:7" ht="15" customHeight="1" x14ac:dyDescent="0.25">
      <c r="B52" s="1"/>
      <c r="C52" s="113">
        <v>35</v>
      </c>
      <c r="D52" s="110"/>
      <c r="E52" s="110"/>
      <c r="F52" s="19" t="str">
        <f t="shared" si="0"/>
        <v/>
      </c>
      <c r="G52" s="2"/>
    </row>
    <row r="53" spans="2:7" ht="15" customHeight="1" x14ac:dyDescent="0.25">
      <c r="B53" s="1"/>
      <c r="C53" s="113">
        <v>36</v>
      </c>
      <c r="D53" s="110"/>
      <c r="E53" s="110"/>
      <c r="F53" s="19" t="str">
        <f t="shared" si="0"/>
        <v/>
      </c>
      <c r="G53" s="2"/>
    </row>
    <row r="54" spans="2:7" ht="15" customHeight="1" x14ac:dyDescent="0.25">
      <c r="B54" s="1"/>
      <c r="C54" s="113">
        <v>37</v>
      </c>
      <c r="D54" s="110"/>
      <c r="E54" s="110"/>
      <c r="F54" s="19" t="str">
        <f t="shared" si="0"/>
        <v/>
      </c>
      <c r="G54" s="2"/>
    </row>
    <row r="55" spans="2:7" ht="15" customHeight="1" x14ac:dyDescent="0.25">
      <c r="B55" s="1"/>
      <c r="C55" s="113">
        <v>38</v>
      </c>
      <c r="D55" s="110"/>
      <c r="E55" s="110"/>
      <c r="F55" s="19" t="str">
        <f t="shared" si="0"/>
        <v/>
      </c>
      <c r="G55" s="2"/>
    </row>
    <row r="56" spans="2:7" ht="15" customHeight="1" x14ac:dyDescent="0.25">
      <c r="B56" s="1"/>
      <c r="C56" s="113">
        <v>39</v>
      </c>
      <c r="D56" s="110"/>
      <c r="E56" s="110"/>
      <c r="F56" s="19" t="str">
        <f t="shared" si="0"/>
        <v/>
      </c>
      <c r="G56" s="2"/>
    </row>
    <row r="57" spans="2:7" ht="15" customHeight="1" x14ac:dyDescent="0.25">
      <c r="B57" s="1"/>
      <c r="C57" s="113">
        <v>40</v>
      </c>
      <c r="D57" s="110"/>
      <c r="E57" s="110"/>
      <c r="F57" s="19" t="str">
        <f t="shared" si="0"/>
        <v/>
      </c>
      <c r="G57" s="2"/>
    </row>
    <row r="58" spans="2:7" ht="15" customHeight="1" x14ac:dyDescent="0.25">
      <c r="B58" s="1"/>
      <c r="C58" s="113">
        <v>41</v>
      </c>
      <c r="D58" s="110"/>
      <c r="E58" s="110"/>
      <c r="F58" s="19" t="str">
        <f t="shared" si="0"/>
        <v/>
      </c>
      <c r="G58" s="2"/>
    </row>
    <row r="59" spans="2:7" ht="15" customHeight="1" x14ac:dyDescent="0.25">
      <c r="B59" s="1"/>
      <c r="C59" s="113">
        <v>42</v>
      </c>
      <c r="D59" s="110"/>
      <c r="E59" s="110"/>
      <c r="F59" s="19" t="str">
        <f t="shared" si="0"/>
        <v/>
      </c>
      <c r="G59" s="2"/>
    </row>
    <row r="60" spans="2:7" ht="15" customHeight="1" x14ac:dyDescent="0.25">
      <c r="B60" s="1"/>
      <c r="C60" s="113">
        <v>43</v>
      </c>
      <c r="D60" s="110"/>
      <c r="E60" s="110"/>
      <c r="F60" s="19" t="str">
        <f t="shared" si="0"/>
        <v/>
      </c>
      <c r="G60" s="2"/>
    </row>
    <row r="61" spans="2:7" ht="15" customHeight="1" x14ac:dyDescent="0.25">
      <c r="B61" s="1"/>
      <c r="C61" s="113">
        <v>44</v>
      </c>
      <c r="D61" s="110"/>
      <c r="E61" s="110"/>
      <c r="F61" s="19" t="str">
        <f t="shared" si="0"/>
        <v/>
      </c>
      <c r="G61" s="2"/>
    </row>
    <row r="62" spans="2:7" ht="15" customHeight="1" x14ac:dyDescent="0.25">
      <c r="B62" s="1"/>
      <c r="C62" s="113">
        <v>45</v>
      </c>
      <c r="D62" s="110"/>
      <c r="E62" s="110"/>
      <c r="F62" s="19" t="str">
        <f t="shared" si="0"/>
        <v/>
      </c>
      <c r="G62" s="2"/>
    </row>
    <row r="63" spans="2:7" ht="15" customHeight="1" x14ac:dyDescent="0.25">
      <c r="B63" s="1"/>
      <c r="C63" s="113">
        <v>46</v>
      </c>
      <c r="D63" s="110"/>
      <c r="E63" s="110"/>
      <c r="F63" s="19" t="str">
        <f t="shared" si="0"/>
        <v/>
      </c>
      <c r="G63" s="2"/>
    </row>
    <row r="64" spans="2:7" ht="15" customHeight="1" x14ac:dyDescent="0.25">
      <c r="B64" s="1"/>
      <c r="C64" s="113">
        <v>47</v>
      </c>
      <c r="D64" s="110"/>
      <c r="E64" s="110"/>
      <c r="F64" s="19" t="str">
        <f t="shared" si="0"/>
        <v/>
      </c>
      <c r="G64" s="2"/>
    </row>
    <row r="65" spans="2:7" ht="15" customHeight="1" x14ac:dyDescent="0.25">
      <c r="B65" s="1"/>
      <c r="C65" s="113">
        <v>48</v>
      </c>
      <c r="D65" s="110"/>
      <c r="E65" s="110"/>
      <c r="F65" s="19" t="str">
        <f t="shared" si="0"/>
        <v/>
      </c>
      <c r="G65" s="2"/>
    </row>
    <row r="66" spans="2:7" ht="15" customHeight="1" x14ac:dyDescent="0.25">
      <c r="B66" s="1"/>
      <c r="C66" s="113">
        <v>49</v>
      </c>
      <c r="D66" s="110"/>
      <c r="E66" s="110"/>
      <c r="F66" s="19" t="str">
        <f t="shared" si="0"/>
        <v/>
      </c>
      <c r="G66" s="2"/>
    </row>
    <row r="67" spans="2:7" ht="15" customHeight="1" x14ac:dyDescent="0.25">
      <c r="B67" s="1"/>
      <c r="C67" s="113">
        <v>50</v>
      </c>
      <c r="D67" s="110"/>
      <c r="E67" s="110"/>
      <c r="F67" s="19" t="str">
        <f t="shared" si="0"/>
        <v/>
      </c>
      <c r="G67" s="2"/>
    </row>
    <row r="68" spans="2:7" ht="15" customHeight="1" x14ac:dyDescent="0.25">
      <c r="B68" s="1"/>
      <c r="C68" s="113">
        <v>51</v>
      </c>
      <c r="D68" s="110"/>
      <c r="E68" s="110"/>
      <c r="F68" s="19" t="str">
        <f t="shared" si="0"/>
        <v/>
      </c>
      <c r="G68" s="2"/>
    </row>
    <row r="69" spans="2:7" ht="15" customHeight="1" x14ac:dyDescent="0.25">
      <c r="B69" s="1"/>
      <c r="C69" s="113">
        <v>52</v>
      </c>
      <c r="D69" s="110"/>
      <c r="E69" s="110"/>
      <c r="F69" s="19" t="str">
        <f t="shared" si="0"/>
        <v/>
      </c>
      <c r="G69" s="2"/>
    </row>
    <row r="70" spans="2:7" ht="15" customHeight="1" x14ac:dyDescent="0.25">
      <c r="B70" s="1"/>
      <c r="C70" s="113">
        <v>53</v>
      </c>
      <c r="D70" s="110"/>
      <c r="E70" s="110"/>
      <c r="F70" s="19" t="str">
        <f t="shared" si="0"/>
        <v/>
      </c>
      <c r="G70" s="2"/>
    </row>
    <row r="71" spans="2:7" ht="15" customHeight="1" x14ac:dyDescent="0.25">
      <c r="B71" s="1"/>
      <c r="C71" s="113">
        <v>54</v>
      </c>
      <c r="D71" s="110"/>
      <c r="E71" s="110"/>
      <c r="F71" s="19" t="str">
        <f t="shared" si="0"/>
        <v/>
      </c>
      <c r="G71" s="2"/>
    </row>
    <row r="72" spans="2:7" ht="15" customHeight="1" x14ac:dyDescent="0.25">
      <c r="B72" s="1"/>
      <c r="C72" s="113">
        <v>55</v>
      </c>
      <c r="D72" s="110"/>
      <c r="E72" s="110"/>
      <c r="F72" s="19" t="str">
        <f t="shared" si="0"/>
        <v/>
      </c>
      <c r="G72" s="2"/>
    </row>
    <row r="73" spans="2:7" ht="15" customHeight="1" x14ac:dyDescent="0.25">
      <c r="B73" s="1"/>
      <c r="C73" s="113">
        <v>56</v>
      </c>
      <c r="D73" s="110"/>
      <c r="E73" s="110"/>
      <c r="F73" s="19" t="str">
        <f t="shared" si="0"/>
        <v/>
      </c>
      <c r="G73" s="2"/>
    </row>
    <row r="74" spans="2:7" ht="15" customHeight="1" x14ac:dyDescent="0.25">
      <c r="B74" s="1"/>
      <c r="C74" s="113">
        <v>57</v>
      </c>
      <c r="D74" s="110"/>
      <c r="E74" s="110"/>
      <c r="F74" s="19" t="str">
        <f t="shared" si="0"/>
        <v/>
      </c>
      <c r="G74" s="2"/>
    </row>
    <row r="75" spans="2:7" ht="15" customHeight="1" x14ac:dyDescent="0.25">
      <c r="B75" s="1"/>
      <c r="C75" s="113">
        <v>58</v>
      </c>
      <c r="D75" s="110"/>
      <c r="E75" s="110"/>
      <c r="F75" s="19" t="str">
        <f t="shared" si="0"/>
        <v/>
      </c>
      <c r="G75" s="2"/>
    </row>
    <row r="76" spans="2:7" ht="15" customHeight="1" x14ac:dyDescent="0.25">
      <c r="B76" s="1"/>
      <c r="C76" s="113">
        <v>59</v>
      </c>
      <c r="D76" s="110"/>
      <c r="E76" s="110"/>
      <c r="F76" s="19" t="str">
        <f t="shared" si="0"/>
        <v/>
      </c>
      <c r="G76" s="2"/>
    </row>
    <row r="77" spans="2:7" ht="15" customHeight="1" x14ac:dyDescent="0.25">
      <c r="B77" s="1"/>
      <c r="C77" s="113">
        <v>60</v>
      </c>
      <c r="D77" s="110"/>
      <c r="E77" s="110"/>
      <c r="F77" s="19" t="str">
        <f t="shared" si="0"/>
        <v/>
      </c>
      <c r="G77" s="2"/>
    </row>
    <row r="78" spans="2:7" ht="15" customHeight="1" x14ac:dyDescent="0.25">
      <c r="B78" s="1"/>
      <c r="C78" s="113">
        <v>61</v>
      </c>
      <c r="D78" s="110"/>
      <c r="E78" s="110"/>
      <c r="F78" s="19" t="str">
        <f t="shared" si="0"/>
        <v/>
      </c>
      <c r="G78" s="2"/>
    </row>
    <row r="79" spans="2:7" ht="15" customHeight="1" x14ac:dyDescent="0.25">
      <c r="B79" s="1"/>
      <c r="C79" s="113">
        <v>62</v>
      </c>
      <c r="D79" s="110"/>
      <c r="E79" s="110"/>
      <c r="F79" s="19" t="str">
        <f t="shared" si="0"/>
        <v/>
      </c>
      <c r="G79" s="2"/>
    </row>
    <row r="80" spans="2:7" ht="15" customHeight="1" x14ac:dyDescent="0.25">
      <c r="B80" s="1"/>
      <c r="C80" s="113">
        <v>63</v>
      </c>
      <c r="D80" s="110"/>
      <c r="E80" s="110"/>
      <c r="F80" s="19" t="str">
        <f t="shared" si="0"/>
        <v/>
      </c>
      <c r="G80" s="2"/>
    </row>
    <row r="81" spans="2:7" ht="15" customHeight="1" x14ac:dyDescent="0.25">
      <c r="B81" s="1"/>
      <c r="C81" s="113">
        <v>64</v>
      </c>
      <c r="D81" s="110"/>
      <c r="E81" s="110"/>
      <c r="F81" s="19" t="str">
        <f t="shared" si="0"/>
        <v/>
      </c>
      <c r="G81" s="2"/>
    </row>
    <row r="82" spans="2:7" ht="15" customHeight="1" x14ac:dyDescent="0.25">
      <c r="B82" s="1"/>
      <c r="C82" s="113">
        <v>65</v>
      </c>
      <c r="D82" s="110"/>
      <c r="E82" s="110"/>
      <c r="F82" s="19" t="str">
        <f t="shared" si="0"/>
        <v/>
      </c>
      <c r="G82" s="2"/>
    </row>
    <row r="83" spans="2:7" ht="15" customHeight="1" x14ac:dyDescent="0.25">
      <c r="B83" s="1"/>
      <c r="C83" s="113">
        <v>66</v>
      </c>
      <c r="D83" s="110"/>
      <c r="E83" s="110"/>
      <c r="F83" s="19" t="str">
        <f t="shared" ref="F83:F146" si="1">IFERROR(IF(AND(LEFT(D83,6)=LEFT(E83,6),RIGHT(E83,9)-RIGHT(D83,9)&gt;=0),RIGHT(E83,9)-RIGHT(D83,9)+1,""),"")</f>
        <v/>
      </c>
      <c r="G83" s="2"/>
    </row>
    <row r="84" spans="2:7" ht="15" customHeight="1" x14ac:dyDescent="0.25">
      <c r="B84" s="1"/>
      <c r="C84" s="113">
        <v>67</v>
      </c>
      <c r="D84" s="110"/>
      <c r="E84" s="110"/>
      <c r="F84" s="19" t="str">
        <f t="shared" si="1"/>
        <v/>
      </c>
      <c r="G84" s="2"/>
    </row>
    <row r="85" spans="2:7" ht="15" customHeight="1" x14ac:dyDescent="0.25">
      <c r="B85" s="1"/>
      <c r="C85" s="113">
        <v>68</v>
      </c>
      <c r="D85" s="110"/>
      <c r="E85" s="110"/>
      <c r="F85" s="19" t="str">
        <f t="shared" si="1"/>
        <v/>
      </c>
      <c r="G85" s="2"/>
    </row>
    <row r="86" spans="2:7" ht="15" customHeight="1" x14ac:dyDescent="0.25">
      <c r="B86" s="1"/>
      <c r="C86" s="113">
        <v>69</v>
      </c>
      <c r="D86" s="110"/>
      <c r="E86" s="110"/>
      <c r="F86" s="19" t="str">
        <f t="shared" si="1"/>
        <v/>
      </c>
      <c r="G86" s="2"/>
    </row>
    <row r="87" spans="2:7" ht="15" customHeight="1" x14ac:dyDescent="0.25">
      <c r="B87" s="1"/>
      <c r="C87" s="113">
        <v>70</v>
      </c>
      <c r="D87" s="110"/>
      <c r="E87" s="110"/>
      <c r="F87" s="19" t="str">
        <f t="shared" si="1"/>
        <v/>
      </c>
      <c r="G87" s="2"/>
    </row>
    <row r="88" spans="2:7" ht="15" customHeight="1" x14ac:dyDescent="0.25">
      <c r="B88" s="1"/>
      <c r="C88" s="113">
        <v>71</v>
      </c>
      <c r="D88" s="110"/>
      <c r="E88" s="110"/>
      <c r="F88" s="19" t="str">
        <f t="shared" si="1"/>
        <v/>
      </c>
      <c r="G88" s="2"/>
    </row>
    <row r="89" spans="2:7" ht="15" customHeight="1" x14ac:dyDescent="0.25">
      <c r="B89" s="1"/>
      <c r="C89" s="113">
        <v>72</v>
      </c>
      <c r="D89" s="110"/>
      <c r="E89" s="110"/>
      <c r="F89" s="19" t="str">
        <f t="shared" si="1"/>
        <v/>
      </c>
      <c r="G89" s="2"/>
    </row>
    <row r="90" spans="2:7" ht="15" customHeight="1" x14ac:dyDescent="0.25">
      <c r="B90" s="1"/>
      <c r="C90" s="113">
        <v>73</v>
      </c>
      <c r="D90" s="110"/>
      <c r="E90" s="110"/>
      <c r="F90" s="19" t="str">
        <f t="shared" si="1"/>
        <v/>
      </c>
      <c r="G90" s="2"/>
    </row>
    <row r="91" spans="2:7" ht="15" customHeight="1" x14ac:dyDescent="0.25">
      <c r="B91" s="1"/>
      <c r="C91" s="113">
        <v>74</v>
      </c>
      <c r="D91" s="110"/>
      <c r="E91" s="110"/>
      <c r="F91" s="19" t="str">
        <f t="shared" si="1"/>
        <v/>
      </c>
      <c r="G91" s="2"/>
    </row>
    <row r="92" spans="2:7" ht="15" customHeight="1" x14ac:dyDescent="0.25">
      <c r="B92" s="1"/>
      <c r="C92" s="113">
        <v>75</v>
      </c>
      <c r="D92" s="110"/>
      <c r="E92" s="110"/>
      <c r="F92" s="19" t="str">
        <f t="shared" si="1"/>
        <v/>
      </c>
      <c r="G92" s="2"/>
    </row>
    <row r="93" spans="2:7" ht="15" customHeight="1" x14ac:dyDescent="0.25">
      <c r="B93" s="1"/>
      <c r="C93" s="113">
        <v>76</v>
      </c>
      <c r="D93" s="110"/>
      <c r="E93" s="110"/>
      <c r="F93" s="19" t="str">
        <f t="shared" si="1"/>
        <v/>
      </c>
      <c r="G93" s="2"/>
    </row>
    <row r="94" spans="2:7" ht="15" customHeight="1" x14ac:dyDescent="0.25">
      <c r="B94" s="1"/>
      <c r="C94" s="113">
        <v>77</v>
      </c>
      <c r="D94" s="110"/>
      <c r="E94" s="110"/>
      <c r="F94" s="19" t="str">
        <f t="shared" si="1"/>
        <v/>
      </c>
      <c r="G94" s="2"/>
    </row>
    <row r="95" spans="2:7" ht="15" customHeight="1" x14ac:dyDescent="0.25">
      <c r="B95" s="1"/>
      <c r="C95" s="113">
        <v>78</v>
      </c>
      <c r="D95" s="110"/>
      <c r="E95" s="110"/>
      <c r="F95" s="19" t="str">
        <f t="shared" si="1"/>
        <v/>
      </c>
      <c r="G95" s="2"/>
    </row>
    <row r="96" spans="2:7" ht="15" customHeight="1" x14ac:dyDescent="0.25">
      <c r="B96" s="1"/>
      <c r="C96" s="113">
        <v>79</v>
      </c>
      <c r="D96" s="110"/>
      <c r="E96" s="110"/>
      <c r="F96" s="19" t="str">
        <f t="shared" si="1"/>
        <v/>
      </c>
      <c r="G96" s="2"/>
    </row>
    <row r="97" spans="2:7" ht="15" customHeight="1" x14ac:dyDescent="0.25">
      <c r="B97" s="1"/>
      <c r="C97" s="113">
        <v>80</v>
      </c>
      <c r="D97" s="110"/>
      <c r="E97" s="110"/>
      <c r="F97" s="19" t="str">
        <f t="shared" si="1"/>
        <v/>
      </c>
      <c r="G97" s="2"/>
    </row>
    <row r="98" spans="2:7" ht="15" customHeight="1" x14ac:dyDescent="0.25">
      <c r="B98" s="1"/>
      <c r="C98" s="113">
        <v>81</v>
      </c>
      <c r="D98" s="110"/>
      <c r="E98" s="110"/>
      <c r="F98" s="19" t="str">
        <f t="shared" si="1"/>
        <v/>
      </c>
      <c r="G98" s="2"/>
    </row>
    <row r="99" spans="2:7" ht="15" customHeight="1" x14ac:dyDescent="0.25">
      <c r="B99" s="1"/>
      <c r="C99" s="113">
        <v>82</v>
      </c>
      <c r="D99" s="110"/>
      <c r="E99" s="110"/>
      <c r="F99" s="19" t="str">
        <f t="shared" si="1"/>
        <v/>
      </c>
      <c r="G99" s="2"/>
    </row>
    <row r="100" spans="2:7" ht="15" customHeight="1" x14ac:dyDescent="0.25">
      <c r="B100" s="1"/>
      <c r="C100" s="113">
        <v>83</v>
      </c>
      <c r="D100" s="110"/>
      <c r="E100" s="110"/>
      <c r="F100" s="19" t="str">
        <f t="shared" si="1"/>
        <v/>
      </c>
      <c r="G100" s="2"/>
    </row>
    <row r="101" spans="2:7" ht="15" customHeight="1" x14ac:dyDescent="0.25">
      <c r="B101" s="1"/>
      <c r="C101" s="113">
        <v>84</v>
      </c>
      <c r="D101" s="110"/>
      <c r="E101" s="110"/>
      <c r="F101" s="19" t="str">
        <f t="shared" si="1"/>
        <v/>
      </c>
      <c r="G101" s="2"/>
    </row>
    <row r="102" spans="2:7" ht="15" customHeight="1" x14ac:dyDescent="0.25">
      <c r="B102" s="1"/>
      <c r="C102" s="113">
        <v>85</v>
      </c>
      <c r="D102" s="110"/>
      <c r="E102" s="110"/>
      <c r="F102" s="19" t="str">
        <f t="shared" si="1"/>
        <v/>
      </c>
      <c r="G102" s="2"/>
    </row>
    <row r="103" spans="2:7" ht="15" customHeight="1" x14ac:dyDescent="0.25">
      <c r="B103" s="1"/>
      <c r="C103" s="113">
        <v>86</v>
      </c>
      <c r="D103" s="110"/>
      <c r="E103" s="110"/>
      <c r="F103" s="19" t="str">
        <f t="shared" si="1"/>
        <v/>
      </c>
      <c r="G103" s="2"/>
    </row>
    <row r="104" spans="2:7" ht="15" customHeight="1" x14ac:dyDescent="0.25">
      <c r="B104" s="1"/>
      <c r="C104" s="113">
        <v>87</v>
      </c>
      <c r="D104" s="110"/>
      <c r="E104" s="110"/>
      <c r="F104" s="19" t="str">
        <f t="shared" si="1"/>
        <v/>
      </c>
      <c r="G104" s="2"/>
    </row>
    <row r="105" spans="2:7" ht="15" customHeight="1" x14ac:dyDescent="0.25">
      <c r="B105" s="1"/>
      <c r="C105" s="113">
        <v>88</v>
      </c>
      <c r="D105" s="110"/>
      <c r="E105" s="110"/>
      <c r="F105" s="19" t="str">
        <f t="shared" si="1"/>
        <v/>
      </c>
      <c r="G105" s="2"/>
    </row>
    <row r="106" spans="2:7" ht="15" customHeight="1" x14ac:dyDescent="0.25">
      <c r="B106" s="1"/>
      <c r="C106" s="113">
        <v>89</v>
      </c>
      <c r="D106" s="110"/>
      <c r="E106" s="110"/>
      <c r="F106" s="19" t="str">
        <f t="shared" si="1"/>
        <v/>
      </c>
      <c r="G106" s="2"/>
    </row>
    <row r="107" spans="2:7" ht="15" customHeight="1" x14ac:dyDescent="0.25">
      <c r="B107" s="1"/>
      <c r="C107" s="113">
        <v>90</v>
      </c>
      <c r="D107" s="110"/>
      <c r="E107" s="110"/>
      <c r="F107" s="19" t="str">
        <f t="shared" si="1"/>
        <v/>
      </c>
      <c r="G107" s="2"/>
    </row>
    <row r="108" spans="2:7" ht="15" customHeight="1" x14ac:dyDescent="0.25">
      <c r="B108" s="1"/>
      <c r="C108" s="113">
        <v>91</v>
      </c>
      <c r="D108" s="110"/>
      <c r="E108" s="110"/>
      <c r="F108" s="19" t="str">
        <f t="shared" si="1"/>
        <v/>
      </c>
      <c r="G108" s="2"/>
    </row>
    <row r="109" spans="2:7" ht="15" customHeight="1" x14ac:dyDescent="0.25">
      <c r="B109" s="1"/>
      <c r="C109" s="113">
        <v>92</v>
      </c>
      <c r="D109" s="110"/>
      <c r="E109" s="110"/>
      <c r="F109" s="19" t="str">
        <f t="shared" si="1"/>
        <v/>
      </c>
      <c r="G109" s="2"/>
    </row>
    <row r="110" spans="2:7" ht="15" customHeight="1" x14ac:dyDescent="0.25">
      <c r="B110" s="1"/>
      <c r="C110" s="113">
        <v>93</v>
      </c>
      <c r="D110" s="110"/>
      <c r="E110" s="110"/>
      <c r="F110" s="19" t="str">
        <f t="shared" si="1"/>
        <v/>
      </c>
      <c r="G110" s="2"/>
    </row>
    <row r="111" spans="2:7" ht="15" customHeight="1" x14ac:dyDescent="0.25">
      <c r="B111" s="1"/>
      <c r="C111" s="113">
        <v>94</v>
      </c>
      <c r="D111" s="110"/>
      <c r="E111" s="110"/>
      <c r="F111" s="19" t="str">
        <f t="shared" si="1"/>
        <v/>
      </c>
      <c r="G111" s="2"/>
    </row>
    <row r="112" spans="2:7" ht="15" customHeight="1" x14ac:dyDescent="0.25">
      <c r="B112" s="1"/>
      <c r="C112" s="113">
        <v>95</v>
      </c>
      <c r="D112" s="110"/>
      <c r="E112" s="110"/>
      <c r="F112" s="19" t="str">
        <f t="shared" si="1"/>
        <v/>
      </c>
      <c r="G112" s="2"/>
    </row>
    <row r="113" spans="2:7" ht="15" customHeight="1" x14ac:dyDescent="0.25">
      <c r="B113" s="1"/>
      <c r="C113" s="113">
        <v>96</v>
      </c>
      <c r="D113" s="110"/>
      <c r="E113" s="110"/>
      <c r="F113" s="19" t="str">
        <f t="shared" si="1"/>
        <v/>
      </c>
      <c r="G113" s="2"/>
    </row>
    <row r="114" spans="2:7" ht="15" customHeight="1" x14ac:dyDescent="0.25">
      <c r="B114" s="1"/>
      <c r="C114" s="113">
        <v>97</v>
      </c>
      <c r="D114" s="110"/>
      <c r="E114" s="110"/>
      <c r="F114" s="19" t="str">
        <f t="shared" si="1"/>
        <v/>
      </c>
      <c r="G114" s="2"/>
    </row>
    <row r="115" spans="2:7" ht="15" customHeight="1" x14ac:dyDescent="0.25">
      <c r="B115" s="1"/>
      <c r="C115" s="113">
        <v>98</v>
      </c>
      <c r="D115" s="110"/>
      <c r="E115" s="110"/>
      <c r="F115" s="19" t="str">
        <f t="shared" si="1"/>
        <v/>
      </c>
      <c r="G115" s="2"/>
    </row>
    <row r="116" spans="2:7" ht="15" customHeight="1" x14ac:dyDescent="0.25">
      <c r="B116" s="1"/>
      <c r="C116" s="113">
        <v>99</v>
      </c>
      <c r="D116" s="110"/>
      <c r="E116" s="110"/>
      <c r="F116" s="19" t="str">
        <f t="shared" si="1"/>
        <v/>
      </c>
      <c r="G116" s="2"/>
    </row>
    <row r="117" spans="2:7" ht="15" customHeight="1" x14ac:dyDescent="0.25">
      <c r="B117" s="1"/>
      <c r="C117" s="113">
        <v>100</v>
      </c>
      <c r="D117" s="110"/>
      <c r="E117" s="110"/>
      <c r="F117" s="19" t="str">
        <f t="shared" si="1"/>
        <v/>
      </c>
      <c r="G117" s="2"/>
    </row>
    <row r="118" spans="2:7" ht="15" customHeight="1" x14ac:dyDescent="0.25">
      <c r="B118" s="1"/>
      <c r="C118" s="113">
        <v>101</v>
      </c>
      <c r="D118" s="110"/>
      <c r="E118" s="110"/>
      <c r="F118" s="19" t="str">
        <f t="shared" si="1"/>
        <v/>
      </c>
      <c r="G118" s="2"/>
    </row>
    <row r="119" spans="2:7" ht="15" customHeight="1" x14ac:dyDescent="0.25">
      <c r="B119" s="1"/>
      <c r="C119" s="113">
        <v>102</v>
      </c>
      <c r="D119" s="110"/>
      <c r="E119" s="110"/>
      <c r="F119" s="19" t="str">
        <f t="shared" si="1"/>
        <v/>
      </c>
      <c r="G119" s="2"/>
    </row>
    <row r="120" spans="2:7" ht="15" customHeight="1" x14ac:dyDescent="0.25">
      <c r="B120" s="1"/>
      <c r="C120" s="113">
        <v>103</v>
      </c>
      <c r="D120" s="110"/>
      <c r="E120" s="110"/>
      <c r="F120" s="19" t="str">
        <f t="shared" si="1"/>
        <v/>
      </c>
      <c r="G120" s="2"/>
    </row>
    <row r="121" spans="2:7" ht="15" customHeight="1" x14ac:dyDescent="0.25">
      <c r="B121" s="1"/>
      <c r="C121" s="113">
        <v>104</v>
      </c>
      <c r="D121" s="110"/>
      <c r="E121" s="110"/>
      <c r="F121" s="19" t="str">
        <f t="shared" si="1"/>
        <v/>
      </c>
      <c r="G121" s="2"/>
    </row>
    <row r="122" spans="2:7" ht="15" customHeight="1" x14ac:dyDescent="0.25">
      <c r="B122" s="1"/>
      <c r="C122" s="113">
        <v>105</v>
      </c>
      <c r="D122" s="110"/>
      <c r="E122" s="110"/>
      <c r="F122" s="19" t="str">
        <f t="shared" si="1"/>
        <v/>
      </c>
      <c r="G122" s="2"/>
    </row>
    <row r="123" spans="2:7" ht="15" customHeight="1" x14ac:dyDescent="0.25">
      <c r="B123" s="1"/>
      <c r="C123" s="113">
        <v>106</v>
      </c>
      <c r="D123" s="110"/>
      <c r="E123" s="110"/>
      <c r="F123" s="19" t="str">
        <f t="shared" si="1"/>
        <v/>
      </c>
      <c r="G123" s="2"/>
    </row>
    <row r="124" spans="2:7" ht="15" customHeight="1" x14ac:dyDescent="0.25">
      <c r="B124" s="1"/>
      <c r="C124" s="113">
        <v>107</v>
      </c>
      <c r="D124" s="110"/>
      <c r="E124" s="110"/>
      <c r="F124" s="19" t="str">
        <f t="shared" si="1"/>
        <v/>
      </c>
      <c r="G124" s="2"/>
    </row>
    <row r="125" spans="2:7" ht="15" customHeight="1" x14ac:dyDescent="0.25">
      <c r="B125" s="1"/>
      <c r="C125" s="113">
        <v>108</v>
      </c>
      <c r="D125" s="110"/>
      <c r="E125" s="110"/>
      <c r="F125" s="19" t="str">
        <f t="shared" si="1"/>
        <v/>
      </c>
      <c r="G125" s="2"/>
    </row>
    <row r="126" spans="2:7" ht="15" customHeight="1" x14ac:dyDescent="0.25">
      <c r="B126" s="1"/>
      <c r="C126" s="113">
        <v>109</v>
      </c>
      <c r="D126" s="110"/>
      <c r="E126" s="110"/>
      <c r="F126" s="19" t="str">
        <f t="shared" si="1"/>
        <v/>
      </c>
      <c r="G126" s="2"/>
    </row>
    <row r="127" spans="2:7" ht="15" customHeight="1" x14ac:dyDescent="0.25">
      <c r="B127" s="1"/>
      <c r="C127" s="113">
        <v>110</v>
      </c>
      <c r="D127" s="110"/>
      <c r="E127" s="110"/>
      <c r="F127" s="19" t="str">
        <f t="shared" si="1"/>
        <v/>
      </c>
      <c r="G127" s="2"/>
    </row>
    <row r="128" spans="2:7" ht="15" customHeight="1" x14ac:dyDescent="0.25">
      <c r="B128" s="1"/>
      <c r="C128" s="113">
        <v>111</v>
      </c>
      <c r="D128" s="110"/>
      <c r="E128" s="110"/>
      <c r="F128" s="19" t="str">
        <f t="shared" si="1"/>
        <v/>
      </c>
      <c r="G128" s="2"/>
    </row>
    <row r="129" spans="2:7" ht="15" customHeight="1" x14ac:dyDescent="0.25">
      <c r="B129" s="1"/>
      <c r="C129" s="113">
        <v>112</v>
      </c>
      <c r="D129" s="110"/>
      <c r="E129" s="110"/>
      <c r="F129" s="19" t="str">
        <f t="shared" si="1"/>
        <v/>
      </c>
      <c r="G129" s="2"/>
    </row>
    <row r="130" spans="2:7" ht="15" customHeight="1" x14ac:dyDescent="0.25">
      <c r="B130" s="1"/>
      <c r="C130" s="113">
        <v>113</v>
      </c>
      <c r="D130" s="110"/>
      <c r="E130" s="110"/>
      <c r="F130" s="19" t="str">
        <f t="shared" si="1"/>
        <v/>
      </c>
      <c r="G130" s="2"/>
    </row>
    <row r="131" spans="2:7" ht="15" customHeight="1" x14ac:dyDescent="0.25">
      <c r="B131" s="1"/>
      <c r="C131" s="113">
        <v>114</v>
      </c>
      <c r="D131" s="110"/>
      <c r="E131" s="110"/>
      <c r="F131" s="19" t="str">
        <f t="shared" si="1"/>
        <v/>
      </c>
      <c r="G131" s="2"/>
    </row>
    <row r="132" spans="2:7" ht="15" customHeight="1" x14ac:dyDescent="0.25">
      <c r="B132" s="1"/>
      <c r="C132" s="113">
        <v>115</v>
      </c>
      <c r="D132" s="110"/>
      <c r="E132" s="110"/>
      <c r="F132" s="19" t="str">
        <f t="shared" si="1"/>
        <v/>
      </c>
      <c r="G132" s="2"/>
    </row>
    <row r="133" spans="2:7" ht="15" customHeight="1" x14ac:dyDescent="0.25">
      <c r="B133" s="1"/>
      <c r="C133" s="113">
        <v>116</v>
      </c>
      <c r="D133" s="110"/>
      <c r="E133" s="110"/>
      <c r="F133" s="19" t="str">
        <f t="shared" si="1"/>
        <v/>
      </c>
      <c r="G133" s="2"/>
    </row>
    <row r="134" spans="2:7" ht="15" customHeight="1" x14ac:dyDescent="0.25">
      <c r="B134" s="1"/>
      <c r="C134" s="113">
        <v>117</v>
      </c>
      <c r="D134" s="110"/>
      <c r="E134" s="110"/>
      <c r="F134" s="19" t="str">
        <f t="shared" si="1"/>
        <v/>
      </c>
      <c r="G134" s="2"/>
    </row>
    <row r="135" spans="2:7" ht="15" customHeight="1" x14ac:dyDescent="0.25">
      <c r="B135" s="1"/>
      <c r="C135" s="113">
        <v>118</v>
      </c>
      <c r="D135" s="110"/>
      <c r="E135" s="110"/>
      <c r="F135" s="19" t="str">
        <f t="shared" si="1"/>
        <v/>
      </c>
      <c r="G135" s="2"/>
    </row>
    <row r="136" spans="2:7" ht="15" customHeight="1" x14ac:dyDescent="0.25">
      <c r="B136" s="1"/>
      <c r="C136" s="113">
        <v>119</v>
      </c>
      <c r="D136" s="110"/>
      <c r="E136" s="110"/>
      <c r="F136" s="19" t="str">
        <f t="shared" si="1"/>
        <v/>
      </c>
      <c r="G136" s="2"/>
    </row>
    <row r="137" spans="2:7" ht="15" customHeight="1" x14ac:dyDescent="0.25">
      <c r="B137" s="1"/>
      <c r="C137" s="113">
        <v>120</v>
      </c>
      <c r="D137" s="110"/>
      <c r="E137" s="110"/>
      <c r="F137" s="19" t="str">
        <f t="shared" si="1"/>
        <v/>
      </c>
      <c r="G137" s="2"/>
    </row>
    <row r="138" spans="2:7" ht="15" customHeight="1" x14ac:dyDescent="0.25">
      <c r="B138" s="1"/>
      <c r="C138" s="113">
        <v>121</v>
      </c>
      <c r="D138" s="110"/>
      <c r="E138" s="110"/>
      <c r="F138" s="19" t="str">
        <f t="shared" si="1"/>
        <v/>
      </c>
      <c r="G138" s="2"/>
    </row>
    <row r="139" spans="2:7" ht="15" customHeight="1" x14ac:dyDescent="0.25">
      <c r="B139" s="1"/>
      <c r="C139" s="113">
        <v>122</v>
      </c>
      <c r="D139" s="110"/>
      <c r="E139" s="110"/>
      <c r="F139" s="19" t="str">
        <f t="shared" si="1"/>
        <v/>
      </c>
      <c r="G139" s="2"/>
    </row>
    <row r="140" spans="2:7" ht="15" customHeight="1" x14ac:dyDescent="0.25">
      <c r="B140" s="1"/>
      <c r="C140" s="113">
        <v>123</v>
      </c>
      <c r="D140" s="110"/>
      <c r="E140" s="110"/>
      <c r="F140" s="19" t="str">
        <f t="shared" si="1"/>
        <v/>
      </c>
      <c r="G140" s="2"/>
    </row>
    <row r="141" spans="2:7" ht="15" customHeight="1" x14ac:dyDescent="0.25">
      <c r="B141" s="1"/>
      <c r="C141" s="113">
        <v>124</v>
      </c>
      <c r="D141" s="110"/>
      <c r="E141" s="110"/>
      <c r="F141" s="19" t="str">
        <f t="shared" si="1"/>
        <v/>
      </c>
      <c r="G141" s="2"/>
    </row>
    <row r="142" spans="2:7" ht="15" customHeight="1" x14ac:dyDescent="0.25">
      <c r="B142" s="1"/>
      <c r="C142" s="113">
        <v>125</v>
      </c>
      <c r="D142" s="110"/>
      <c r="E142" s="110"/>
      <c r="F142" s="19" t="str">
        <f t="shared" si="1"/>
        <v/>
      </c>
      <c r="G142" s="2"/>
    </row>
    <row r="143" spans="2:7" ht="15" customHeight="1" x14ac:dyDescent="0.25">
      <c r="B143" s="1"/>
      <c r="C143" s="113">
        <v>126</v>
      </c>
      <c r="D143" s="110"/>
      <c r="E143" s="110"/>
      <c r="F143" s="19" t="str">
        <f t="shared" si="1"/>
        <v/>
      </c>
      <c r="G143" s="2"/>
    </row>
    <row r="144" spans="2:7" ht="15" customHeight="1" x14ac:dyDescent="0.25">
      <c r="B144" s="1"/>
      <c r="C144" s="113">
        <v>127</v>
      </c>
      <c r="D144" s="110"/>
      <c r="E144" s="110"/>
      <c r="F144" s="19" t="str">
        <f t="shared" si="1"/>
        <v/>
      </c>
      <c r="G144" s="2"/>
    </row>
    <row r="145" spans="2:7" ht="15" customHeight="1" x14ac:dyDescent="0.25">
      <c r="B145" s="1"/>
      <c r="C145" s="113">
        <v>128</v>
      </c>
      <c r="D145" s="110"/>
      <c r="E145" s="110"/>
      <c r="F145" s="19" t="str">
        <f t="shared" si="1"/>
        <v/>
      </c>
      <c r="G145" s="2"/>
    </row>
    <row r="146" spans="2:7" ht="15" customHeight="1" x14ac:dyDescent="0.25">
      <c r="B146" s="1"/>
      <c r="C146" s="113">
        <v>129</v>
      </c>
      <c r="D146" s="110"/>
      <c r="E146" s="110"/>
      <c r="F146" s="19" t="str">
        <f t="shared" si="1"/>
        <v/>
      </c>
      <c r="G146" s="2"/>
    </row>
    <row r="147" spans="2:7" ht="15" customHeight="1" x14ac:dyDescent="0.25">
      <c r="B147" s="1"/>
      <c r="C147" s="113">
        <v>130</v>
      </c>
      <c r="D147" s="110"/>
      <c r="E147" s="110"/>
      <c r="F147" s="19" t="str">
        <f t="shared" ref="F147:F210" si="2">IFERROR(IF(AND(LEFT(D147,6)=LEFT(E147,6),RIGHT(E147,9)-RIGHT(D147,9)&gt;=0),RIGHT(E147,9)-RIGHT(D147,9)+1,""),"")</f>
        <v/>
      </c>
      <c r="G147" s="2"/>
    </row>
    <row r="148" spans="2:7" ht="15" customHeight="1" x14ac:dyDescent="0.25">
      <c r="B148" s="1"/>
      <c r="C148" s="113">
        <v>131</v>
      </c>
      <c r="D148" s="110"/>
      <c r="E148" s="110"/>
      <c r="F148" s="19" t="str">
        <f t="shared" si="2"/>
        <v/>
      </c>
      <c r="G148" s="2"/>
    </row>
    <row r="149" spans="2:7" ht="15" customHeight="1" x14ac:dyDescent="0.25">
      <c r="B149" s="1"/>
      <c r="C149" s="113">
        <v>132</v>
      </c>
      <c r="D149" s="110"/>
      <c r="E149" s="110"/>
      <c r="F149" s="19" t="str">
        <f t="shared" si="2"/>
        <v/>
      </c>
      <c r="G149" s="2"/>
    </row>
    <row r="150" spans="2:7" ht="15" customHeight="1" x14ac:dyDescent="0.25">
      <c r="B150" s="1"/>
      <c r="C150" s="113">
        <v>133</v>
      </c>
      <c r="D150" s="110"/>
      <c r="E150" s="110"/>
      <c r="F150" s="19" t="str">
        <f t="shared" si="2"/>
        <v/>
      </c>
      <c r="G150" s="2"/>
    </row>
    <row r="151" spans="2:7" ht="15" customHeight="1" x14ac:dyDescent="0.25">
      <c r="B151" s="1"/>
      <c r="C151" s="113">
        <v>134</v>
      </c>
      <c r="D151" s="110"/>
      <c r="E151" s="110"/>
      <c r="F151" s="19" t="str">
        <f t="shared" si="2"/>
        <v/>
      </c>
      <c r="G151" s="2"/>
    </row>
    <row r="152" spans="2:7" ht="15" customHeight="1" x14ac:dyDescent="0.25">
      <c r="B152" s="1"/>
      <c r="C152" s="113">
        <v>135</v>
      </c>
      <c r="D152" s="110"/>
      <c r="E152" s="110"/>
      <c r="F152" s="19" t="str">
        <f t="shared" si="2"/>
        <v/>
      </c>
      <c r="G152" s="2"/>
    </row>
    <row r="153" spans="2:7" ht="15" customHeight="1" x14ac:dyDescent="0.25">
      <c r="B153" s="1"/>
      <c r="C153" s="113">
        <v>136</v>
      </c>
      <c r="D153" s="110"/>
      <c r="E153" s="110"/>
      <c r="F153" s="19" t="str">
        <f t="shared" si="2"/>
        <v/>
      </c>
      <c r="G153" s="2"/>
    </row>
    <row r="154" spans="2:7" ht="15" customHeight="1" x14ac:dyDescent="0.25">
      <c r="B154" s="1"/>
      <c r="C154" s="113">
        <v>137</v>
      </c>
      <c r="D154" s="110"/>
      <c r="E154" s="110"/>
      <c r="F154" s="19" t="str">
        <f t="shared" si="2"/>
        <v/>
      </c>
      <c r="G154" s="2"/>
    </row>
    <row r="155" spans="2:7" ht="15" customHeight="1" x14ac:dyDescent="0.25">
      <c r="B155" s="1"/>
      <c r="C155" s="113">
        <v>138</v>
      </c>
      <c r="D155" s="110"/>
      <c r="E155" s="110"/>
      <c r="F155" s="19" t="str">
        <f t="shared" si="2"/>
        <v/>
      </c>
      <c r="G155" s="2"/>
    </row>
    <row r="156" spans="2:7" ht="15" customHeight="1" x14ac:dyDescent="0.25">
      <c r="B156" s="1"/>
      <c r="C156" s="113">
        <v>139</v>
      </c>
      <c r="D156" s="110"/>
      <c r="E156" s="110"/>
      <c r="F156" s="19" t="str">
        <f t="shared" si="2"/>
        <v/>
      </c>
      <c r="G156" s="2"/>
    </row>
    <row r="157" spans="2:7" ht="15" customHeight="1" x14ac:dyDescent="0.25">
      <c r="B157" s="1"/>
      <c r="C157" s="113">
        <v>140</v>
      </c>
      <c r="D157" s="110"/>
      <c r="E157" s="110"/>
      <c r="F157" s="19" t="str">
        <f t="shared" si="2"/>
        <v/>
      </c>
      <c r="G157" s="2"/>
    </row>
    <row r="158" spans="2:7" ht="15" customHeight="1" x14ac:dyDescent="0.25">
      <c r="B158" s="1"/>
      <c r="C158" s="113">
        <v>141</v>
      </c>
      <c r="D158" s="110"/>
      <c r="E158" s="110"/>
      <c r="F158" s="19" t="str">
        <f t="shared" si="2"/>
        <v/>
      </c>
      <c r="G158" s="2"/>
    </row>
    <row r="159" spans="2:7" ht="15" customHeight="1" x14ac:dyDescent="0.25">
      <c r="B159" s="1"/>
      <c r="C159" s="113">
        <v>142</v>
      </c>
      <c r="D159" s="110"/>
      <c r="E159" s="110"/>
      <c r="F159" s="19" t="str">
        <f t="shared" si="2"/>
        <v/>
      </c>
      <c r="G159" s="2"/>
    </row>
    <row r="160" spans="2:7" ht="15" customHeight="1" x14ac:dyDescent="0.25">
      <c r="B160" s="1"/>
      <c r="C160" s="113">
        <v>143</v>
      </c>
      <c r="D160" s="110"/>
      <c r="E160" s="110"/>
      <c r="F160" s="19" t="str">
        <f t="shared" si="2"/>
        <v/>
      </c>
      <c r="G160" s="2"/>
    </row>
    <row r="161" spans="2:7" ht="15" customHeight="1" x14ac:dyDescent="0.25">
      <c r="B161" s="1"/>
      <c r="C161" s="113">
        <v>144</v>
      </c>
      <c r="D161" s="110"/>
      <c r="E161" s="110"/>
      <c r="F161" s="19" t="str">
        <f t="shared" si="2"/>
        <v/>
      </c>
      <c r="G161" s="2"/>
    </row>
    <row r="162" spans="2:7" ht="15" customHeight="1" x14ac:dyDescent="0.25">
      <c r="B162" s="1"/>
      <c r="C162" s="113">
        <v>145</v>
      </c>
      <c r="D162" s="110"/>
      <c r="E162" s="110"/>
      <c r="F162" s="19" t="str">
        <f t="shared" si="2"/>
        <v/>
      </c>
      <c r="G162" s="2"/>
    </row>
    <row r="163" spans="2:7" ht="15" customHeight="1" x14ac:dyDescent="0.25">
      <c r="B163" s="1"/>
      <c r="C163" s="113">
        <v>146</v>
      </c>
      <c r="D163" s="110"/>
      <c r="E163" s="110"/>
      <c r="F163" s="19" t="str">
        <f t="shared" si="2"/>
        <v/>
      </c>
      <c r="G163" s="2"/>
    </row>
    <row r="164" spans="2:7" ht="15" customHeight="1" x14ac:dyDescent="0.25">
      <c r="B164" s="1"/>
      <c r="C164" s="113">
        <v>147</v>
      </c>
      <c r="D164" s="110"/>
      <c r="E164" s="110"/>
      <c r="F164" s="19" t="str">
        <f t="shared" si="2"/>
        <v/>
      </c>
      <c r="G164" s="2"/>
    </row>
    <row r="165" spans="2:7" ht="15" customHeight="1" x14ac:dyDescent="0.25">
      <c r="B165" s="1"/>
      <c r="C165" s="113">
        <v>148</v>
      </c>
      <c r="D165" s="110"/>
      <c r="E165" s="110"/>
      <c r="F165" s="19" t="str">
        <f t="shared" si="2"/>
        <v/>
      </c>
      <c r="G165" s="2"/>
    </row>
    <row r="166" spans="2:7" ht="15" customHeight="1" x14ac:dyDescent="0.25">
      <c r="B166" s="1"/>
      <c r="C166" s="113">
        <v>149</v>
      </c>
      <c r="D166" s="110"/>
      <c r="E166" s="110"/>
      <c r="F166" s="19" t="str">
        <f t="shared" si="2"/>
        <v/>
      </c>
      <c r="G166" s="2"/>
    </row>
    <row r="167" spans="2:7" ht="15" customHeight="1" x14ac:dyDescent="0.25">
      <c r="B167" s="1"/>
      <c r="C167" s="113">
        <v>150</v>
      </c>
      <c r="D167" s="110"/>
      <c r="E167" s="110"/>
      <c r="F167" s="19" t="str">
        <f t="shared" si="2"/>
        <v/>
      </c>
      <c r="G167" s="2"/>
    </row>
    <row r="168" spans="2:7" ht="15" customHeight="1" x14ac:dyDescent="0.25">
      <c r="B168" s="1"/>
      <c r="C168" s="113">
        <v>151</v>
      </c>
      <c r="D168" s="110"/>
      <c r="E168" s="110"/>
      <c r="F168" s="19" t="str">
        <f t="shared" si="2"/>
        <v/>
      </c>
      <c r="G168" s="2"/>
    </row>
    <row r="169" spans="2:7" ht="15" customHeight="1" x14ac:dyDescent="0.25">
      <c r="B169" s="1"/>
      <c r="C169" s="113">
        <v>152</v>
      </c>
      <c r="D169" s="110"/>
      <c r="E169" s="110"/>
      <c r="F169" s="19" t="str">
        <f t="shared" si="2"/>
        <v/>
      </c>
      <c r="G169" s="2"/>
    </row>
    <row r="170" spans="2:7" ht="15" customHeight="1" x14ac:dyDescent="0.25">
      <c r="B170" s="1"/>
      <c r="C170" s="113">
        <v>153</v>
      </c>
      <c r="D170" s="110"/>
      <c r="E170" s="110"/>
      <c r="F170" s="19" t="str">
        <f t="shared" si="2"/>
        <v/>
      </c>
      <c r="G170" s="2"/>
    </row>
    <row r="171" spans="2:7" ht="15" customHeight="1" x14ac:dyDescent="0.25">
      <c r="B171" s="1"/>
      <c r="C171" s="113">
        <v>154</v>
      </c>
      <c r="D171" s="110"/>
      <c r="E171" s="110"/>
      <c r="F171" s="19" t="str">
        <f t="shared" si="2"/>
        <v/>
      </c>
      <c r="G171" s="2"/>
    </row>
    <row r="172" spans="2:7" ht="15" customHeight="1" x14ac:dyDescent="0.25">
      <c r="B172" s="1"/>
      <c r="C172" s="113">
        <v>155</v>
      </c>
      <c r="D172" s="110"/>
      <c r="E172" s="110"/>
      <c r="F172" s="19" t="str">
        <f t="shared" si="2"/>
        <v/>
      </c>
      <c r="G172" s="2"/>
    </row>
    <row r="173" spans="2:7" ht="15" customHeight="1" x14ac:dyDescent="0.25">
      <c r="B173" s="1"/>
      <c r="C173" s="113">
        <v>156</v>
      </c>
      <c r="D173" s="110"/>
      <c r="E173" s="110"/>
      <c r="F173" s="19" t="str">
        <f t="shared" si="2"/>
        <v/>
      </c>
      <c r="G173" s="2"/>
    </row>
    <row r="174" spans="2:7" ht="15" customHeight="1" x14ac:dyDescent="0.25">
      <c r="B174" s="1"/>
      <c r="C174" s="113">
        <v>157</v>
      </c>
      <c r="D174" s="110"/>
      <c r="E174" s="110"/>
      <c r="F174" s="19" t="str">
        <f t="shared" si="2"/>
        <v/>
      </c>
      <c r="G174" s="2"/>
    </row>
    <row r="175" spans="2:7" ht="15" customHeight="1" x14ac:dyDescent="0.25">
      <c r="B175" s="1"/>
      <c r="C175" s="113">
        <v>158</v>
      </c>
      <c r="D175" s="110"/>
      <c r="E175" s="110"/>
      <c r="F175" s="19" t="str">
        <f t="shared" si="2"/>
        <v/>
      </c>
      <c r="G175" s="2"/>
    </row>
    <row r="176" spans="2:7" ht="15" customHeight="1" x14ac:dyDescent="0.25">
      <c r="B176" s="1"/>
      <c r="C176" s="113">
        <v>159</v>
      </c>
      <c r="D176" s="110"/>
      <c r="E176" s="110"/>
      <c r="F176" s="19" t="str">
        <f t="shared" si="2"/>
        <v/>
      </c>
      <c r="G176" s="2"/>
    </row>
    <row r="177" spans="2:7" ht="15" customHeight="1" x14ac:dyDescent="0.25">
      <c r="B177" s="1"/>
      <c r="C177" s="113">
        <v>160</v>
      </c>
      <c r="D177" s="110"/>
      <c r="E177" s="110"/>
      <c r="F177" s="19" t="str">
        <f t="shared" si="2"/>
        <v/>
      </c>
      <c r="G177" s="2"/>
    </row>
    <row r="178" spans="2:7" ht="15" customHeight="1" x14ac:dyDescent="0.25">
      <c r="B178" s="1"/>
      <c r="C178" s="113">
        <v>161</v>
      </c>
      <c r="D178" s="110"/>
      <c r="E178" s="110"/>
      <c r="F178" s="19" t="str">
        <f t="shared" si="2"/>
        <v/>
      </c>
      <c r="G178" s="2"/>
    </row>
    <row r="179" spans="2:7" ht="15" customHeight="1" x14ac:dyDescent="0.25">
      <c r="B179" s="1"/>
      <c r="C179" s="113">
        <v>162</v>
      </c>
      <c r="D179" s="110"/>
      <c r="E179" s="110"/>
      <c r="F179" s="19" t="str">
        <f t="shared" si="2"/>
        <v/>
      </c>
      <c r="G179" s="2"/>
    </row>
    <row r="180" spans="2:7" ht="15" customHeight="1" x14ac:dyDescent="0.25">
      <c r="B180" s="1"/>
      <c r="C180" s="113">
        <v>163</v>
      </c>
      <c r="D180" s="110"/>
      <c r="E180" s="110"/>
      <c r="F180" s="19" t="str">
        <f t="shared" si="2"/>
        <v/>
      </c>
      <c r="G180" s="2"/>
    </row>
    <row r="181" spans="2:7" ht="15" customHeight="1" x14ac:dyDescent="0.25">
      <c r="B181" s="1"/>
      <c r="C181" s="113">
        <v>164</v>
      </c>
      <c r="D181" s="110"/>
      <c r="E181" s="110"/>
      <c r="F181" s="19" t="str">
        <f t="shared" si="2"/>
        <v/>
      </c>
      <c r="G181" s="2"/>
    </row>
    <row r="182" spans="2:7" ht="15" customHeight="1" x14ac:dyDescent="0.25">
      <c r="B182" s="1"/>
      <c r="C182" s="113">
        <v>165</v>
      </c>
      <c r="D182" s="110"/>
      <c r="E182" s="110"/>
      <c r="F182" s="19" t="str">
        <f t="shared" si="2"/>
        <v/>
      </c>
      <c r="G182" s="2"/>
    </row>
    <row r="183" spans="2:7" ht="15" customHeight="1" x14ac:dyDescent="0.25">
      <c r="B183" s="1"/>
      <c r="C183" s="113">
        <v>166</v>
      </c>
      <c r="D183" s="110"/>
      <c r="E183" s="110"/>
      <c r="F183" s="19" t="str">
        <f t="shared" si="2"/>
        <v/>
      </c>
      <c r="G183" s="2"/>
    </row>
    <row r="184" spans="2:7" ht="15" customHeight="1" x14ac:dyDescent="0.25">
      <c r="B184" s="1"/>
      <c r="C184" s="113">
        <v>167</v>
      </c>
      <c r="D184" s="110"/>
      <c r="E184" s="110"/>
      <c r="F184" s="19" t="str">
        <f t="shared" si="2"/>
        <v/>
      </c>
      <c r="G184" s="2"/>
    </row>
    <row r="185" spans="2:7" ht="15" customHeight="1" x14ac:dyDescent="0.25">
      <c r="B185" s="1"/>
      <c r="C185" s="113">
        <v>168</v>
      </c>
      <c r="D185" s="110"/>
      <c r="E185" s="110"/>
      <c r="F185" s="19" t="str">
        <f t="shared" si="2"/>
        <v/>
      </c>
      <c r="G185" s="2"/>
    </row>
    <row r="186" spans="2:7" ht="15" customHeight="1" x14ac:dyDescent="0.25">
      <c r="B186" s="1"/>
      <c r="C186" s="113">
        <v>169</v>
      </c>
      <c r="D186" s="110"/>
      <c r="E186" s="110"/>
      <c r="F186" s="19" t="str">
        <f t="shared" si="2"/>
        <v/>
      </c>
      <c r="G186" s="2"/>
    </row>
    <row r="187" spans="2:7" ht="15" customHeight="1" x14ac:dyDescent="0.25">
      <c r="B187" s="1"/>
      <c r="C187" s="113">
        <v>170</v>
      </c>
      <c r="D187" s="110"/>
      <c r="E187" s="110"/>
      <c r="F187" s="19" t="str">
        <f t="shared" si="2"/>
        <v/>
      </c>
      <c r="G187" s="2"/>
    </row>
    <row r="188" spans="2:7" ht="15" customHeight="1" x14ac:dyDescent="0.25">
      <c r="B188" s="1"/>
      <c r="C188" s="113">
        <v>171</v>
      </c>
      <c r="D188" s="110"/>
      <c r="E188" s="110"/>
      <c r="F188" s="19" t="str">
        <f t="shared" si="2"/>
        <v/>
      </c>
      <c r="G188" s="2"/>
    </row>
    <row r="189" spans="2:7" ht="15" customHeight="1" x14ac:dyDescent="0.25">
      <c r="B189" s="1"/>
      <c r="C189" s="113">
        <v>172</v>
      </c>
      <c r="D189" s="110"/>
      <c r="E189" s="110"/>
      <c r="F189" s="19" t="str">
        <f t="shared" si="2"/>
        <v/>
      </c>
      <c r="G189" s="2"/>
    </row>
    <row r="190" spans="2:7" ht="15" customHeight="1" x14ac:dyDescent="0.25">
      <c r="B190" s="1"/>
      <c r="C190" s="113">
        <v>173</v>
      </c>
      <c r="D190" s="110"/>
      <c r="E190" s="110"/>
      <c r="F190" s="19" t="str">
        <f t="shared" si="2"/>
        <v/>
      </c>
      <c r="G190" s="2"/>
    </row>
    <row r="191" spans="2:7" ht="15" customHeight="1" x14ac:dyDescent="0.25">
      <c r="B191" s="1"/>
      <c r="C191" s="113">
        <v>174</v>
      </c>
      <c r="D191" s="110"/>
      <c r="E191" s="110"/>
      <c r="F191" s="19" t="str">
        <f t="shared" si="2"/>
        <v/>
      </c>
      <c r="G191" s="2"/>
    </row>
    <row r="192" spans="2:7" ht="15" customHeight="1" x14ac:dyDescent="0.25">
      <c r="B192" s="1"/>
      <c r="C192" s="113">
        <v>175</v>
      </c>
      <c r="D192" s="110"/>
      <c r="E192" s="110"/>
      <c r="F192" s="19" t="str">
        <f t="shared" si="2"/>
        <v/>
      </c>
      <c r="G192" s="2"/>
    </row>
    <row r="193" spans="2:7" ht="15" customHeight="1" x14ac:dyDescent="0.25">
      <c r="B193" s="1"/>
      <c r="C193" s="113">
        <v>176</v>
      </c>
      <c r="D193" s="110"/>
      <c r="E193" s="110"/>
      <c r="F193" s="19" t="str">
        <f t="shared" si="2"/>
        <v/>
      </c>
      <c r="G193" s="2"/>
    </row>
    <row r="194" spans="2:7" ht="15" customHeight="1" x14ac:dyDescent="0.25">
      <c r="B194" s="1"/>
      <c r="C194" s="113">
        <v>177</v>
      </c>
      <c r="D194" s="110"/>
      <c r="E194" s="110"/>
      <c r="F194" s="19" t="str">
        <f t="shared" si="2"/>
        <v/>
      </c>
      <c r="G194" s="2"/>
    </row>
    <row r="195" spans="2:7" ht="15" customHeight="1" x14ac:dyDescent="0.25">
      <c r="B195" s="1"/>
      <c r="C195" s="113">
        <v>178</v>
      </c>
      <c r="D195" s="110"/>
      <c r="E195" s="110"/>
      <c r="F195" s="19" t="str">
        <f t="shared" si="2"/>
        <v/>
      </c>
      <c r="G195" s="2"/>
    </row>
    <row r="196" spans="2:7" ht="15" customHeight="1" x14ac:dyDescent="0.25">
      <c r="B196" s="1"/>
      <c r="C196" s="113">
        <v>179</v>
      </c>
      <c r="D196" s="110"/>
      <c r="E196" s="110"/>
      <c r="F196" s="19" t="str">
        <f t="shared" si="2"/>
        <v/>
      </c>
      <c r="G196" s="2"/>
    </row>
    <row r="197" spans="2:7" ht="15" customHeight="1" x14ac:dyDescent="0.25">
      <c r="B197" s="1"/>
      <c r="C197" s="113">
        <v>180</v>
      </c>
      <c r="D197" s="110"/>
      <c r="E197" s="110"/>
      <c r="F197" s="19" t="str">
        <f t="shared" si="2"/>
        <v/>
      </c>
      <c r="G197" s="2"/>
    </row>
    <row r="198" spans="2:7" ht="15" customHeight="1" x14ac:dyDescent="0.25">
      <c r="B198" s="1"/>
      <c r="C198" s="113">
        <v>181</v>
      </c>
      <c r="D198" s="110"/>
      <c r="E198" s="110"/>
      <c r="F198" s="19" t="str">
        <f t="shared" si="2"/>
        <v/>
      </c>
      <c r="G198" s="2"/>
    </row>
    <row r="199" spans="2:7" ht="15" customHeight="1" x14ac:dyDescent="0.25">
      <c r="B199" s="1"/>
      <c r="C199" s="113">
        <v>182</v>
      </c>
      <c r="D199" s="110"/>
      <c r="E199" s="110"/>
      <c r="F199" s="19" t="str">
        <f t="shared" si="2"/>
        <v/>
      </c>
      <c r="G199" s="2"/>
    </row>
    <row r="200" spans="2:7" ht="15" customHeight="1" x14ac:dyDescent="0.25">
      <c r="B200" s="1"/>
      <c r="C200" s="113">
        <v>183</v>
      </c>
      <c r="D200" s="110"/>
      <c r="E200" s="110"/>
      <c r="F200" s="19" t="str">
        <f t="shared" si="2"/>
        <v/>
      </c>
      <c r="G200" s="2"/>
    </row>
    <row r="201" spans="2:7" ht="15" customHeight="1" x14ac:dyDescent="0.25">
      <c r="B201" s="1"/>
      <c r="C201" s="113">
        <v>184</v>
      </c>
      <c r="D201" s="110"/>
      <c r="E201" s="110"/>
      <c r="F201" s="19" t="str">
        <f t="shared" si="2"/>
        <v/>
      </c>
      <c r="G201" s="2"/>
    </row>
    <row r="202" spans="2:7" ht="15" customHeight="1" x14ac:dyDescent="0.25">
      <c r="B202" s="1"/>
      <c r="C202" s="113">
        <v>185</v>
      </c>
      <c r="D202" s="110"/>
      <c r="E202" s="110"/>
      <c r="F202" s="19" t="str">
        <f t="shared" si="2"/>
        <v/>
      </c>
      <c r="G202" s="2"/>
    </row>
    <row r="203" spans="2:7" ht="15" customHeight="1" x14ac:dyDescent="0.25">
      <c r="B203" s="1"/>
      <c r="C203" s="113">
        <v>186</v>
      </c>
      <c r="D203" s="110"/>
      <c r="E203" s="110"/>
      <c r="F203" s="19" t="str">
        <f t="shared" si="2"/>
        <v/>
      </c>
      <c r="G203" s="2"/>
    </row>
    <row r="204" spans="2:7" ht="15" customHeight="1" x14ac:dyDescent="0.25">
      <c r="B204" s="1"/>
      <c r="C204" s="113">
        <v>187</v>
      </c>
      <c r="D204" s="110"/>
      <c r="E204" s="110"/>
      <c r="F204" s="19" t="str">
        <f t="shared" si="2"/>
        <v/>
      </c>
      <c r="G204" s="2"/>
    </row>
    <row r="205" spans="2:7" ht="15" customHeight="1" x14ac:dyDescent="0.25">
      <c r="B205" s="1"/>
      <c r="C205" s="113">
        <v>188</v>
      </c>
      <c r="D205" s="110"/>
      <c r="E205" s="110"/>
      <c r="F205" s="19" t="str">
        <f t="shared" si="2"/>
        <v/>
      </c>
      <c r="G205" s="2"/>
    </row>
    <row r="206" spans="2:7" ht="15" customHeight="1" x14ac:dyDescent="0.25">
      <c r="B206" s="1"/>
      <c r="C206" s="113">
        <v>189</v>
      </c>
      <c r="D206" s="110"/>
      <c r="E206" s="110"/>
      <c r="F206" s="19" t="str">
        <f t="shared" si="2"/>
        <v/>
      </c>
      <c r="G206" s="2"/>
    </row>
    <row r="207" spans="2:7" ht="15" customHeight="1" x14ac:dyDescent="0.25">
      <c r="B207" s="1"/>
      <c r="C207" s="113">
        <v>190</v>
      </c>
      <c r="D207" s="110"/>
      <c r="E207" s="110"/>
      <c r="F207" s="19" t="str">
        <f t="shared" si="2"/>
        <v/>
      </c>
      <c r="G207" s="2"/>
    </row>
    <row r="208" spans="2:7" ht="15" customHeight="1" x14ac:dyDescent="0.25">
      <c r="B208" s="1"/>
      <c r="C208" s="113">
        <v>191</v>
      </c>
      <c r="D208" s="110"/>
      <c r="E208" s="110"/>
      <c r="F208" s="19" t="str">
        <f t="shared" si="2"/>
        <v/>
      </c>
      <c r="G208" s="2"/>
    </row>
    <row r="209" spans="2:7" ht="15" customHeight="1" x14ac:dyDescent="0.25">
      <c r="B209" s="1"/>
      <c r="C209" s="113">
        <v>192</v>
      </c>
      <c r="D209" s="110"/>
      <c r="E209" s="110"/>
      <c r="F209" s="19" t="str">
        <f t="shared" si="2"/>
        <v/>
      </c>
      <c r="G209" s="2"/>
    </row>
    <row r="210" spans="2:7" ht="15" customHeight="1" x14ac:dyDescent="0.25">
      <c r="B210" s="1"/>
      <c r="C210" s="113">
        <v>193</v>
      </c>
      <c r="D210" s="110"/>
      <c r="E210" s="110"/>
      <c r="F210" s="19" t="str">
        <f t="shared" si="2"/>
        <v/>
      </c>
      <c r="G210" s="2"/>
    </row>
    <row r="211" spans="2:7" ht="15" customHeight="1" x14ac:dyDescent="0.25">
      <c r="B211" s="1"/>
      <c r="C211" s="113">
        <v>194</v>
      </c>
      <c r="D211" s="110"/>
      <c r="E211" s="110"/>
      <c r="F211" s="19" t="str">
        <f t="shared" ref="F211:F274" si="3">IFERROR(IF(AND(LEFT(D211,6)=LEFT(E211,6),RIGHT(E211,9)-RIGHT(D211,9)&gt;=0),RIGHT(E211,9)-RIGHT(D211,9)+1,""),"")</f>
        <v/>
      </c>
      <c r="G211" s="2"/>
    </row>
    <row r="212" spans="2:7" ht="15" customHeight="1" x14ac:dyDescent="0.25">
      <c r="B212" s="1"/>
      <c r="C212" s="113">
        <v>195</v>
      </c>
      <c r="D212" s="110"/>
      <c r="E212" s="110"/>
      <c r="F212" s="19" t="str">
        <f t="shared" si="3"/>
        <v/>
      </c>
      <c r="G212" s="2"/>
    </row>
    <row r="213" spans="2:7" ht="15" customHeight="1" x14ac:dyDescent="0.25">
      <c r="B213" s="1"/>
      <c r="C213" s="113">
        <v>196</v>
      </c>
      <c r="D213" s="110"/>
      <c r="E213" s="110"/>
      <c r="F213" s="19" t="str">
        <f t="shared" si="3"/>
        <v/>
      </c>
      <c r="G213" s="2"/>
    </row>
    <row r="214" spans="2:7" ht="15" customHeight="1" x14ac:dyDescent="0.25">
      <c r="B214" s="1"/>
      <c r="C214" s="113">
        <v>197</v>
      </c>
      <c r="D214" s="110"/>
      <c r="E214" s="110"/>
      <c r="F214" s="19" t="str">
        <f t="shared" si="3"/>
        <v/>
      </c>
      <c r="G214" s="2"/>
    </row>
    <row r="215" spans="2:7" ht="15" customHeight="1" x14ac:dyDescent="0.25">
      <c r="B215" s="1"/>
      <c r="C215" s="113">
        <v>198</v>
      </c>
      <c r="D215" s="110"/>
      <c r="E215" s="110"/>
      <c r="F215" s="19" t="str">
        <f t="shared" si="3"/>
        <v/>
      </c>
      <c r="G215" s="2"/>
    </row>
    <row r="216" spans="2:7" ht="15" customHeight="1" x14ac:dyDescent="0.25">
      <c r="B216" s="1"/>
      <c r="C216" s="113">
        <v>199</v>
      </c>
      <c r="D216" s="110"/>
      <c r="E216" s="110"/>
      <c r="F216" s="19" t="str">
        <f t="shared" si="3"/>
        <v/>
      </c>
      <c r="G216" s="2"/>
    </row>
    <row r="217" spans="2:7" ht="15" customHeight="1" x14ac:dyDescent="0.25">
      <c r="B217" s="1"/>
      <c r="C217" s="113">
        <v>200</v>
      </c>
      <c r="D217" s="110"/>
      <c r="E217" s="110"/>
      <c r="F217" s="19" t="str">
        <f t="shared" si="3"/>
        <v/>
      </c>
      <c r="G217" s="2"/>
    </row>
    <row r="218" spans="2:7" ht="15" customHeight="1" x14ac:dyDescent="0.25">
      <c r="B218" s="1"/>
      <c r="C218" s="113">
        <v>201</v>
      </c>
      <c r="D218" s="110"/>
      <c r="E218" s="110"/>
      <c r="F218" s="19" t="str">
        <f t="shared" si="3"/>
        <v/>
      </c>
      <c r="G218" s="2"/>
    </row>
    <row r="219" spans="2:7" ht="15" customHeight="1" x14ac:dyDescent="0.25">
      <c r="B219" s="1"/>
      <c r="C219" s="113">
        <v>202</v>
      </c>
      <c r="D219" s="110"/>
      <c r="E219" s="110"/>
      <c r="F219" s="19" t="str">
        <f t="shared" si="3"/>
        <v/>
      </c>
      <c r="G219" s="2"/>
    </row>
    <row r="220" spans="2:7" ht="15" customHeight="1" x14ac:dyDescent="0.25">
      <c r="B220" s="1"/>
      <c r="C220" s="113">
        <v>203</v>
      </c>
      <c r="D220" s="110"/>
      <c r="E220" s="110"/>
      <c r="F220" s="19" t="str">
        <f t="shared" si="3"/>
        <v/>
      </c>
      <c r="G220" s="2"/>
    </row>
    <row r="221" spans="2:7" ht="15" customHeight="1" x14ac:dyDescent="0.25">
      <c r="B221" s="1"/>
      <c r="C221" s="113">
        <v>204</v>
      </c>
      <c r="D221" s="110"/>
      <c r="E221" s="110"/>
      <c r="F221" s="19" t="str">
        <f t="shared" si="3"/>
        <v/>
      </c>
      <c r="G221" s="2"/>
    </row>
    <row r="222" spans="2:7" ht="15" customHeight="1" x14ac:dyDescent="0.25">
      <c r="B222" s="1"/>
      <c r="C222" s="113">
        <v>205</v>
      </c>
      <c r="D222" s="110"/>
      <c r="E222" s="110"/>
      <c r="F222" s="19" t="str">
        <f t="shared" si="3"/>
        <v/>
      </c>
      <c r="G222" s="2"/>
    </row>
    <row r="223" spans="2:7" ht="15" customHeight="1" x14ac:dyDescent="0.25">
      <c r="B223" s="1"/>
      <c r="C223" s="113">
        <v>206</v>
      </c>
      <c r="D223" s="110"/>
      <c r="E223" s="110"/>
      <c r="F223" s="19" t="str">
        <f t="shared" si="3"/>
        <v/>
      </c>
      <c r="G223" s="2"/>
    </row>
    <row r="224" spans="2:7" ht="15" customHeight="1" x14ac:dyDescent="0.25">
      <c r="B224" s="1"/>
      <c r="C224" s="113">
        <v>207</v>
      </c>
      <c r="D224" s="110"/>
      <c r="E224" s="110"/>
      <c r="F224" s="19" t="str">
        <f t="shared" si="3"/>
        <v/>
      </c>
      <c r="G224" s="2"/>
    </row>
    <row r="225" spans="2:7" ht="15" customHeight="1" x14ac:dyDescent="0.25">
      <c r="B225" s="1"/>
      <c r="C225" s="113">
        <v>208</v>
      </c>
      <c r="D225" s="110"/>
      <c r="E225" s="110"/>
      <c r="F225" s="19" t="str">
        <f t="shared" si="3"/>
        <v/>
      </c>
      <c r="G225" s="2"/>
    </row>
    <row r="226" spans="2:7" ht="15" customHeight="1" x14ac:dyDescent="0.25">
      <c r="B226" s="1"/>
      <c r="C226" s="113">
        <v>209</v>
      </c>
      <c r="D226" s="110"/>
      <c r="E226" s="110"/>
      <c r="F226" s="19" t="str">
        <f t="shared" si="3"/>
        <v/>
      </c>
      <c r="G226" s="2"/>
    </row>
    <row r="227" spans="2:7" ht="15" customHeight="1" x14ac:dyDescent="0.25">
      <c r="B227" s="1"/>
      <c r="C227" s="113">
        <v>210</v>
      </c>
      <c r="D227" s="110"/>
      <c r="E227" s="110"/>
      <c r="F227" s="19" t="str">
        <f t="shared" si="3"/>
        <v/>
      </c>
      <c r="G227" s="2"/>
    </row>
    <row r="228" spans="2:7" ht="15" customHeight="1" x14ac:dyDescent="0.25">
      <c r="B228" s="1"/>
      <c r="C228" s="113">
        <v>211</v>
      </c>
      <c r="D228" s="110"/>
      <c r="E228" s="110"/>
      <c r="F228" s="19" t="str">
        <f t="shared" si="3"/>
        <v/>
      </c>
      <c r="G228" s="2"/>
    </row>
    <row r="229" spans="2:7" ht="15" customHeight="1" x14ac:dyDescent="0.25">
      <c r="B229" s="1"/>
      <c r="C229" s="113">
        <v>212</v>
      </c>
      <c r="D229" s="110"/>
      <c r="E229" s="110"/>
      <c r="F229" s="19" t="str">
        <f t="shared" si="3"/>
        <v/>
      </c>
      <c r="G229" s="2"/>
    </row>
    <row r="230" spans="2:7" ht="15" customHeight="1" x14ac:dyDescent="0.25">
      <c r="B230" s="1"/>
      <c r="C230" s="113">
        <v>213</v>
      </c>
      <c r="D230" s="110"/>
      <c r="E230" s="110"/>
      <c r="F230" s="19" t="str">
        <f t="shared" si="3"/>
        <v/>
      </c>
      <c r="G230" s="2"/>
    </row>
    <row r="231" spans="2:7" ht="15" customHeight="1" x14ac:dyDescent="0.25">
      <c r="B231" s="1"/>
      <c r="C231" s="113">
        <v>214</v>
      </c>
      <c r="D231" s="110"/>
      <c r="E231" s="110"/>
      <c r="F231" s="19" t="str">
        <f t="shared" si="3"/>
        <v/>
      </c>
      <c r="G231" s="2"/>
    </row>
    <row r="232" spans="2:7" ht="15" customHeight="1" x14ac:dyDescent="0.25">
      <c r="B232" s="1"/>
      <c r="C232" s="113">
        <v>215</v>
      </c>
      <c r="D232" s="110"/>
      <c r="E232" s="110"/>
      <c r="F232" s="19" t="str">
        <f t="shared" si="3"/>
        <v/>
      </c>
      <c r="G232" s="2"/>
    </row>
    <row r="233" spans="2:7" ht="15" customHeight="1" x14ac:dyDescent="0.25">
      <c r="B233" s="1"/>
      <c r="C233" s="113">
        <v>216</v>
      </c>
      <c r="D233" s="110"/>
      <c r="E233" s="110"/>
      <c r="F233" s="19" t="str">
        <f t="shared" si="3"/>
        <v/>
      </c>
      <c r="G233" s="2"/>
    </row>
    <row r="234" spans="2:7" ht="15" customHeight="1" x14ac:dyDescent="0.25">
      <c r="B234" s="1"/>
      <c r="C234" s="113">
        <v>217</v>
      </c>
      <c r="D234" s="110"/>
      <c r="E234" s="110"/>
      <c r="F234" s="19" t="str">
        <f t="shared" si="3"/>
        <v/>
      </c>
      <c r="G234" s="2"/>
    </row>
    <row r="235" spans="2:7" ht="15" customHeight="1" x14ac:dyDescent="0.25">
      <c r="B235" s="1"/>
      <c r="C235" s="113">
        <v>218</v>
      </c>
      <c r="D235" s="110"/>
      <c r="E235" s="110"/>
      <c r="F235" s="19" t="str">
        <f t="shared" si="3"/>
        <v/>
      </c>
      <c r="G235" s="2"/>
    </row>
    <row r="236" spans="2:7" ht="15" customHeight="1" x14ac:dyDescent="0.25">
      <c r="B236" s="1"/>
      <c r="C236" s="113">
        <v>219</v>
      </c>
      <c r="D236" s="110"/>
      <c r="E236" s="110"/>
      <c r="F236" s="19" t="str">
        <f t="shared" si="3"/>
        <v/>
      </c>
      <c r="G236" s="2"/>
    </row>
    <row r="237" spans="2:7" ht="15" customHeight="1" x14ac:dyDescent="0.25">
      <c r="B237" s="1"/>
      <c r="C237" s="113">
        <v>220</v>
      </c>
      <c r="D237" s="110"/>
      <c r="E237" s="110"/>
      <c r="F237" s="19" t="str">
        <f t="shared" si="3"/>
        <v/>
      </c>
      <c r="G237" s="2"/>
    </row>
    <row r="238" spans="2:7" ht="15" customHeight="1" x14ac:dyDescent="0.25">
      <c r="B238" s="1"/>
      <c r="C238" s="113">
        <v>221</v>
      </c>
      <c r="D238" s="110"/>
      <c r="E238" s="110"/>
      <c r="F238" s="19" t="str">
        <f t="shared" si="3"/>
        <v/>
      </c>
      <c r="G238" s="2"/>
    </row>
    <row r="239" spans="2:7" ht="15" customHeight="1" x14ac:dyDescent="0.25">
      <c r="B239" s="1"/>
      <c r="C239" s="113">
        <v>222</v>
      </c>
      <c r="D239" s="110"/>
      <c r="E239" s="110"/>
      <c r="F239" s="19" t="str">
        <f t="shared" si="3"/>
        <v/>
      </c>
      <c r="G239" s="2"/>
    </row>
    <row r="240" spans="2:7" ht="15" customHeight="1" x14ac:dyDescent="0.25">
      <c r="B240" s="1"/>
      <c r="C240" s="113">
        <v>223</v>
      </c>
      <c r="D240" s="110"/>
      <c r="E240" s="110"/>
      <c r="F240" s="19" t="str">
        <f t="shared" si="3"/>
        <v/>
      </c>
      <c r="G240" s="2"/>
    </row>
    <row r="241" spans="2:7" ht="15" customHeight="1" x14ac:dyDescent="0.25">
      <c r="B241" s="1"/>
      <c r="C241" s="113">
        <v>224</v>
      </c>
      <c r="D241" s="110"/>
      <c r="E241" s="110"/>
      <c r="F241" s="19" t="str">
        <f t="shared" si="3"/>
        <v/>
      </c>
      <c r="G241" s="2"/>
    </row>
    <row r="242" spans="2:7" ht="15" customHeight="1" x14ac:dyDescent="0.25">
      <c r="B242" s="1"/>
      <c r="C242" s="113">
        <v>225</v>
      </c>
      <c r="D242" s="110"/>
      <c r="E242" s="110"/>
      <c r="F242" s="19" t="str">
        <f t="shared" si="3"/>
        <v/>
      </c>
      <c r="G242" s="2"/>
    </row>
    <row r="243" spans="2:7" ht="15" customHeight="1" x14ac:dyDescent="0.25">
      <c r="B243" s="1"/>
      <c r="C243" s="113">
        <v>226</v>
      </c>
      <c r="D243" s="110"/>
      <c r="E243" s="110"/>
      <c r="F243" s="19" t="str">
        <f t="shared" si="3"/>
        <v/>
      </c>
      <c r="G243" s="2"/>
    </row>
    <row r="244" spans="2:7" ht="15" customHeight="1" x14ac:dyDescent="0.25">
      <c r="B244" s="1"/>
      <c r="C244" s="113">
        <v>227</v>
      </c>
      <c r="D244" s="110"/>
      <c r="E244" s="110"/>
      <c r="F244" s="19" t="str">
        <f t="shared" si="3"/>
        <v/>
      </c>
      <c r="G244" s="2"/>
    </row>
    <row r="245" spans="2:7" ht="15" customHeight="1" x14ac:dyDescent="0.25">
      <c r="B245" s="1"/>
      <c r="C245" s="113">
        <v>228</v>
      </c>
      <c r="D245" s="110"/>
      <c r="E245" s="110"/>
      <c r="F245" s="19" t="str">
        <f t="shared" si="3"/>
        <v/>
      </c>
      <c r="G245" s="2"/>
    </row>
    <row r="246" spans="2:7" ht="15" customHeight="1" x14ac:dyDescent="0.25">
      <c r="B246" s="1"/>
      <c r="C246" s="113">
        <v>229</v>
      </c>
      <c r="D246" s="110"/>
      <c r="E246" s="110"/>
      <c r="F246" s="19" t="str">
        <f t="shared" si="3"/>
        <v/>
      </c>
      <c r="G246" s="2"/>
    </row>
    <row r="247" spans="2:7" ht="15" customHeight="1" x14ac:dyDescent="0.25">
      <c r="B247" s="1"/>
      <c r="C247" s="113">
        <v>230</v>
      </c>
      <c r="D247" s="110"/>
      <c r="E247" s="110"/>
      <c r="F247" s="19" t="str">
        <f t="shared" si="3"/>
        <v/>
      </c>
      <c r="G247" s="2"/>
    </row>
    <row r="248" spans="2:7" ht="15" customHeight="1" x14ac:dyDescent="0.25">
      <c r="B248" s="1"/>
      <c r="C248" s="113">
        <v>231</v>
      </c>
      <c r="D248" s="110"/>
      <c r="E248" s="110"/>
      <c r="F248" s="19" t="str">
        <f t="shared" si="3"/>
        <v/>
      </c>
      <c r="G248" s="2"/>
    </row>
    <row r="249" spans="2:7" ht="15" customHeight="1" x14ac:dyDescent="0.25">
      <c r="B249" s="1"/>
      <c r="C249" s="113">
        <v>232</v>
      </c>
      <c r="D249" s="110"/>
      <c r="E249" s="110"/>
      <c r="F249" s="19" t="str">
        <f t="shared" si="3"/>
        <v/>
      </c>
      <c r="G249" s="2"/>
    </row>
    <row r="250" spans="2:7" ht="15" customHeight="1" x14ac:dyDescent="0.25">
      <c r="B250" s="1"/>
      <c r="C250" s="113">
        <v>233</v>
      </c>
      <c r="D250" s="110"/>
      <c r="E250" s="110"/>
      <c r="F250" s="19" t="str">
        <f t="shared" si="3"/>
        <v/>
      </c>
      <c r="G250" s="2"/>
    </row>
    <row r="251" spans="2:7" ht="15" customHeight="1" x14ac:dyDescent="0.25">
      <c r="B251" s="1"/>
      <c r="C251" s="113">
        <v>234</v>
      </c>
      <c r="D251" s="110"/>
      <c r="E251" s="110"/>
      <c r="F251" s="19" t="str">
        <f t="shared" si="3"/>
        <v/>
      </c>
      <c r="G251" s="2"/>
    </row>
    <row r="252" spans="2:7" ht="15" customHeight="1" x14ac:dyDescent="0.25">
      <c r="B252" s="1"/>
      <c r="C252" s="113">
        <v>235</v>
      </c>
      <c r="D252" s="110"/>
      <c r="E252" s="110"/>
      <c r="F252" s="19" t="str">
        <f t="shared" si="3"/>
        <v/>
      </c>
      <c r="G252" s="2"/>
    </row>
    <row r="253" spans="2:7" ht="15" customHeight="1" x14ac:dyDescent="0.25">
      <c r="B253" s="1"/>
      <c r="C253" s="113">
        <v>236</v>
      </c>
      <c r="D253" s="110"/>
      <c r="E253" s="110"/>
      <c r="F253" s="19" t="str">
        <f t="shared" si="3"/>
        <v/>
      </c>
      <c r="G253" s="2"/>
    </row>
    <row r="254" spans="2:7" ht="15" customHeight="1" x14ac:dyDescent="0.25">
      <c r="B254" s="1"/>
      <c r="C254" s="113">
        <v>237</v>
      </c>
      <c r="D254" s="110"/>
      <c r="E254" s="110"/>
      <c r="F254" s="19" t="str">
        <f t="shared" si="3"/>
        <v/>
      </c>
      <c r="G254" s="2"/>
    </row>
    <row r="255" spans="2:7" ht="15" customHeight="1" x14ac:dyDescent="0.25">
      <c r="B255" s="1"/>
      <c r="C255" s="113">
        <v>238</v>
      </c>
      <c r="D255" s="110"/>
      <c r="E255" s="110"/>
      <c r="F255" s="19" t="str">
        <f t="shared" si="3"/>
        <v/>
      </c>
      <c r="G255" s="2"/>
    </row>
    <row r="256" spans="2:7" ht="15" customHeight="1" x14ac:dyDescent="0.25">
      <c r="B256" s="1"/>
      <c r="C256" s="113">
        <v>239</v>
      </c>
      <c r="D256" s="110"/>
      <c r="E256" s="110"/>
      <c r="F256" s="19" t="str">
        <f t="shared" si="3"/>
        <v/>
      </c>
      <c r="G256" s="2"/>
    </row>
    <row r="257" spans="2:7" ht="15" customHeight="1" x14ac:dyDescent="0.25">
      <c r="B257" s="1"/>
      <c r="C257" s="113">
        <v>240</v>
      </c>
      <c r="D257" s="110"/>
      <c r="E257" s="110"/>
      <c r="F257" s="19" t="str">
        <f t="shared" si="3"/>
        <v/>
      </c>
      <c r="G257" s="2"/>
    </row>
    <row r="258" spans="2:7" ht="15" customHeight="1" x14ac:dyDescent="0.25">
      <c r="B258" s="1"/>
      <c r="C258" s="113">
        <v>241</v>
      </c>
      <c r="D258" s="110"/>
      <c r="E258" s="110"/>
      <c r="F258" s="19" t="str">
        <f t="shared" si="3"/>
        <v/>
      </c>
      <c r="G258" s="2"/>
    </row>
    <row r="259" spans="2:7" ht="15" customHeight="1" x14ac:dyDescent="0.25">
      <c r="B259" s="1"/>
      <c r="C259" s="113">
        <v>242</v>
      </c>
      <c r="D259" s="110"/>
      <c r="E259" s="110"/>
      <c r="F259" s="19" t="str">
        <f t="shared" si="3"/>
        <v/>
      </c>
      <c r="G259" s="2"/>
    </row>
    <row r="260" spans="2:7" ht="15" customHeight="1" x14ac:dyDescent="0.25">
      <c r="B260" s="1"/>
      <c r="C260" s="113">
        <v>243</v>
      </c>
      <c r="D260" s="110"/>
      <c r="E260" s="110"/>
      <c r="F260" s="19" t="str">
        <f t="shared" si="3"/>
        <v/>
      </c>
      <c r="G260" s="2"/>
    </row>
    <row r="261" spans="2:7" ht="15" customHeight="1" x14ac:dyDescent="0.25">
      <c r="B261" s="1"/>
      <c r="C261" s="113">
        <v>244</v>
      </c>
      <c r="D261" s="110"/>
      <c r="E261" s="110"/>
      <c r="F261" s="19" t="str">
        <f t="shared" si="3"/>
        <v/>
      </c>
      <c r="G261" s="2"/>
    </row>
    <row r="262" spans="2:7" ht="15" customHeight="1" x14ac:dyDescent="0.25">
      <c r="B262" s="1"/>
      <c r="C262" s="113">
        <v>245</v>
      </c>
      <c r="D262" s="110"/>
      <c r="E262" s="110"/>
      <c r="F262" s="19" t="str">
        <f t="shared" si="3"/>
        <v/>
      </c>
      <c r="G262" s="2"/>
    </row>
    <row r="263" spans="2:7" ht="15" customHeight="1" x14ac:dyDescent="0.25">
      <c r="B263" s="1"/>
      <c r="C263" s="113">
        <v>246</v>
      </c>
      <c r="D263" s="110"/>
      <c r="E263" s="110"/>
      <c r="F263" s="19" t="str">
        <f t="shared" si="3"/>
        <v/>
      </c>
      <c r="G263" s="2"/>
    </row>
    <row r="264" spans="2:7" ht="15" customHeight="1" x14ac:dyDescent="0.25">
      <c r="B264" s="1"/>
      <c r="C264" s="113">
        <v>247</v>
      </c>
      <c r="D264" s="110"/>
      <c r="E264" s="110"/>
      <c r="F264" s="19" t="str">
        <f t="shared" si="3"/>
        <v/>
      </c>
      <c r="G264" s="2"/>
    </row>
    <row r="265" spans="2:7" ht="15" customHeight="1" x14ac:dyDescent="0.25">
      <c r="B265" s="1"/>
      <c r="C265" s="113">
        <v>248</v>
      </c>
      <c r="D265" s="110"/>
      <c r="E265" s="110"/>
      <c r="F265" s="19" t="str">
        <f t="shared" si="3"/>
        <v/>
      </c>
      <c r="G265" s="2"/>
    </row>
    <row r="266" spans="2:7" ht="15" customHeight="1" x14ac:dyDescent="0.25">
      <c r="B266" s="1"/>
      <c r="C266" s="113">
        <v>249</v>
      </c>
      <c r="D266" s="110"/>
      <c r="E266" s="110"/>
      <c r="F266" s="19" t="str">
        <f t="shared" si="3"/>
        <v/>
      </c>
      <c r="G266" s="2"/>
    </row>
    <row r="267" spans="2:7" ht="15" customHeight="1" x14ac:dyDescent="0.25">
      <c r="B267" s="1"/>
      <c r="C267" s="113">
        <v>250</v>
      </c>
      <c r="D267" s="110"/>
      <c r="E267" s="110"/>
      <c r="F267" s="19" t="str">
        <f t="shared" si="3"/>
        <v/>
      </c>
      <c r="G267" s="2"/>
    </row>
    <row r="268" spans="2:7" ht="15" customHeight="1" x14ac:dyDescent="0.25">
      <c r="B268" s="1"/>
      <c r="C268" s="113">
        <v>251</v>
      </c>
      <c r="D268" s="110"/>
      <c r="E268" s="110"/>
      <c r="F268" s="19" t="str">
        <f t="shared" si="3"/>
        <v/>
      </c>
      <c r="G268" s="2"/>
    </row>
    <row r="269" spans="2:7" ht="15" customHeight="1" x14ac:dyDescent="0.25">
      <c r="B269" s="1"/>
      <c r="C269" s="113">
        <v>252</v>
      </c>
      <c r="D269" s="110"/>
      <c r="E269" s="110"/>
      <c r="F269" s="19" t="str">
        <f t="shared" si="3"/>
        <v/>
      </c>
      <c r="G269" s="2"/>
    </row>
    <row r="270" spans="2:7" ht="15" customHeight="1" x14ac:dyDescent="0.25">
      <c r="B270" s="1"/>
      <c r="C270" s="113">
        <v>253</v>
      </c>
      <c r="D270" s="110"/>
      <c r="E270" s="110"/>
      <c r="F270" s="19" t="str">
        <f t="shared" si="3"/>
        <v/>
      </c>
      <c r="G270" s="2"/>
    </row>
    <row r="271" spans="2:7" ht="15" customHeight="1" x14ac:dyDescent="0.25">
      <c r="B271" s="1"/>
      <c r="C271" s="113">
        <v>254</v>
      </c>
      <c r="D271" s="110"/>
      <c r="E271" s="110"/>
      <c r="F271" s="19" t="str">
        <f t="shared" si="3"/>
        <v/>
      </c>
      <c r="G271" s="2"/>
    </row>
    <row r="272" spans="2:7" ht="15" customHeight="1" x14ac:dyDescent="0.25">
      <c r="B272" s="1"/>
      <c r="C272" s="113">
        <v>255</v>
      </c>
      <c r="D272" s="110"/>
      <c r="E272" s="110"/>
      <c r="F272" s="19" t="str">
        <f t="shared" si="3"/>
        <v/>
      </c>
      <c r="G272" s="2"/>
    </row>
    <row r="273" spans="2:7" ht="15" customHeight="1" x14ac:dyDescent="0.25">
      <c r="B273" s="1"/>
      <c r="C273" s="113">
        <v>256</v>
      </c>
      <c r="D273" s="110"/>
      <c r="E273" s="110"/>
      <c r="F273" s="19" t="str">
        <f t="shared" si="3"/>
        <v/>
      </c>
      <c r="G273" s="2"/>
    </row>
    <row r="274" spans="2:7" ht="15" customHeight="1" x14ac:dyDescent="0.25">
      <c r="B274" s="1"/>
      <c r="C274" s="113">
        <v>257</v>
      </c>
      <c r="D274" s="110"/>
      <c r="E274" s="110"/>
      <c r="F274" s="19" t="str">
        <f t="shared" si="3"/>
        <v/>
      </c>
      <c r="G274" s="2"/>
    </row>
    <row r="275" spans="2:7" ht="15" customHeight="1" x14ac:dyDescent="0.25">
      <c r="B275" s="1"/>
      <c r="C275" s="113">
        <v>258</v>
      </c>
      <c r="D275" s="110"/>
      <c r="E275" s="110"/>
      <c r="F275" s="19" t="str">
        <f t="shared" ref="F275:F338" si="4">IFERROR(IF(AND(LEFT(D275,6)=LEFT(E275,6),RIGHT(E275,9)-RIGHT(D275,9)&gt;=0),RIGHT(E275,9)-RIGHT(D275,9)+1,""),"")</f>
        <v/>
      </c>
      <c r="G275" s="2"/>
    </row>
    <row r="276" spans="2:7" ht="15" customHeight="1" x14ac:dyDescent="0.25">
      <c r="B276" s="1"/>
      <c r="C276" s="113">
        <v>259</v>
      </c>
      <c r="D276" s="110"/>
      <c r="E276" s="110"/>
      <c r="F276" s="19" t="str">
        <f t="shared" si="4"/>
        <v/>
      </c>
      <c r="G276" s="2"/>
    </row>
    <row r="277" spans="2:7" ht="15" customHeight="1" x14ac:dyDescent="0.25">
      <c r="B277" s="1"/>
      <c r="C277" s="113">
        <v>260</v>
      </c>
      <c r="D277" s="110"/>
      <c r="E277" s="110"/>
      <c r="F277" s="19" t="str">
        <f t="shared" si="4"/>
        <v/>
      </c>
      <c r="G277" s="2"/>
    </row>
    <row r="278" spans="2:7" ht="15" customHeight="1" x14ac:dyDescent="0.25">
      <c r="B278" s="1"/>
      <c r="C278" s="113">
        <v>261</v>
      </c>
      <c r="D278" s="110"/>
      <c r="E278" s="110"/>
      <c r="F278" s="19" t="str">
        <f t="shared" si="4"/>
        <v/>
      </c>
      <c r="G278" s="2"/>
    </row>
    <row r="279" spans="2:7" ht="15" customHeight="1" x14ac:dyDescent="0.25">
      <c r="B279" s="1"/>
      <c r="C279" s="113">
        <v>262</v>
      </c>
      <c r="D279" s="110"/>
      <c r="E279" s="110"/>
      <c r="F279" s="19" t="str">
        <f t="shared" si="4"/>
        <v/>
      </c>
      <c r="G279" s="2"/>
    </row>
    <row r="280" spans="2:7" ht="15" customHeight="1" x14ac:dyDescent="0.25">
      <c r="B280" s="1"/>
      <c r="C280" s="113">
        <v>263</v>
      </c>
      <c r="D280" s="110"/>
      <c r="E280" s="110"/>
      <c r="F280" s="19" t="str">
        <f t="shared" si="4"/>
        <v/>
      </c>
      <c r="G280" s="2"/>
    </row>
    <row r="281" spans="2:7" ht="15" customHeight="1" x14ac:dyDescent="0.25">
      <c r="B281" s="1"/>
      <c r="C281" s="113">
        <v>264</v>
      </c>
      <c r="D281" s="110"/>
      <c r="E281" s="110"/>
      <c r="F281" s="19" t="str">
        <f t="shared" si="4"/>
        <v/>
      </c>
      <c r="G281" s="2"/>
    </row>
    <row r="282" spans="2:7" ht="15" customHeight="1" x14ac:dyDescent="0.25">
      <c r="B282" s="1"/>
      <c r="C282" s="113">
        <v>265</v>
      </c>
      <c r="D282" s="110"/>
      <c r="E282" s="110"/>
      <c r="F282" s="19" t="str">
        <f t="shared" si="4"/>
        <v/>
      </c>
      <c r="G282" s="2"/>
    </row>
    <row r="283" spans="2:7" ht="15" customHeight="1" x14ac:dyDescent="0.25">
      <c r="B283" s="1"/>
      <c r="C283" s="113">
        <v>266</v>
      </c>
      <c r="D283" s="110"/>
      <c r="E283" s="110"/>
      <c r="F283" s="19" t="str">
        <f t="shared" si="4"/>
        <v/>
      </c>
      <c r="G283" s="2"/>
    </row>
    <row r="284" spans="2:7" ht="15" customHeight="1" x14ac:dyDescent="0.25">
      <c r="B284" s="1"/>
      <c r="C284" s="113">
        <v>267</v>
      </c>
      <c r="D284" s="110"/>
      <c r="E284" s="110"/>
      <c r="F284" s="19" t="str">
        <f t="shared" si="4"/>
        <v/>
      </c>
      <c r="G284" s="2"/>
    </row>
    <row r="285" spans="2:7" ht="15" customHeight="1" x14ac:dyDescent="0.25">
      <c r="B285" s="1"/>
      <c r="C285" s="113">
        <v>268</v>
      </c>
      <c r="D285" s="110"/>
      <c r="E285" s="110"/>
      <c r="F285" s="19" t="str">
        <f t="shared" si="4"/>
        <v/>
      </c>
      <c r="G285" s="2"/>
    </row>
    <row r="286" spans="2:7" ht="15" customHeight="1" x14ac:dyDescent="0.25">
      <c r="B286" s="1"/>
      <c r="C286" s="113">
        <v>269</v>
      </c>
      <c r="D286" s="110"/>
      <c r="E286" s="110"/>
      <c r="F286" s="19" t="str">
        <f t="shared" si="4"/>
        <v/>
      </c>
      <c r="G286" s="2"/>
    </row>
    <row r="287" spans="2:7" ht="15" customHeight="1" x14ac:dyDescent="0.25">
      <c r="B287" s="1"/>
      <c r="C287" s="113">
        <v>270</v>
      </c>
      <c r="D287" s="110"/>
      <c r="E287" s="110"/>
      <c r="F287" s="19" t="str">
        <f t="shared" si="4"/>
        <v/>
      </c>
      <c r="G287" s="2"/>
    </row>
    <row r="288" spans="2:7" ht="15" customHeight="1" x14ac:dyDescent="0.25">
      <c r="B288" s="1"/>
      <c r="C288" s="113">
        <v>271</v>
      </c>
      <c r="D288" s="110"/>
      <c r="E288" s="110"/>
      <c r="F288" s="19" t="str">
        <f t="shared" si="4"/>
        <v/>
      </c>
      <c r="G288" s="2"/>
    </row>
    <row r="289" spans="2:7" ht="15" customHeight="1" x14ac:dyDescent="0.25">
      <c r="B289" s="1"/>
      <c r="C289" s="113">
        <v>272</v>
      </c>
      <c r="D289" s="110"/>
      <c r="E289" s="110"/>
      <c r="F289" s="19" t="str">
        <f t="shared" si="4"/>
        <v/>
      </c>
      <c r="G289" s="2"/>
    </row>
    <row r="290" spans="2:7" ht="15" customHeight="1" x14ac:dyDescent="0.25">
      <c r="B290" s="1"/>
      <c r="C290" s="113">
        <v>273</v>
      </c>
      <c r="D290" s="110"/>
      <c r="E290" s="110"/>
      <c r="F290" s="19" t="str">
        <f t="shared" si="4"/>
        <v/>
      </c>
      <c r="G290" s="2"/>
    </row>
    <row r="291" spans="2:7" ht="15" customHeight="1" x14ac:dyDescent="0.25">
      <c r="B291" s="1"/>
      <c r="C291" s="113">
        <v>274</v>
      </c>
      <c r="D291" s="110"/>
      <c r="E291" s="110"/>
      <c r="F291" s="19" t="str">
        <f t="shared" si="4"/>
        <v/>
      </c>
      <c r="G291" s="2"/>
    </row>
    <row r="292" spans="2:7" ht="15" customHeight="1" x14ac:dyDescent="0.25">
      <c r="B292" s="1"/>
      <c r="C292" s="113">
        <v>275</v>
      </c>
      <c r="D292" s="110"/>
      <c r="E292" s="110"/>
      <c r="F292" s="19" t="str">
        <f t="shared" si="4"/>
        <v/>
      </c>
      <c r="G292" s="2"/>
    </row>
    <row r="293" spans="2:7" ht="15" customHeight="1" x14ac:dyDescent="0.25">
      <c r="B293" s="1"/>
      <c r="C293" s="113">
        <v>276</v>
      </c>
      <c r="D293" s="110"/>
      <c r="E293" s="110"/>
      <c r="F293" s="19" t="str">
        <f t="shared" si="4"/>
        <v/>
      </c>
      <c r="G293" s="2"/>
    </row>
    <row r="294" spans="2:7" ht="15" customHeight="1" x14ac:dyDescent="0.25">
      <c r="B294" s="1"/>
      <c r="C294" s="113">
        <v>277</v>
      </c>
      <c r="D294" s="110"/>
      <c r="E294" s="110"/>
      <c r="F294" s="19" t="str">
        <f t="shared" si="4"/>
        <v/>
      </c>
      <c r="G294" s="2"/>
    </row>
    <row r="295" spans="2:7" ht="15" customHeight="1" x14ac:dyDescent="0.25">
      <c r="B295" s="1"/>
      <c r="C295" s="113">
        <v>278</v>
      </c>
      <c r="D295" s="110"/>
      <c r="E295" s="110"/>
      <c r="F295" s="19" t="str">
        <f t="shared" si="4"/>
        <v/>
      </c>
      <c r="G295" s="2"/>
    </row>
    <row r="296" spans="2:7" ht="15" customHeight="1" x14ac:dyDescent="0.25">
      <c r="B296" s="1"/>
      <c r="C296" s="113">
        <v>279</v>
      </c>
      <c r="D296" s="110"/>
      <c r="E296" s="110"/>
      <c r="F296" s="19" t="str">
        <f t="shared" si="4"/>
        <v/>
      </c>
      <c r="G296" s="2"/>
    </row>
    <row r="297" spans="2:7" ht="15" customHeight="1" x14ac:dyDescent="0.25">
      <c r="B297" s="1"/>
      <c r="C297" s="113">
        <v>280</v>
      </c>
      <c r="D297" s="110"/>
      <c r="E297" s="110"/>
      <c r="F297" s="19" t="str">
        <f t="shared" si="4"/>
        <v/>
      </c>
      <c r="G297" s="2"/>
    </row>
    <row r="298" spans="2:7" ht="15" customHeight="1" x14ac:dyDescent="0.25">
      <c r="B298" s="1"/>
      <c r="C298" s="113">
        <v>281</v>
      </c>
      <c r="D298" s="110"/>
      <c r="E298" s="110"/>
      <c r="F298" s="19" t="str">
        <f t="shared" si="4"/>
        <v/>
      </c>
      <c r="G298" s="2"/>
    </row>
    <row r="299" spans="2:7" ht="15" customHeight="1" x14ac:dyDescent="0.25">
      <c r="B299" s="1"/>
      <c r="C299" s="113">
        <v>282</v>
      </c>
      <c r="D299" s="110"/>
      <c r="E299" s="110"/>
      <c r="F299" s="19" t="str">
        <f t="shared" si="4"/>
        <v/>
      </c>
      <c r="G299" s="2"/>
    </row>
    <row r="300" spans="2:7" ht="15" customHeight="1" x14ac:dyDescent="0.25">
      <c r="B300" s="1"/>
      <c r="C300" s="113">
        <v>283</v>
      </c>
      <c r="D300" s="110"/>
      <c r="E300" s="110"/>
      <c r="F300" s="19" t="str">
        <f t="shared" si="4"/>
        <v/>
      </c>
      <c r="G300" s="2"/>
    </row>
    <row r="301" spans="2:7" ht="15" customHeight="1" x14ac:dyDescent="0.25">
      <c r="B301" s="1"/>
      <c r="C301" s="113">
        <v>284</v>
      </c>
      <c r="D301" s="110"/>
      <c r="E301" s="110"/>
      <c r="F301" s="19" t="str">
        <f t="shared" si="4"/>
        <v/>
      </c>
      <c r="G301" s="2"/>
    </row>
    <row r="302" spans="2:7" ht="15" customHeight="1" x14ac:dyDescent="0.25">
      <c r="B302" s="1"/>
      <c r="C302" s="113">
        <v>285</v>
      </c>
      <c r="D302" s="110"/>
      <c r="E302" s="110"/>
      <c r="F302" s="19" t="str">
        <f t="shared" si="4"/>
        <v/>
      </c>
      <c r="G302" s="2"/>
    </row>
    <row r="303" spans="2:7" ht="15" customHeight="1" x14ac:dyDescent="0.25">
      <c r="B303" s="1"/>
      <c r="C303" s="113">
        <v>286</v>
      </c>
      <c r="D303" s="110"/>
      <c r="E303" s="110"/>
      <c r="F303" s="19" t="str">
        <f t="shared" si="4"/>
        <v/>
      </c>
      <c r="G303" s="2"/>
    </row>
    <row r="304" spans="2:7" ht="15" customHeight="1" x14ac:dyDescent="0.25">
      <c r="B304" s="1"/>
      <c r="C304" s="113">
        <v>287</v>
      </c>
      <c r="D304" s="110"/>
      <c r="E304" s="110"/>
      <c r="F304" s="19" t="str">
        <f t="shared" si="4"/>
        <v/>
      </c>
      <c r="G304" s="2"/>
    </row>
    <row r="305" spans="2:7" ht="15" customHeight="1" x14ac:dyDescent="0.25">
      <c r="B305" s="1"/>
      <c r="C305" s="113">
        <v>288</v>
      </c>
      <c r="D305" s="110"/>
      <c r="E305" s="110"/>
      <c r="F305" s="19" t="str">
        <f t="shared" si="4"/>
        <v/>
      </c>
      <c r="G305" s="2"/>
    </row>
    <row r="306" spans="2:7" ht="15" customHeight="1" x14ac:dyDescent="0.25">
      <c r="B306" s="1"/>
      <c r="C306" s="113">
        <v>289</v>
      </c>
      <c r="D306" s="110"/>
      <c r="E306" s="110"/>
      <c r="F306" s="19" t="str">
        <f t="shared" si="4"/>
        <v/>
      </c>
      <c r="G306" s="2"/>
    </row>
    <row r="307" spans="2:7" ht="15" customHeight="1" x14ac:dyDescent="0.25">
      <c r="B307" s="1"/>
      <c r="C307" s="113">
        <v>290</v>
      </c>
      <c r="D307" s="110"/>
      <c r="E307" s="110"/>
      <c r="F307" s="19" t="str">
        <f t="shared" si="4"/>
        <v/>
      </c>
      <c r="G307" s="2"/>
    </row>
    <row r="308" spans="2:7" ht="15" customHeight="1" x14ac:dyDescent="0.25">
      <c r="B308" s="1"/>
      <c r="C308" s="113">
        <v>291</v>
      </c>
      <c r="D308" s="110"/>
      <c r="E308" s="110"/>
      <c r="F308" s="19" t="str">
        <f t="shared" si="4"/>
        <v/>
      </c>
      <c r="G308" s="2"/>
    </row>
    <row r="309" spans="2:7" ht="15" customHeight="1" x14ac:dyDescent="0.25">
      <c r="B309" s="1"/>
      <c r="C309" s="113">
        <v>292</v>
      </c>
      <c r="D309" s="110"/>
      <c r="E309" s="110"/>
      <c r="F309" s="19" t="str">
        <f t="shared" si="4"/>
        <v/>
      </c>
      <c r="G309" s="2"/>
    </row>
    <row r="310" spans="2:7" ht="15" customHeight="1" x14ac:dyDescent="0.25">
      <c r="B310" s="1"/>
      <c r="C310" s="113">
        <v>293</v>
      </c>
      <c r="D310" s="110"/>
      <c r="E310" s="110"/>
      <c r="F310" s="19" t="str">
        <f t="shared" si="4"/>
        <v/>
      </c>
      <c r="G310" s="2"/>
    </row>
    <row r="311" spans="2:7" ht="15" customHeight="1" x14ac:dyDescent="0.25">
      <c r="B311" s="1"/>
      <c r="C311" s="113">
        <v>294</v>
      </c>
      <c r="D311" s="110"/>
      <c r="E311" s="110"/>
      <c r="F311" s="19" t="str">
        <f t="shared" si="4"/>
        <v/>
      </c>
      <c r="G311" s="2"/>
    </row>
    <row r="312" spans="2:7" ht="15" customHeight="1" x14ac:dyDescent="0.25">
      <c r="B312" s="1"/>
      <c r="C312" s="113">
        <v>295</v>
      </c>
      <c r="D312" s="110"/>
      <c r="E312" s="110"/>
      <c r="F312" s="19" t="str">
        <f t="shared" si="4"/>
        <v/>
      </c>
      <c r="G312" s="2"/>
    </row>
    <row r="313" spans="2:7" ht="15" customHeight="1" x14ac:dyDescent="0.25">
      <c r="B313" s="1"/>
      <c r="C313" s="113">
        <v>296</v>
      </c>
      <c r="D313" s="110"/>
      <c r="E313" s="110"/>
      <c r="F313" s="19" t="str">
        <f t="shared" si="4"/>
        <v/>
      </c>
      <c r="G313" s="2"/>
    </row>
    <row r="314" spans="2:7" ht="15" customHeight="1" x14ac:dyDescent="0.25">
      <c r="B314" s="1"/>
      <c r="C314" s="113">
        <v>297</v>
      </c>
      <c r="D314" s="110"/>
      <c r="E314" s="110"/>
      <c r="F314" s="19" t="str">
        <f t="shared" si="4"/>
        <v/>
      </c>
      <c r="G314" s="2"/>
    </row>
    <row r="315" spans="2:7" ht="15" customHeight="1" x14ac:dyDescent="0.25">
      <c r="B315" s="1"/>
      <c r="C315" s="113">
        <v>298</v>
      </c>
      <c r="D315" s="110"/>
      <c r="E315" s="110"/>
      <c r="F315" s="19" t="str">
        <f t="shared" si="4"/>
        <v/>
      </c>
      <c r="G315" s="2"/>
    </row>
    <row r="316" spans="2:7" ht="15" customHeight="1" x14ac:dyDescent="0.25">
      <c r="B316" s="1"/>
      <c r="C316" s="113">
        <v>299</v>
      </c>
      <c r="D316" s="110"/>
      <c r="E316" s="110"/>
      <c r="F316" s="19" t="str">
        <f t="shared" si="4"/>
        <v/>
      </c>
      <c r="G316" s="2"/>
    </row>
    <row r="317" spans="2:7" ht="15" customHeight="1" x14ac:dyDescent="0.25">
      <c r="B317" s="1"/>
      <c r="C317" s="113">
        <v>300</v>
      </c>
      <c r="D317" s="110"/>
      <c r="E317" s="110"/>
      <c r="F317" s="19" t="str">
        <f t="shared" si="4"/>
        <v/>
      </c>
      <c r="G317" s="2"/>
    </row>
    <row r="318" spans="2:7" ht="15" customHeight="1" x14ac:dyDescent="0.25">
      <c r="B318" s="1"/>
      <c r="C318" s="113">
        <v>301</v>
      </c>
      <c r="D318" s="110"/>
      <c r="E318" s="110"/>
      <c r="F318" s="19" t="str">
        <f t="shared" si="4"/>
        <v/>
      </c>
      <c r="G318" s="2"/>
    </row>
    <row r="319" spans="2:7" ht="15" customHeight="1" x14ac:dyDescent="0.25">
      <c r="B319" s="1"/>
      <c r="C319" s="113">
        <v>302</v>
      </c>
      <c r="D319" s="110"/>
      <c r="E319" s="110"/>
      <c r="F319" s="19" t="str">
        <f t="shared" si="4"/>
        <v/>
      </c>
      <c r="G319" s="2"/>
    </row>
    <row r="320" spans="2:7" ht="15" customHeight="1" x14ac:dyDescent="0.25">
      <c r="B320" s="1"/>
      <c r="C320" s="113">
        <v>303</v>
      </c>
      <c r="D320" s="110"/>
      <c r="E320" s="110"/>
      <c r="F320" s="19" t="str">
        <f t="shared" si="4"/>
        <v/>
      </c>
      <c r="G320" s="2"/>
    </row>
    <row r="321" spans="2:7" ht="15" customHeight="1" x14ac:dyDescent="0.25">
      <c r="B321" s="1"/>
      <c r="C321" s="113">
        <v>304</v>
      </c>
      <c r="D321" s="110"/>
      <c r="E321" s="110"/>
      <c r="F321" s="19" t="str">
        <f t="shared" si="4"/>
        <v/>
      </c>
      <c r="G321" s="2"/>
    </row>
    <row r="322" spans="2:7" ht="15" customHeight="1" x14ac:dyDescent="0.25">
      <c r="B322" s="1"/>
      <c r="C322" s="113">
        <v>305</v>
      </c>
      <c r="D322" s="110"/>
      <c r="E322" s="110"/>
      <c r="F322" s="19" t="str">
        <f t="shared" si="4"/>
        <v/>
      </c>
      <c r="G322" s="2"/>
    </row>
    <row r="323" spans="2:7" ht="15" customHeight="1" x14ac:dyDescent="0.25">
      <c r="B323" s="1"/>
      <c r="C323" s="113">
        <v>306</v>
      </c>
      <c r="D323" s="110"/>
      <c r="E323" s="110"/>
      <c r="F323" s="19" t="str">
        <f t="shared" si="4"/>
        <v/>
      </c>
      <c r="G323" s="2"/>
    </row>
    <row r="324" spans="2:7" ht="15" customHeight="1" x14ac:dyDescent="0.25">
      <c r="B324" s="1"/>
      <c r="C324" s="113">
        <v>307</v>
      </c>
      <c r="D324" s="110"/>
      <c r="E324" s="110"/>
      <c r="F324" s="19" t="str">
        <f t="shared" si="4"/>
        <v/>
      </c>
      <c r="G324" s="2"/>
    </row>
    <row r="325" spans="2:7" ht="15" customHeight="1" x14ac:dyDescent="0.25">
      <c r="B325" s="1"/>
      <c r="C325" s="113">
        <v>308</v>
      </c>
      <c r="D325" s="110"/>
      <c r="E325" s="110"/>
      <c r="F325" s="19" t="str">
        <f t="shared" si="4"/>
        <v/>
      </c>
      <c r="G325" s="2"/>
    </row>
    <row r="326" spans="2:7" ht="15" customHeight="1" x14ac:dyDescent="0.25">
      <c r="B326" s="1"/>
      <c r="C326" s="113">
        <v>309</v>
      </c>
      <c r="D326" s="110"/>
      <c r="E326" s="110"/>
      <c r="F326" s="19" t="str">
        <f t="shared" si="4"/>
        <v/>
      </c>
      <c r="G326" s="2"/>
    </row>
    <row r="327" spans="2:7" ht="15" customHeight="1" x14ac:dyDescent="0.25">
      <c r="B327" s="1"/>
      <c r="C327" s="113">
        <v>310</v>
      </c>
      <c r="D327" s="110"/>
      <c r="E327" s="110"/>
      <c r="F327" s="19" t="str">
        <f t="shared" si="4"/>
        <v/>
      </c>
      <c r="G327" s="2"/>
    </row>
    <row r="328" spans="2:7" ht="15" customHeight="1" x14ac:dyDescent="0.25">
      <c r="B328" s="1"/>
      <c r="C328" s="113">
        <v>311</v>
      </c>
      <c r="D328" s="110"/>
      <c r="E328" s="110"/>
      <c r="F328" s="19" t="str">
        <f t="shared" si="4"/>
        <v/>
      </c>
      <c r="G328" s="2"/>
    </row>
    <row r="329" spans="2:7" ht="15" customHeight="1" x14ac:dyDescent="0.25">
      <c r="B329" s="1"/>
      <c r="C329" s="113">
        <v>312</v>
      </c>
      <c r="D329" s="110"/>
      <c r="E329" s="110"/>
      <c r="F329" s="19" t="str">
        <f t="shared" si="4"/>
        <v/>
      </c>
      <c r="G329" s="2"/>
    </row>
    <row r="330" spans="2:7" ht="15" customHeight="1" x14ac:dyDescent="0.25">
      <c r="B330" s="1"/>
      <c r="C330" s="113">
        <v>313</v>
      </c>
      <c r="D330" s="110"/>
      <c r="E330" s="110"/>
      <c r="F330" s="19" t="str">
        <f t="shared" si="4"/>
        <v/>
      </c>
      <c r="G330" s="2"/>
    </row>
    <row r="331" spans="2:7" ht="15" customHeight="1" x14ac:dyDescent="0.25">
      <c r="B331" s="1"/>
      <c r="C331" s="113">
        <v>314</v>
      </c>
      <c r="D331" s="110"/>
      <c r="E331" s="110"/>
      <c r="F331" s="19" t="str">
        <f t="shared" si="4"/>
        <v/>
      </c>
      <c r="G331" s="2"/>
    </row>
    <row r="332" spans="2:7" ht="15" customHeight="1" x14ac:dyDescent="0.25">
      <c r="B332" s="1"/>
      <c r="C332" s="113">
        <v>315</v>
      </c>
      <c r="D332" s="110"/>
      <c r="E332" s="110"/>
      <c r="F332" s="19" t="str">
        <f t="shared" si="4"/>
        <v/>
      </c>
      <c r="G332" s="2"/>
    </row>
    <row r="333" spans="2:7" ht="15" customHeight="1" x14ac:dyDescent="0.25">
      <c r="B333" s="1"/>
      <c r="C333" s="113">
        <v>316</v>
      </c>
      <c r="D333" s="110"/>
      <c r="E333" s="110"/>
      <c r="F333" s="19" t="str">
        <f t="shared" si="4"/>
        <v/>
      </c>
      <c r="G333" s="2"/>
    </row>
    <row r="334" spans="2:7" ht="15" customHeight="1" x14ac:dyDescent="0.25">
      <c r="B334" s="1"/>
      <c r="C334" s="113">
        <v>317</v>
      </c>
      <c r="D334" s="110"/>
      <c r="E334" s="110"/>
      <c r="F334" s="19" t="str">
        <f t="shared" si="4"/>
        <v/>
      </c>
      <c r="G334" s="2"/>
    </row>
    <row r="335" spans="2:7" ht="15" customHeight="1" x14ac:dyDescent="0.25">
      <c r="B335" s="1"/>
      <c r="C335" s="113">
        <v>318</v>
      </c>
      <c r="D335" s="110"/>
      <c r="E335" s="110"/>
      <c r="F335" s="19" t="str">
        <f t="shared" si="4"/>
        <v/>
      </c>
      <c r="G335" s="2"/>
    </row>
    <row r="336" spans="2:7" ht="15" customHeight="1" x14ac:dyDescent="0.25">
      <c r="B336" s="1"/>
      <c r="C336" s="113">
        <v>319</v>
      </c>
      <c r="D336" s="110"/>
      <c r="E336" s="110"/>
      <c r="F336" s="19" t="str">
        <f t="shared" si="4"/>
        <v/>
      </c>
      <c r="G336" s="2"/>
    </row>
    <row r="337" spans="2:7" ht="15" customHeight="1" x14ac:dyDescent="0.25">
      <c r="B337" s="1"/>
      <c r="C337" s="113">
        <v>320</v>
      </c>
      <c r="D337" s="110"/>
      <c r="E337" s="110"/>
      <c r="F337" s="19" t="str">
        <f t="shared" si="4"/>
        <v/>
      </c>
      <c r="G337" s="2"/>
    </row>
    <row r="338" spans="2:7" ht="15" customHeight="1" x14ac:dyDescent="0.25">
      <c r="B338" s="1"/>
      <c r="C338" s="113">
        <v>321</v>
      </c>
      <c r="D338" s="110"/>
      <c r="E338" s="110"/>
      <c r="F338" s="19" t="str">
        <f t="shared" si="4"/>
        <v/>
      </c>
      <c r="G338" s="2"/>
    </row>
    <row r="339" spans="2:7" ht="15" customHeight="1" x14ac:dyDescent="0.25">
      <c r="B339" s="1"/>
      <c r="C339" s="113">
        <v>322</v>
      </c>
      <c r="D339" s="110"/>
      <c r="E339" s="110"/>
      <c r="F339" s="19" t="str">
        <f t="shared" ref="F339:F402" si="5">IFERROR(IF(AND(LEFT(D339,6)=LEFT(E339,6),RIGHT(E339,9)-RIGHT(D339,9)&gt;=0),RIGHT(E339,9)-RIGHT(D339,9)+1,""),"")</f>
        <v/>
      </c>
      <c r="G339" s="2"/>
    </row>
    <row r="340" spans="2:7" ht="15" customHeight="1" x14ac:dyDescent="0.25">
      <c r="B340" s="1"/>
      <c r="C340" s="113">
        <v>323</v>
      </c>
      <c r="D340" s="110"/>
      <c r="E340" s="110"/>
      <c r="F340" s="19" t="str">
        <f t="shared" si="5"/>
        <v/>
      </c>
      <c r="G340" s="2"/>
    </row>
    <row r="341" spans="2:7" ht="15" customHeight="1" x14ac:dyDescent="0.25">
      <c r="B341" s="1"/>
      <c r="C341" s="113">
        <v>324</v>
      </c>
      <c r="D341" s="110"/>
      <c r="E341" s="110"/>
      <c r="F341" s="19" t="str">
        <f t="shared" si="5"/>
        <v/>
      </c>
      <c r="G341" s="2"/>
    </row>
    <row r="342" spans="2:7" ht="15" customHeight="1" x14ac:dyDescent="0.25">
      <c r="B342" s="1"/>
      <c r="C342" s="113">
        <v>325</v>
      </c>
      <c r="D342" s="110"/>
      <c r="E342" s="110"/>
      <c r="F342" s="19" t="str">
        <f t="shared" si="5"/>
        <v/>
      </c>
      <c r="G342" s="2"/>
    </row>
    <row r="343" spans="2:7" ht="15" customHeight="1" x14ac:dyDescent="0.25">
      <c r="B343" s="1"/>
      <c r="C343" s="113">
        <v>326</v>
      </c>
      <c r="D343" s="110"/>
      <c r="E343" s="110"/>
      <c r="F343" s="19" t="str">
        <f t="shared" si="5"/>
        <v/>
      </c>
      <c r="G343" s="2"/>
    </row>
    <row r="344" spans="2:7" ht="15" customHeight="1" x14ac:dyDescent="0.25">
      <c r="B344" s="1"/>
      <c r="C344" s="113">
        <v>327</v>
      </c>
      <c r="D344" s="110"/>
      <c r="E344" s="110"/>
      <c r="F344" s="19" t="str">
        <f t="shared" si="5"/>
        <v/>
      </c>
      <c r="G344" s="2"/>
    </row>
    <row r="345" spans="2:7" ht="15" customHeight="1" x14ac:dyDescent="0.25">
      <c r="B345" s="1"/>
      <c r="C345" s="113">
        <v>328</v>
      </c>
      <c r="D345" s="110"/>
      <c r="E345" s="110"/>
      <c r="F345" s="19" t="str">
        <f t="shared" si="5"/>
        <v/>
      </c>
      <c r="G345" s="2"/>
    </row>
    <row r="346" spans="2:7" ht="15" customHeight="1" x14ac:dyDescent="0.25">
      <c r="B346" s="1"/>
      <c r="C346" s="113">
        <v>329</v>
      </c>
      <c r="D346" s="110"/>
      <c r="E346" s="110"/>
      <c r="F346" s="19" t="str">
        <f t="shared" si="5"/>
        <v/>
      </c>
      <c r="G346" s="2"/>
    </row>
    <row r="347" spans="2:7" ht="15" customHeight="1" x14ac:dyDescent="0.25">
      <c r="B347" s="1"/>
      <c r="C347" s="113">
        <v>330</v>
      </c>
      <c r="D347" s="110"/>
      <c r="E347" s="110"/>
      <c r="F347" s="19" t="str">
        <f t="shared" si="5"/>
        <v/>
      </c>
      <c r="G347" s="2"/>
    </row>
    <row r="348" spans="2:7" ht="15" customHeight="1" x14ac:dyDescent="0.25">
      <c r="B348" s="1"/>
      <c r="C348" s="113">
        <v>331</v>
      </c>
      <c r="D348" s="110"/>
      <c r="E348" s="110"/>
      <c r="F348" s="19" t="str">
        <f t="shared" si="5"/>
        <v/>
      </c>
      <c r="G348" s="2"/>
    </row>
    <row r="349" spans="2:7" ht="15" customHeight="1" x14ac:dyDescent="0.25">
      <c r="B349" s="1"/>
      <c r="C349" s="113">
        <v>332</v>
      </c>
      <c r="D349" s="110"/>
      <c r="E349" s="110"/>
      <c r="F349" s="19" t="str">
        <f t="shared" si="5"/>
        <v/>
      </c>
      <c r="G349" s="2"/>
    </row>
    <row r="350" spans="2:7" ht="15" customHeight="1" x14ac:dyDescent="0.25">
      <c r="B350" s="1"/>
      <c r="C350" s="113">
        <v>333</v>
      </c>
      <c r="D350" s="110"/>
      <c r="E350" s="110"/>
      <c r="F350" s="19" t="str">
        <f t="shared" si="5"/>
        <v/>
      </c>
      <c r="G350" s="2"/>
    </row>
    <row r="351" spans="2:7" ht="15" customHeight="1" x14ac:dyDescent="0.25">
      <c r="B351" s="1"/>
      <c r="C351" s="113">
        <v>334</v>
      </c>
      <c r="D351" s="110"/>
      <c r="E351" s="110"/>
      <c r="F351" s="19" t="str">
        <f t="shared" si="5"/>
        <v/>
      </c>
      <c r="G351" s="2"/>
    </row>
    <row r="352" spans="2:7" ht="15" customHeight="1" x14ac:dyDescent="0.25">
      <c r="B352" s="1"/>
      <c r="C352" s="113">
        <v>335</v>
      </c>
      <c r="D352" s="110"/>
      <c r="E352" s="110"/>
      <c r="F352" s="19" t="str">
        <f t="shared" si="5"/>
        <v/>
      </c>
      <c r="G352" s="2"/>
    </row>
    <row r="353" spans="2:7" ht="15" customHeight="1" x14ac:dyDescent="0.25">
      <c r="B353" s="1"/>
      <c r="C353" s="113">
        <v>336</v>
      </c>
      <c r="D353" s="110"/>
      <c r="E353" s="110"/>
      <c r="F353" s="19" t="str">
        <f t="shared" si="5"/>
        <v/>
      </c>
      <c r="G353" s="2"/>
    </row>
    <row r="354" spans="2:7" ht="15" customHeight="1" x14ac:dyDescent="0.25">
      <c r="B354" s="1"/>
      <c r="C354" s="113">
        <v>337</v>
      </c>
      <c r="D354" s="110"/>
      <c r="E354" s="110"/>
      <c r="F354" s="19" t="str">
        <f t="shared" si="5"/>
        <v/>
      </c>
      <c r="G354" s="2"/>
    </row>
    <row r="355" spans="2:7" ht="15" customHeight="1" x14ac:dyDescent="0.25">
      <c r="B355" s="1"/>
      <c r="C355" s="113">
        <v>338</v>
      </c>
      <c r="D355" s="110"/>
      <c r="E355" s="110"/>
      <c r="F355" s="19" t="str">
        <f t="shared" si="5"/>
        <v/>
      </c>
      <c r="G355" s="2"/>
    </row>
    <row r="356" spans="2:7" ht="15" customHeight="1" x14ac:dyDescent="0.25">
      <c r="B356" s="1"/>
      <c r="C356" s="113">
        <v>339</v>
      </c>
      <c r="D356" s="110"/>
      <c r="E356" s="110"/>
      <c r="F356" s="19" t="str">
        <f t="shared" si="5"/>
        <v/>
      </c>
      <c r="G356" s="2"/>
    </row>
    <row r="357" spans="2:7" ht="15" customHeight="1" x14ac:dyDescent="0.25">
      <c r="B357" s="1"/>
      <c r="C357" s="113">
        <v>340</v>
      </c>
      <c r="D357" s="110"/>
      <c r="E357" s="110"/>
      <c r="F357" s="19" t="str">
        <f t="shared" si="5"/>
        <v/>
      </c>
      <c r="G357" s="2"/>
    </row>
    <row r="358" spans="2:7" ht="15" customHeight="1" x14ac:dyDescent="0.25">
      <c r="B358" s="1"/>
      <c r="C358" s="113">
        <v>341</v>
      </c>
      <c r="D358" s="110"/>
      <c r="E358" s="110"/>
      <c r="F358" s="19" t="str">
        <f t="shared" si="5"/>
        <v/>
      </c>
      <c r="G358" s="2"/>
    </row>
    <row r="359" spans="2:7" ht="15" customHeight="1" x14ac:dyDescent="0.25">
      <c r="B359" s="1"/>
      <c r="C359" s="113">
        <v>342</v>
      </c>
      <c r="D359" s="110"/>
      <c r="E359" s="110"/>
      <c r="F359" s="19" t="str">
        <f t="shared" si="5"/>
        <v/>
      </c>
      <c r="G359" s="2"/>
    </row>
    <row r="360" spans="2:7" ht="15" customHeight="1" x14ac:dyDescent="0.25">
      <c r="B360" s="1"/>
      <c r="C360" s="113">
        <v>343</v>
      </c>
      <c r="D360" s="110"/>
      <c r="E360" s="110"/>
      <c r="F360" s="19" t="str">
        <f t="shared" si="5"/>
        <v/>
      </c>
      <c r="G360" s="2"/>
    </row>
    <row r="361" spans="2:7" ht="15" customHeight="1" x14ac:dyDescent="0.25">
      <c r="B361" s="1"/>
      <c r="C361" s="113">
        <v>344</v>
      </c>
      <c r="D361" s="110"/>
      <c r="E361" s="110"/>
      <c r="F361" s="19" t="str">
        <f t="shared" si="5"/>
        <v/>
      </c>
      <c r="G361" s="2"/>
    </row>
    <row r="362" spans="2:7" ht="15" customHeight="1" x14ac:dyDescent="0.25">
      <c r="B362" s="1"/>
      <c r="C362" s="113">
        <v>345</v>
      </c>
      <c r="D362" s="110"/>
      <c r="E362" s="110"/>
      <c r="F362" s="19" t="str">
        <f t="shared" si="5"/>
        <v/>
      </c>
      <c r="G362" s="2"/>
    </row>
    <row r="363" spans="2:7" ht="15" customHeight="1" x14ac:dyDescent="0.25">
      <c r="B363" s="1"/>
      <c r="C363" s="113">
        <v>346</v>
      </c>
      <c r="D363" s="110"/>
      <c r="E363" s="110"/>
      <c r="F363" s="19" t="str">
        <f t="shared" si="5"/>
        <v/>
      </c>
      <c r="G363" s="2"/>
    </row>
    <row r="364" spans="2:7" ht="15" customHeight="1" x14ac:dyDescent="0.25">
      <c r="B364" s="1"/>
      <c r="C364" s="113">
        <v>347</v>
      </c>
      <c r="D364" s="110"/>
      <c r="E364" s="110"/>
      <c r="F364" s="19" t="str">
        <f t="shared" si="5"/>
        <v/>
      </c>
      <c r="G364" s="2"/>
    </row>
    <row r="365" spans="2:7" ht="15" customHeight="1" x14ac:dyDescent="0.25">
      <c r="B365" s="1"/>
      <c r="C365" s="113">
        <v>348</v>
      </c>
      <c r="D365" s="110"/>
      <c r="E365" s="110"/>
      <c r="F365" s="19" t="str">
        <f t="shared" si="5"/>
        <v/>
      </c>
      <c r="G365" s="2"/>
    </row>
    <row r="366" spans="2:7" ht="15" customHeight="1" x14ac:dyDescent="0.25">
      <c r="B366" s="1"/>
      <c r="C366" s="113">
        <v>349</v>
      </c>
      <c r="D366" s="110"/>
      <c r="E366" s="110"/>
      <c r="F366" s="19" t="str">
        <f t="shared" si="5"/>
        <v/>
      </c>
      <c r="G366" s="2"/>
    </row>
    <row r="367" spans="2:7" ht="15" customHeight="1" x14ac:dyDescent="0.25">
      <c r="B367" s="1"/>
      <c r="C367" s="113">
        <v>350</v>
      </c>
      <c r="D367" s="110"/>
      <c r="E367" s="110"/>
      <c r="F367" s="19" t="str">
        <f t="shared" si="5"/>
        <v/>
      </c>
      <c r="G367" s="2"/>
    </row>
    <row r="368" spans="2:7" ht="15" customHeight="1" x14ac:dyDescent="0.25">
      <c r="B368" s="1"/>
      <c r="C368" s="113">
        <v>351</v>
      </c>
      <c r="D368" s="110"/>
      <c r="E368" s="110"/>
      <c r="F368" s="19" t="str">
        <f t="shared" si="5"/>
        <v/>
      </c>
      <c r="G368" s="2"/>
    </row>
    <row r="369" spans="2:7" ht="15" customHeight="1" x14ac:dyDescent="0.25">
      <c r="B369" s="1"/>
      <c r="C369" s="113">
        <v>352</v>
      </c>
      <c r="D369" s="110"/>
      <c r="E369" s="110"/>
      <c r="F369" s="19" t="str">
        <f t="shared" si="5"/>
        <v/>
      </c>
      <c r="G369" s="2"/>
    </row>
    <row r="370" spans="2:7" ht="15" customHeight="1" x14ac:dyDescent="0.25">
      <c r="B370" s="1"/>
      <c r="C370" s="113">
        <v>353</v>
      </c>
      <c r="D370" s="110"/>
      <c r="E370" s="110"/>
      <c r="F370" s="19" t="str">
        <f t="shared" si="5"/>
        <v/>
      </c>
      <c r="G370" s="2"/>
    </row>
    <row r="371" spans="2:7" ht="15" customHeight="1" x14ac:dyDescent="0.25">
      <c r="B371" s="1"/>
      <c r="C371" s="113">
        <v>354</v>
      </c>
      <c r="D371" s="110"/>
      <c r="E371" s="110"/>
      <c r="F371" s="19" t="str">
        <f t="shared" si="5"/>
        <v/>
      </c>
      <c r="G371" s="2"/>
    </row>
    <row r="372" spans="2:7" ht="15" customHeight="1" x14ac:dyDescent="0.25">
      <c r="B372" s="1"/>
      <c r="C372" s="113">
        <v>355</v>
      </c>
      <c r="D372" s="110"/>
      <c r="E372" s="110"/>
      <c r="F372" s="19" t="str">
        <f t="shared" si="5"/>
        <v/>
      </c>
      <c r="G372" s="2"/>
    </row>
    <row r="373" spans="2:7" ht="15" customHeight="1" x14ac:dyDescent="0.25">
      <c r="B373" s="1"/>
      <c r="C373" s="113">
        <v>356</v>
      </c>
      <c r="D373" s="110"/>
      <c r="E373" s="110"/>
      <c r="F373" s="19" t="str">
        <f t="shared" si="5"/>
        <v/>
      </c>
      <c r="G373" s="2"/>
    </row>
    <row r="374" spans="2:7" ht="15" customHeight="1" x14ac:dyDescent="0.25">
      <c r="B374" s="1"/>
      <c r="C374" s="113">
        <v>357</v>
      </c>
      <c r="D374" s="110"/>
      <c r="E374" s="110"/>
      <c r="F374" s="19" t="str">
        <f t="shared" si="5"/>
        <v/>
      </c>
      <c r="G374" s="2"/>
    </row>
    <row r="375" spans="2:7" ht="15" customHeight="1" x14ac:dyDescent="0.25">
      <c r="B375" s="1"/>
      <c r="C375" s="113">
        <v>358</v>
      </c>
      <c r="D375" s="110"/>
      <c r="E375" s="110"/>
      <c r="F375" s="19" t="str">
        <f t="shared" si="5"/>
        <v/>
      </c>
      <c r="G375" s="2"/>
    </row>
    <row r="376" spans="2:7" ht="15" customHeight="1" x14ac:dyDescent="0.25">
      <c r="B376" s="1"/>
      <c r="C376" s="113">
        <v>359</v>
      </c>
      <c r="D376" s="110"/>
      <c r="E376" s="110"/>
      <c r="F376" s="19" t="str">
        <f t="shared" si="5"/>
        <v/>
      </c>
      <c r="G376" s="2"/>
    </row>
    <row r="377" spans="2:7" ht="15" customHeight="1" x14ac:dyDescent="0.25">
      <c r="B377" s="1"/>
      <c r="C377" s="113">
        <v>360</v>
      </c>
      <c r="D377" s="110"/>
      <c r="E377" s="110"/>
      <c r="F377" s="19" t="str">
        <f t="shared" si="5"/>
        <v/>
      </c>
      <c r="G377" s="2"/>
    </row>
    <row r="378" spans="2:7" ht="15" customHeight="1" x14ac:dyDescent="0.25">
      <c r="B378" s="1"/>
      <c r="C378" s="113">
        <v>361</v>
      </c>
      <c r="D378" s="110"/>
      <c r="E378" s="110"/>
      <c r="F378" s="19" t="str">
        <f t="shared" si="5"/>
        <v/>
      </c>
      <c r="G378" s="2"/>
    </row>
    <row r="379" spans="2:7" ht="15" customHeight="1" x14ac:dyDescent="0.25">
      <c r="B379" s="1"/>
      <c r="C379" s="113">
        <v>362</v>
      </c>
      <c r="D379" s="110"/>
      <c r="E379" s="110"/>
      <c r="F379" s="19" t="str">
        <f t="shared" si="5"/>
        <v/>
      </c>
      <c r="G379" s="2"/>
    </row>
    <row r="380" spans="2:7" ht="15" customHeight="1" x14ac:dyDescent="0.25">
      <c r="B380" s="1"/>
      <c r="C380" s="113">
        <v>363</v>
      </c>
      <c r="D380" s="110"/>
      <c r="E380" s="110"/>
      <c r="F380" s="19" t="str">
        <f t="shared" si="5"/>
        <v/>
      </c>
      <c r="G380" s="2"/>
    </row>
    <row r="381" spans="2:7" ht="15" customHeight="1" x14ac:dyDescent="0.25">
      <c r="B381" s="1"/>
      <c r="C381" s="113">
        <v>364</v>
      </c>
      <c r="D381" s="110"/>
      <c r="E381" s="110"/>
      <c r="F381" s="19" t="str">
        <f t="shared" si="5"/>
        <v/>
      </c>
      <c r="G381" s="2"/>
    </row>
    <row r="382" spans="2:7" ht="15" customHeight="1" x14ac:dyDescent="0.25">
      <c r="B382" s="1"/>
      <c r="C382" s="113">
        <v>365</v>
      </c>
      <c r="D382" s="110"/>
      <c r="E382" s="110"/>
      <c r="F382" s="19" t="str">
        <f t="shared" si="5"/>
        <v/>
      </c>
      <c r="G382" s="2"/>
    </row>
    <row r="383" spans="2:7" ht="15" customHeight="1" x14ac:dyDescent="0.25">
      <c r="B383" s="1"/>
      <c r="C383" s="113">
        <v>366</v>
      </c>
      <c r="D383" s="110"/>
      <c r="E383" s="110"/>
      <c r="F383" s="19" t="str">
        <f t="shared" si="5"/>
        <v/>
      </c>
      <c r="G383" s="2"/>
    </row>
    <row r="384" spans="2:7" ht="15" customHeight="1" x14ac:dyDescent="0.25">
      <c r="B384" s="1"/>
      <c r="C384" s="113">
        <v>367</v>
      </c>
      <c r="D384" s="110"/>
      <c r="E384" s="110"/>
      <c r="F384" s="19" t="str">
        <f t="shared" si="5"/>
        <v/>
      </c>
      <c r="G384" s="2"/>
    </row>
    <row r="385" spans="2:7" ht="15" customHeight="1" x14ac:dyDescent="0.25">
      <c r="B385" s="1"/>
      <c r="C385" s="113">
        <v>368</v>
      </c>
      <c r="D385" s="110"/>
      <c r="E385" s="110"/>
      <c r="F385" s="19" t="str">
        <f t="shared" si="5"/>
        <v/>
      </c>
      <c r="G385" s="2"/>
    </row>
    <row r="386" spans="2:7" ht="15" customHeight="1" x14ac:dyDescent="0.25">
      <c r="B386" s="1"/>
      <c r="C386" s="113">
        <v>369</v>
      </c>
      <c r="D386" s="110"/>
      <c r="E386" s="110"/>
      <c r="F386" s="19" t="str">
        <f t="shared" si="5"/>
        <v/>
      </c>
      <c r="G386" s="2"/>
    </row>
    <row r="387" spans="2:7" ht="15" customHeight="1" x14ac:dyDescent="0.25">
      <c r="B387" s="1"/>
      <c r="C387" s="113">
        <v>370</v>
      </c>
      <c r="D387" s="110"/>
      <c r="E387" s="110"/>
      <c r="F387" s="19" t="str">
        <f t="shared" si="5"/>
        <v/>
      </c>
      <c r="G387" s="2"/>
    </row>
    <row r="388" spans="2:7" ht="15" customHeight="1" x14ac:dyDescent="0.25">
      <c r="B388" s="1"/>
      <c r="C388" s="113">
        <v>371</v>
      </c>
      <c r="D388" s="110"/>
      <c r="E388" s="110"/>
      <c r="F388" s="19" t="str">
        <f t="shared" si="5"/>
        <v/>
      </c>
      <c r="G388" s="2"/>
    </row>
    <row r="389" spans="2:7" ht="15" customHeight="1" x14ac:dyDescent="0.25">
      <c r="B389" s="1"/>
      <c r="C389" s="113">
        <v>372</v>
      </c>
      <c r="D389" s="110"/>
      <c r="E389" s="110"/>
      <c r="F389" s="19" t="str">
        <f t="shared" si="5"/>
        <v/>
      </c>
      <c r="G389" s="2"/>
    </row>
    <row r="390" spans="2:7" ht="15" customHeight="1" x14ac:dyDescent="0.25">
      <c r="B390" s="1"/>
      <c r="C390" s="113">
        <v>373</v>
      </c>
      <c r="D390" s="110"/>
      <c r="E390" s="110"/>
      <c r="F390" s="19" t="str">
        <f t="shared" si="5"/>
        <v/>
      </c>
      <c r="G390" s="2"/>
    </row>
    <row r="391" spans="2:7" ht="15" customHeight="1" x14ac:dyDescent="0.25">
      <c r="B391" s="1"/>
      <c r="C391" s="113">
        <v>374</v>
      </c>
      <c r="D391" s="110"/>
      <c r="E391" s="110"/>
      <c r="F391" s="19" t="str">
        <f t="shared" si="5"/>
        <v/>
      </c>
      <c r="G391" s="2"/>
    </row>
    <row r="392" spans="2:7" ht="15" customHeight="1" x14ac:dyDescent="0.25">
      <c r="B392" s="1"/>
      <c r="C392" s="113">
        <v>375</v>
      </c>
      <c r="D392" s="110"/>
      <c r="E392" s="110"/>
      <c r="F392" s="19" t="str">
        <f t="shared" si="5"/>
        <v/>
      </c>
      <c r="G392" s="2"/>
    </row>
    <row r="393" spans="2:7" ht="15" customHeight="1" x14ac:dyDescent="0.25">
      <c r="B393" s="1"/>
      <c r="C393" s="113">
        <v>376</v>
      </c>
      <c r="D393" s="110"/>
      <c r="E393" s="110"/>
      <c r="F393" s="19" t="str">
        <f t="shared" si="5"/>
        <v/>
      </c>
      <c r="G393" s="2"/>
    </row>
    <row r="394" spans="2:7" ht="15" customHeight="1" x14ac:dyDescent="0.25">
      <c r="B394" s="1"/>
      <c r="C394" s="113">
        <v>377</v>
      </c>
      <c r="D394" s="110"/>
      <c r="E394" s="110"/>
      <c r="F394" s="19" t="str">
        <f t="shared" si="5"/>
        <v/>
      </c>
      <c r="G394" s="2"/>
    </row>
    <row r="395" spans="2:7" ht="15" customHeight="1" x14ac:dyDescent="0.25">
      <c r="B395" s="1"/>
      <c r="C395" s="113">
        <v>378</v>
      </c>
      <c r="D395" s="110"/>
      <c r="E395" s="110"/>
      <c r="F395" s="19" t="str">
        <f t="shared" si="5"/>
        <v/>
      </c>
      <c r="G395" s="2"/>
    </row>
    <row r="396" spans="2:7" ht="15" customHeight="1" x14ac:dyDescent="0.25">
      <c r="B396" s="1"/>
      <c r="C396" s="113">
        <v>379</v>
      </c>
      <c r="D396" s="110"/>
      <c r="E396" s="110"/>
      <c r="F396" s="19" t="str">
        <f t="shared" si="5"/>
        <v/>
      </c>
      <c r="G396" s="2"/>
    </row>
    <row r="397" spans="2:7" ht="15" customHeight="1" x14ac:dyDescent="0.25">
      <c r="B397" s="1"/>
      <c r="C397" s="113">
        <v>380</v>
      </c>
      <c r="D397" s="110"/>
      <c r="E397" s="110"/>
      <c r="F397" s="19" t="str">
        <f t="shared" si="5"/>
        <v/>
      </c>
      <c r="G397" s="2"/>
    </row>
    <row r="398" spans="2:7" ht="15" customHeight="1" x14ac:dyDescent="0.25">
      <c r="B398" s="1"/>
      <c r="C398" s="113">
        <v>381</v>
      </c>
      <c r="D398" s="110"/>
      <c r="E398" s="110"/>
      <c r="F398" s="19" t="str">
        <f t="shared" si="5"/>
        <v/>
      </c>
      <c r="G398" s="2"/>
    </row>
    <row r="399" spans="2:7" ht="15" customHeight="1" x14ac:dyDescent="0.25">
      <c r="B399" s="1"/>
      <c r="C399" s="113">
        <v>382</v>
      </c>
      <c r="D399" s="110"/>
      <c r="E399" s="110"/>
      <c r="F399" s="19" t="str">
        <f t="shared" si="5"/>
        <v/>
      </c>
      <c r="G399" s="2"/>
    </row>
    <row r="400" spans="2:7" ht="15" customHeight="1" x14ac:dyDescent="0.25">
      <c r="B400" s="1"/>
      <c r="C400" s="113">
        <v>383</v>
      </c>
      <c r="D400" s="110"/>
      <c r="E400" s="110"/>
      <c r="F400" s="19" t="str">
        <f t="shared" si="5"/>
        <v/>
      </c>
      <c r="G400" s="2"/>
    </row>
    <row r="401" spans="2:7" ht="15" customHeight="1" x14ac:dyDescent="0.25">
      <c r="B401" s="1"/>
      <c r="C401" s="113">
        <v>384</v>
      </c>
      <c r="D401" s="110"/>
      <c r="E401" s="110"/>
      <c r="F401" s="19" t="str">
        <f t="shared" si="5"/>
        <v/>
      </c>
      <c r="G401" s="2"/>
    </row>
    <row r="402" spans="2:7" ht="15" customHeight="1" x14ac:dyDescent="0.25">
      <c r="B402" s="1"/>
      <c r="C402" s="113">
        <v>385</v>
      </c>
      <c r="D402" s="110"/>
      <c r="E402" s="110"/>
      <c r="F402" s="19" t="str">
        <f t="shared" si="5"/>
        <v/>
      </c>
      <c r="G402" s="2"/>
    </row>
    <row r="403" spans="2:7" ht="15" customHeight="1" x14ac:dyDescent="0.25">
      <c r="B403" s="1"/>
      <c r="C403" s="113">
        <v>386</v>
      </c>
      <c r="D403" s="110"/>
      <c r="E403" s="110"/>
      <c r="F403" s="19" t="str">
        <f t="shared" ref="F403:F466" si="6">IFERROR(IF(AND(LEFT(D403,6)=LEFT(E403,6),RIGHT(E403,9)-RIGHT(D403,9)&gt;=0),RIGHT(E403,9)-RIGHT(D403,9)+1,""),"")</f>
        <v/>
      </c>
      <c r="G403" s="2"/>
    </row>
    <row r="404" spans="2:7" ht="15" customHeight="1" x14ac:dyDescent="0.25">
      <c r="B404" s="1"/>
      <c r="C404" s="113">
        <v>387</v>
      </c>
      <c r="D404" s="110"/>
      <c r="E404" s="110"/>
      <c r="F404" s="19" t="str">
        <f t="shared" si="6"/>
        <v/>
      </c>
      <c r="G404" s="2"/>
    </row>
    <row r="405" spans="2:7" ht="15" customHeight="1" x14ac:dyDescent="0.25">
      <c r="B405" s="1"/>
      <c r="C405" s="113">
        <v>388</v>
      </c>
      <c r="D405" s="110"/>
      <c r="E405" s="110"/>
      <c r="F405" s="19" t="str">
        <f t="shared" si="6"/>
        <v/>
      </c>
      <c r="G405" s="2"/>
    </row>
    <row r="406" spans="2:7" ht="15" customHeight="1" x14ac:dyDescent="0.25">
      <c r="B406" s="1"/>
      <c r="C406" s="113">
        <v>389</v>
      </c>
      <c r="D406" s="110"/>
      <c r="E406" s="110"/>
      <c r="F406" s="19" t="str">
        <f t="shared" si="6"/>
        <v/>
      </c>
      <c r="G406" s="2"/>
    </row>
    <row r="407" spans="2:7" ht="15" customHeight="1" x14ac:dyDescent="0.25">
      <c r="B407" s="1"/>
      <c r="C407" s="113">
        <v>390</v>
      </c>
      <c r="D407" s="110"/>
      <c r="E407" s="110"/>
      <c r="F407" s="19" t="str">
        <f t="shared" si="6"/>
        <v/>
      </c>
      <c r="G407" s="2"/>
    </row>
    <row r="408" spans="2:7" ht="15" customHeight="1" x14ac:dyDescent="0.25">
      <c r="B408" s="1"/>
      <c r="C408" s="113">
        <v>391</v>
      </c>
      <c r="D408" s="110"/>
      <c r="E408" s="110"/>
      <c r="F408" s="19" t="str">
        <f t="shared" si="6"/>
        <v/>
      </c>
      <c r="G408" s="2"/>
    </row>
    <row r="409" spans="2:7" ht="15" customHeight="1" x14ac:dyDescent="0.25">
      <c r="B409" s="1"/>
      <c r="C409" s="113">
        <v>392</v>
      </c>
      <c r="D409" s="110"/>
      <c r="E409" s="110"/>
      <c r="F409" s="19" t="str">
        <f t="shared" si="6"/>
        <v/>
      </c>
      <c r="G409" s="2"/>
    </row>
    <row r="410" spans="2:7" ht="15" customHeight="1" x14ac:dyDescent="0.25">
      <c r="B410" s="1"/>
      <c r="C410" s="113">
        <v>393</v>
      </c>
      <c r="D410" s="110"/>
      <c r="E410" s="110"/>
      <c r="F410" s="19" t="str">
        <f t="shared" si="6"/>
        <v/>
      </c>
      <c r="G410" s="2"/>
    </row>
    <row r="411" spans="2:7" ht="15" customHeight="1" x14ac:dyDescent="0.25">
      <c r="B411" s="1"/>
      <c r="C411" s="113">
        <v>394</v>
      </c>
      <c r="D411" s="110"/>
      <c r="E411" s="110"/>
      <c r="F411" s="19" t="str">
        <f t="shared" si="6"/>
        <v/>
      </c>
      <c r="G411" s="2"/>
    </row>
    <row r="412" spans="2:7" ht="15" customHeight="1" x14ac:dyDescent="0.25">
      <c r="B412" s="1"/>
      <c r="C412" s="113">
        <v>395</v>
      </c>
      <c r="D412" s="110"/>
      <c r="E412" s="110"/>
      <c r="F412" s="19" t="str">
        <f t="shared" si="6"/>
        <v/>
      </c>
      <c r="G412" s="2"/>
    </row>
    <row r="413" spans="2:7" ht="15" customHeight="1" x14ac:dyDescent="0.25">
      <c r="B413" s="1"/>
      <c r="C413" s="113">
        <v>396</v>
      </c>
      <c r="D413" s="110"/>
      <c r="E413" s="110"/>
      <c r="F413" s="19" t="str">
        <f t="shared" si="6"/>
        <v/>
      </c>
      <c r="G413" s="2"/>
    </row>
    <row r="414" spans="2:7" ht="15" customHeight="1" x14ac:dyDescent="0.25">
      <c r="B414" s="1"/>
      <c r="C414" s="113">
        <v>397</v>
      </c>
      <c r="D414" s="110"/>
      <c r="E414" s="110"/>
      <c r="F414" s="19" t="str">
        <f t="shared" si="6"/>
        <v/>
      </c>
      <c r="G414" s="2"/>
    </row>
    <row r="415" spans="2:7" ht="15" customHeight="1" x14ac:dyDescent="0.25">
      <c r="B415" s="1"/>
      <c r="C415" s="113">
        <v>398</v>
      </c>
      <c r="D415" s="110"/>
      <c r="E415" s="110"/>
      <c r="F415" s="19" t="str">
        <f t="shared" si="6"/>
        <v/>
      </c>
      <c r="G415" s="2"/>
    </row>
    <row r="416" spans="2:7" ht="15" customHeight="1" x14ac:dyDescent="0.25">
      <c r="B416" s="1"/>
      <c r="C416" s="113">
        <v>399</v>
      </c>
      <c r="D416" s="110"/>
      <c r="E416" s="110"/>
      <c r="F416" s="19" t="str">
        <f t="shared" si="6"/>
        <v/>
      </c>
      <c r="G416" s="2"/>
    </row>
    <row r="417" spans="2:7" ht="15" customHeight="1" x14ac:dyDescent="0.25">
      <c r="B417" s="1"/>
      <c r="C417" s="113">
        <v>400</v>
      </c>
      <c r="D417" s="110"/>
      <c r="E417" s="110"/>
      <c r="F417" s="19" t="str">
        <f t="shared" si="6"/>
        <v/>
      </c>
      <c r="G417" s="2"/>
    </row>
    <row r="418" spans="2:7" ht="15" customHeight="1" x14ac:dyDescent="0.25">
      <c r="B418" s="1"/>
      <c r="C418" s="113">
        <v>401</v>
      </c>
      <c r="D418" s="110"/>
      <c r="E418" s="110"/>
      <c r="F418" s="19" t="str">
        <f t="shared" si="6"/>
        <v/>
      </c>
      <c r="G418" s="2"/>
    </row>
    <row r="419" spans="2:7" ht="15" customHeight="1" x14ac:dyDescent="0.25">
      <c r="B419" s="1"/>
      <c r="C419" s="113">
        <v>402</v>
      </c>
      <c r="D419" s="110"/>
      <c r="E419" s="110"/>
      <c r="F419" s="19" t="str">
        <f t="shared" si="6"/>
        <v/>
      </c>
      <c r="G419" s="2"/>
    </row>
    <row r="420" spans="2:7" ht="15" customHeight="1" x14ac:dyDescent="0.25">
      <c r="B420" s="1"/>
      <c r="C420" s="113">
        <v>403</v>
      </c>
      <c r="D420" s="110"/>
      <c r="E420" s="110"/>
      <c r="F420" s="19" t="str">
        <f t="shared" si="6"/>
        <v/>
      </c>
      <c r="G420" s="2"/>
    </row>
    <row r="421" spans="2:7" ht="15" customHeight="1" x14ac:dyDescent="0.25">
      <c r="B421" s="1"/>
      <c r="C421" s="113">
        <v>404</v>
      </c>
      <c r="D421" s="110"/>
      <c r="E421" s="110"/>
      <c r="F421" s="19" t="str">
        <f t="shared" si="6"/>
        <v/>
      </c>
      <c r="G421" s="2"/>
    </row>
    <row r="422" spans="2:7" ht="15" customHeight="1" x14ac:dyDescent="0.25">
      <c r="B422" s="1"/>
      <c r="C422" s="113">
        <v>405</v>
      </c>
      <c r="D422" s="110"/>
      <c r="E422" s="110"/>
      <c r="F422" s="19" t="str">
        <f t="shared" si="6"/>
        <v/>
      </c>
      <c r="G422" s="2"/>
    </row>
    <row r="423" spans="2:7" ht="15" customHeight="1" x14ac:dyDescent="0.25">
      <c r="B423" s="1"/>
      <c r="C423" s="113">
        <v>406</v>
      </c>
      <c r="D423" s="110"/>
      <c r="E423" s="110"/>
      <c r="F423" s="19" t="str">
        <f t="shared" si="6"/>
        <v/>
      </c>
      <c r="G423" s="2"/>
    </row>
    <row r="424" spans="2:7" ht="15" customHeight="1" x14ac:dyDescent="0.25">
      <c r="B424" s="1"/>
      <c r="C424" s="113">
        <v>407</v>
      </c>
      <c r="D424" s="110"/>
      <c r="E424" s="110"/>
      <c r="F424" s="19" t="str">
        <f t="shared" si="6"/>
        <v/>
      </c>
      <c r="G424" s="2"/>
    </row>
    <row r="425" spans="2:7" ht="15" customHeight="1" x14ac:dyDescent="0.25">
      <c r="B425" s="1"/>
      <c r="C425" s="113">
        <v>408</v>
      </c>
      <c r="D425" s="110"/>
      <c r="E425" s="110"/>
      <c r="F425" s="19" t="str">
        <f t="shared" si="6"/>
        <v/>
      </c>
      <c r="G425" s="2"/>
    </row>
    <row r="426" spans="2:7" ht="15" customHeight="1" x14ac:dyDescent="0.25">
      <c r="B426" s="1"/>
      <c r="C426" s="113">
        <v>409</v>
      </c>
      <c r="D426" s="110"/>
      <c r="E426" s="110"/>
      <c r="F426" s="19" t="str">
        <f t="shared" si="6"/>
        <v/>
      </c>
      <c r="G426" s="2"/>
    </row>
    <row r="427" spans="2:7" ht="15" customHeight="1" x14ac:dyDescent="0.25">
      <c r="B427" s="1"/>
      <c r="C427" s="113">
        <v>410</v>
      </c>
      <c r="D427" s="110"/>
      <c r="E427" s="110"/>
      <c r="F427" s="19" t="str">
        <f t="shared" si="6"/>
        <v/>
      </c>
      <c r="G427" s="2"/>
    </row>
    <row r="428" spans="2:7" ht="15" customHeight="1" x14ac:dyDescent="0.25">
      <c r="B428" s="1"/>
      <c r="C428" s="113">
        <v>411</v>
      </c>
      <c r="D428" s="110"/>
      <c r="E428" s="110"/>
      <c r="F428" s="19" t="str">
        <f t="shared" si="6"/>
        <v/>
      </c>
      <c r="G428" s="2"/>
    </row>
    <row r="429" spans="2:7" ht="15" customHeight="1" x14ac:dyDescent="0.25">
      <c r="B429" s="1"/>
      <c r="C429" s="113">
        <v>412</v>
      </c>
      <c r="D429" s="110"/>
      <c r="E429" s="110"/>
      <c r="F429" s="19" t="str">
        <f t="shared" si="6"/>
        <v/>
      </c>
      <c r="G429" s="2"/>
    </row>
    <row r="430" spans="2:7" ht="15" customHeight="1" x14ac:dyDescent="0.25">
      <c r="B430" s="1"/>
      <c r="C430" s="113">
        <v>413</v>
      </c>
      <c r="D430" s="110"/>
      <c r="E430" s="110"/>
      <c r="F430" s="19" t="str">
        <f t="shared" si="6"/>
        <v/>
      </c>
      <c r="G430" s="2"/>
    </row>
    <row r="431" spans="2:7" ht="15" customHeight="1" x14ac:dyDescent="0.25">
      <c r="B431" s="1"/>
      <c r="C431" s="113">
        <v>414</v>
      </c>
      <c r="D431" s="110"/>
      <c r="E431" s="110"/>
      <c r="F431" s="19" t="str">
        <f t="shared" si="6"/>
        <v/>
      </c>
      <c r="G431" s="2"/>
    </row>
    <row r="432" spans="2:7" ht="15" customHeight="1" x14ac:dyDescent="0.25">
      <c r="B432" s="1"/>
      <c r="C432" s="113">
        <v>415</v>
      </c>
      <c r="D432" s="110"/>
      <c r="E432" s="110"/>
      <c r="F432" s="19" t="str">
        <f t="shared" si="6"/>
        <v/>
      </c>
      <c r="G432" s="2"/>
    </row>
    <row r="433" spans="2:7" ht="15" customHeight="1" x14ac:dyDescent="0.25">
      <c r="B433" s="1"/>
      <c r="C433" s="113">
        <v>416</v>
      </c>
      <c r="D433" s="110"/>
      <c r="E433" s="110"/>
      <c r="F433" s="19" t="str">
        <f t="shared" si="6"/>
        <v/>
      </c>
      <c r="G433" s="2"/>
    </row>
    <row r="434" spans="2:7" ht="15" customHeight="1" x14ac:dyDescent="0.25">
      <c r="B434" s="1"/>
      <c r="C434" s="113">
        <v>417</v>
      </c>
      <c r="D434" s="110"/>
      <c r="E434" s="110"/>
      <c r="F434" s="19" t="str">
        <f t="shared" si="6"/>
        <v/>
      </c>
      <c r="G434" s="2"/>
    </row>
    <row r="435" spans="2:7" ht="15" customHeight="1" x14ac:dyDescent="0.25">
      <c r="B435" s="1"/>
      <c r="C435" s="113">
        <v>418</v>
      </c>
      <c r="D435" s="110"/>
      <c r="E435" s="110"/>
      <c r="F435" s="19" t="str">
        <f t="shared" si="6"/>
        <v/>
      </c>
      <c r="G435" s="2"/>
    </row>
    <row r="436" spans="2:7" ht="15" customHeight="1" x14ac:dyDescent="0.25">
      <c r="B436" s="1"/>
      <c r="C436" s="113">
        <v>419</v>
      </c>
      <c r="D436" s="110"/>
      <c r="E436" s="110"/>
      <c r="F436" s="19" t="str">
        <f t="shared" si="6"/>
        <v/>
      </c>
      <c r="G436" s="2"/>
    </row>
    <row r="437" spans="2:7" ht="15" customHeight="1" x14ac:dyDescent="0.25">
      <c r="B437" s="1"/>
      <c r="C437" s="113">
        <v>420</v>
      </c>
      <c r="D437" s="110"/>
      <c r="E437" s="110"/>
      <c r="F437" s="19" t="str">
        <f t="shared" si="6"/>
        <v/>
      </c>
      <c r="G437" s="2"/>
    </row>
    <row r="438" spans="2:7" ht="15" customHeight="1" x14ac:dyDescent="0.25">
      <c r="B438" s="1"/>
      <c r="C438" s="113">
        <v>421</v>
      </c>
      <c r="D438" s="110"/>
      <c r="E438" s="110"/>
      <c r="F438" s="19" t="str">
        <f t="shared" si="6"/>
        <v/>
      </c>
      <c r="G438" s="2"/>
    </row>
    <row r="439" spans="2:7" ht="15" customHeight="1" x14ac:dyDescent="0.25">
      <c r="B439" s="1"/>
      <c r="C439" s="113">
        <v>422</v>
      </c>
      <c r="D439" s="110"/>
      <c r="E439" s="110"/>
      <c r="F439" s="19" t="str">
        <f t="shared" si="6"/>
        <v/>
      </c>
      <c r="G439" s="2"/>
    </row>
    <row r="440" spans="2:7" ht="15" customHeight="1" x14ac:dyDescent="0.25">
      <c r="B440" s="1"/>
      <c r="C440" s="113">
        <v>423</v>
      </c>
      <c r="D440" s="110"/>
      <c r="E440" s="110"/>
      <c r="F440" s="19" t="str">
        <f t="shared" si="6"/>
        <v/>
      </c>
      <c r="G440" s="2"/>
    </row>
    <row r="441" spans="2:7" ht="15" customHeight="1" x14ac:dyDescent="0.25">
      <c r="B441" s="1"/>
      <c r="C441" s="113">
        <v>424</v>
      </c>
      <c r="D441" s="110"/>
      <c r="E441" s="110"/>
      <c r="F441" s="19" t="str">
        <f t="shared" si="6"/>
        <v/>
      </c>
      <c r="G441" s="2"/>
    </row>
    <row r="442" spans="2:7" ht="15" customHeight="1" x14ac:dyDescent="0.25">
      <c r="B442" s="1"/>
      <c r="C442" s="113">
        <v>425</v>
      </c>
      <c r="D442" s="110"/>
      <c r="E442" s="110"/>
      <c r="F442" s="19" t="str">
        <f t="shared" si="6"/>
        <v/>
      </c>
      <c r="G442" s="2"/>
    </row>
    <row r="443" spans="2:7" ht="15" customHeight="1" x14ac:dyDescent="0.25">
      <c r="B443" s="1"/>
      <c r="C443" s="113">
        <v>426</v>
      </c>
      <c r="D443" s="110"/>
      <c r="E443" s="110"/>
      <c r="F443" s="19" t="str">
        <f t="shared" si="6"/>
        <v/>
      </c>
      <c r="G443" s="2"/>
    </row>
    <row r="444" spans="2:7" ht="15" customHeight="1" x14ac:dyDescent="0.25">
      <c r="B444" s="1"/>
      <c r="C444" s="113">
        <v>427</v>
      </c>
      <c r="D444" s="110"/>
      <c r="E444" s="110"/>
      <c r="F444" s="19" t="str">
        <f t="shared" si="6"/>
        <v/>
      </c>
      <c r="G444" s="2"/>
    </row>
    <row r="445" spans="2:7" ht="15" customHeight="1" x14ac:dyDescent="0.25">
      <c r="B445" s="1"/>
      <c r="C445" s="113">
        <v>428</v>
      </c>
      <c r="D445" s="110"/>
      <c r="E445" s="110"/>
      <c r="F445" s="19" t="str">
        <f t="shared" si="6"/>
        <v/>
      </c>
      <c r="G445" s="2"/>
    </row>
    <row r="446" spans="2:7" ht="15" customHeight="1" x14ac:dyDescent="0.25">
      <c r="B446" s="1"/>
      <c r="C446" s="113">
        <v>429</v>
      </c>
      <c r="D446" s="110"/>
      <c r="E446" s="110"/>
      <c r="F446" s="19" t="str">
        <f t="shared" si="6"/>
        <v/>
      </c>
      <c r="G446" s="2"/>
    </row>
    <row r="447" spans="2:7" ht="15" customHeight="1" x14ac:dyDescent="0.25">
      <c r="B447" s="1"/>
      <c r="C447" s="113">
        <v>430</v>
      </c>
      <c r="D447" s="110"/>
      <c r="E447" s="110"/>
      <c r="F447" s="19" t="str">
        <f t="shared" si="6"/>
        <v/>
      </c>
      <c r="G447" s="2"/>
    </row>
    <row r="448" spans="2:7" ht="15" customHeight="1" x14ac:dyDescent="0.25">
      <c r="B448" s="1"/>
      <c r="C448" s="113">
        <v>431</v>
      </c>
      <c r="D448" s="110"/>
      <c r="E448" s="110"/>
      <c r="F448" s="19" t="str">
        <f t="shared" si="6"/>
        <v/>
      </c>
      <c r="G448" s="2"/>
    </row>
    <row r="449" spans="2:7" ht="15" customHeight="1" x14ac:dyDescent="0.25">
      <c r="B449" s="1"/>
      <c r="C449" s="113">
        <v>432</v>
      </c>
      <c r="D449" s="110"/>
      <c r="E449" s="110"/>
      <c r="F449" s="19" t="str">
        <f t="shared" si="6"/>
        <v/>
      </c>
      <c r="G449" s="2"/>
    </row>
    <row r="450" spans="2:7" ht="15" customHeight="1" x14ac:dyDescent="0.25">
      <c r="B450" s="1"/>
      <c r="C450" s="113">
        <v>433</v>
      </c>
      <c r="D450" s="110"/>
      <c r="E450" s="110"/>
      <c r="F450" s="19" t="str">
        <f t="shared" si="6"/>
        <v/>
      </c>
      <c r="G450" s="2"/>
    </row>
    <row r="451" spans="2:7" ht="15" customHeight="1" x14ac:dyDescent="0.25">
      <c r="B451" s="1"/>
      <c r="C451" s="113">
        <v>434</v>
      </c>
      <c r="D451" s="110"/>
      <c r="E451" s="110"/>
      <c r="F451" s="19" t="str">
        <f t="shared" si="6"/>
        <v/>
      </c>
      <c r="G451" s="2"/>
    </row>
    <row r="452" spans="2:7" ht="15" customHeight="1" x14ac:dyDescent="0.25">
      <c r="B452" s="1"/>
      <c r="C452" s="113">
        <v>435</v>
      </c>
      <c r="D452" s="110"/>
      <c r="E452" s="110"/>
      <c r="F452" s="19" t="str">
        <f t="shared" si="6"/>
        <v/>
      </c>
      <c r="G452" s="2"/>
    </row>
    <row r="453" spans="2:7" ht="15" customHeight="1" x14ac:dyDescent="0.25">
      <c r="B453" s="1"/>
      <c r="C453" s="113">
        <v>436</v>
      </c>
      <c r="D453" s="110"/>
      <c r="E453" s="110"/>
      <c r="F453" s="19" t="str">
        <f t="shared" si="6"/>
        <v/>
      </c>
      <c r="G453" s="2"/>
    </row>
    <row r="454" spans="2:7" ht="15" customHeight="1" x14ac:dyDescent="0.25">
      <c r="B454" s="1"/>
      <c r="C454" s="113">
        <v>437</v>
      </c>
      <c r="D454" s="110"/>
      <c r="E454" s="110"/>
      <c r="F454" s="19" t="str">
        <f t="shared" si="6"/>
        <v/>
      </c>
      <c r="G454" s="2"/>
    </row>
    <row r="455" spans="2:7" ht="15" customHeight="1" x14ac:dyDescent="0.25">
      <c r="B455" s="1"/>
      <c r="C455" s="113">
        <v>438</v>
      </c>
      <c r="D455" s="110"/>
      <c r="E455" s="110"/>
      <c r="F455" s="19" t="str">
        <f t="shared" si="6"/>
        <v/>
      </c>
      <c r="G455" s="2"/>
    </row>
    <row r="456" spans="2:7" ht="15" customHeight="1" x14ac:dyDescent="0.25">
      <c r="B456" s="1"/>
      <c r="C456" s="113">
        <v>439</v>
      </c>
      <c r="D456" s="110"/>
      <c r="E456" s="110"/>
      <c r="F456" s="19" t="str">
        <f t="shared" si="6"/>
        <v/>
      </c>
      <c r="G456" s="2"/>
    </row>
    <row r="457" spans="2:7" ht="15" customHeight="1" x14ac:dyDescent="0.25">
      <c r="B457" s="1"/>
      <c r="C457" s="113">
        <v>440</v>
      </c>
      <c r="D457" s="110"/>
      <c r="E457" s="110"/>
      <c r="F457" s="19" t="str">
        <f t="shared" si="6"/>
        <v/>
      </c>
      <c r="G457" s="2"/>
    </row>
    <row r="458" spans="2:7" ht="15" customHeight="1" x14ac:dyDescent="0.25">
      <c r="B458" s="1"/>
      <c r="C458" s="113">
        <v>441</v>
      </c>
      <c r="D458" s="110"/>
      <c r="E458" s="110"/>
      <c r="F458" s="19" t="str">
        <f t="shared" si="6"/>
        <v/>
      </c>
      <c r="G458" s="2"/>
    </row>
    <row r="459" spans="2:7" ht="15" customHeight="1" x14ac:dyDescent="0.25">
      <c r="B459" s="1"/>
      <c r="C459" s="113">
        <v>442</v>
      </c>
      <c r="D459" s="110"/>
      <c r="E459" s="110"/>
      <c r="F459" s="19" t="str">
        <f t="shared" si="6"/>
        <v/>
      </c>
      <c r="G459" s="2"/>
    </row>
    <row r="460" spans="2:7" ht="15" customHeight="1" x14ac:dyDescent="0.25">
      <c r="B460" s="1"/>
      <c r="C460" s="113">
        <v>443</v>
      </c>
      <c r="D460" s="110"/>
      <c r="E460" s="110"/>
      <c r="F460" s="19" t="str">
        <f t="shared" si="6"/>
        <v/>
      </c>
      <c r="G460" s="2"/>
    </row>
    <row r="461" spans="2:7" ht="15" customHeight="1" x14ac:dyDescent="0.25">
      <c r="B461" s="1"/>
      <c r="C461" s="113">
        <v>444</v>
      </c>
      <c r="D461" s="110"/>
      <c r="E461" s="110"/>
      <c r="F461" s="19" t="str">
        <f t="shared" si="6"/>
        <v/>
      </c>
      <c r="G461" s="2"/>
    </row>
    <row r="462" spans="2:7" ht="15" customHeight="1" x14ac:dyDescent="0.25">
      <c r="B462" s="1"/>
      <c r="C462" s="113">
        <v>445</v>
      </c>
      <c r="D462" s="110"/>
      <c r="E462" s="110"/>
      <c r="F462" s="19" t="str">
        <f t="shared" si="6"/>
        <v/>
      </c>
      <c r="G462" s="2"/>
    </row>
    <row r="463" spans="2:7" ht="15" customHeight="1" x14ac:dyDescent="0.25">
      <c r="B463" s="1"/>
      <c r="C463" s="113">
        <v>446</v>
      </c>
      <c r="D463" s="110"/>
      <c r="E463" s="110"/>
      <c r="F463" s="19" t="str">
        <f t="shared" si="6"/>
        <v/>
      </c>
      <c r="G463" s="2"/>
    </row>
    <row r="464" spans="2:7" ht="15" customHeight="1" x14ac:dyDescent="0.25">
      <c r="B464" s="1"/>
      <c r="C464" s="113">
        <v>447</v>
      </c>
      <c r="D464" s="110"/>
      <c r="E464" s="110"/>
      <c r="F464" s="19" t="str">
        <f t="shared" si="6"/>
        <v/>
      </c>
      <c r="G464" s="2"/>
    </row>
    <row r="465" spans="2:7" ht="15" customHeight="1" x14ac:dyDescent="0.25">
      <c r="B465" s="1"/>
      <c r="C465" s="113">
        <v>448</v>
      </c>
      <c r="D465" s="110"/>
      <c r="E465" s="110"/>
      <c r="F465" s="19" t="str">
        <f t="shared" si="6"/>
        <v/>
      </c>
      <c r="G465" s="2"/>
    </row>
    <row r="466" spans="2:7" ht="15" customHeight="1" x14ac:dyDescent="0.25">
      <c r="B466" s="1"/>
      <c r="C466" s="113">
        <v>449</v>
      </c>
      <c r="D466" s="110"/>
      <c r="E466" s="110"/>
      <c r="F466" s="19" t="str">
        <f t="shared" si="6"/>
        <v/>
      </c>
      <c r="G466" s="2"/>
    </row>
    <row r="467" spans="2:7" ht="15" customHeight="1" x14ac:dyDescent="0.25">
      <c r="B467" s="1"/>
      <c r="C467" s="113">
        <v>450</v>
      </c>
      <c r="D467" s="110"/>
      <c r="E467" s="110"/>
      <c r="F467" s="19" t="str">
        <f t="shared" ref="F467:F530" si="7">IFERROR(IF(AND(LEFT(D467,6)=LEFT(E467,6),RIGHT(E467,9)-RIGHT(D467,9)&gt;=0),RIGHT(E467,9)-RIGHT(D467,9)+1,""),"")</f>
        <v/>
      </c>
      <c r="G467" s="2"/>
    </row>
    <row r="468" spans="2:7" ht="15" customHeight="1" x14ac:dyDescent="0.25">
      <c r="B468" s="1"/>
      <c r="C468" s="113">
        <v>451</v>
      </c>
      <c r="D468" s="110"/>
      <c r="E468" s="110"/>
      <c r="F468" s="19" t="str">
        <f t="shared" si="7"/>
        <v/>
      </c>
      <c r="G468" s="2"/>
    </row>
    <row r="469" spans="2:7" ht="15" customHeight="1" x14ac:dyDescent="0.25">
      <c r="B469" s="1"/>
      <c r="C469" s="113">
        <v>452</v>
      </c>
      <c r="D469" s="110"/>
      <c r="E469" s="110"/>
      <c r="F469" s="19" t="str">
        <f t="shared" si="7"/>
        <v/>
      </c>
      <c r="G469" s="2"/>
    </row>
    <row r="470" spans="2:7" ht="15" customHeight="1" x14ac:dyDescent="0.25">
      <c r="B470" s="1"/>
      <c r="C470" s="113">
        <v>453</v>
      </c>
      <c r="D470" s="110"/>
      <c r="E470" s="110"/>
      <c r="F470" s="19" t="str">
        <f t="shared" si="7"/>
        <v/>
      </c>
      <c r="G470" s="2"/>
    </row>
    <row r="471" spans="2:7" ht="15" customHeight="1" x14ac:dyDescent="0.25">
      <c r="B471" s="1"/>
      <c r="C471" s="113">
        <v>454</v>
      </c>
      <c r="D471" s="110"/>
      <c r="E471" s="110"/>
      <c r="F471" s="19" t="str">
        <f t="shared" si="7"/>
        <v/>
      </c>
      <c r="G471" s="2"/>
    </row>
    <row r="472" spans="2:7" ht="15" customHeight="1" x14ac:dyDescent="0.25">
      <c r="B472" s="1"/>
      <c r="C472" s="113">
        <v>455</v>
      </c>
      <c r="D472" s="110"/>
      <c r="E472" s="110"/>
      <c r="F472" s="19" t="str">
        <f t="shared" si="7"/>
        <v/>
      </c>
      <c r="G472" s="2"/>
    </row>
    <row r="473" spans="2:7" ht="15" customHeight="1" x14ac:dyDescent="0.25">
      <c r="B473" s="1"/>
      <c r="C473" s="113">
        <v>456</v>
      </c>
      <c r="D473" s="110"/>
      <c r="E473" s="110"/>
      <c r="F473" s="19" t="str">
        <f t="shared" si="7"/>
        <v/>
      </c>
      <c r="G473" s="2"/>
    </row>
    <row r="474" spans="2:7" ht="15" customHeight="1" x14ac:dyDescent="0.25">
      <c r="B474" s="1"/>
      <c r="C474" s="113">
        <v>457</v>
      </c>
      <c r="D474" s="110"/>
      <c r="E474" s="110"/>
      <c r="F474" s="19" t="str">
        <f t="shared" si="7"/>
        <v/>
      </c>
      <c r="G474" s="2"/>
    </row>
    <row r="475" spans="2:7" ht="15" customHeight="1" x14ac:dyDescent="0.25">
      <c r="B475" s="1"/>
      <c r="C475" s="113">
        <v>458</v>
      </c>
      <c r="D475" s="110"/>
      <c r="E475" s="110"/>
      <c r="F475" s="19" t="str">
        <f t="shared" si="7"/>
        <v/>
      </c>
      <c r="G475" s="2"/>
    </row>
    <row r="476" spans="2:7" ht="15" customHeight="1" x14ac:dyDescent="0.25">
      <c r="B476" s="1"/>
      <c r="C476" s="113">
        <v>459</v>
      </c>
      <c r="D476" s="110"/>
      <c r="E476" s="110"/>
      <c r="F476" s="19" t="str">
        <f t="shared" si="7"/>
        <v/>
      </c>
      <c r="G476" s="2"/>
    </row>
    <row r="477" spans="2:7" ht="15" customHeight="1" x14ac:dyDescent="0.25">
      <c r="B477" s="1"/>
      <c r="C477" s="113">
        <v>460</v>
      </c>
      <c r="D477" s="110"/>
      <c r="E477" s="110"/>
      <c r="F477" s="19" t="str">
        <f t="shared" si="7"/>
        <v/>
      </c>
      <c r="G477" s="2"/>
    </row>
    <row r="478" spans="2:7" ht="15" customHeight="1" x14ac:dyDescent="0.25">
      <c r="B478" s="1"/>
      <c r="C478" s="113">
        <v>461</v>
      </c>
      <c r="D478" s="110"/>
      <c r="E478" s="110"/>
      <c r="F478" s="19" t="str">
        <f t="shared" si="7"/>
        <v/>
      </c>
      <c r="G478" s="2"/>
    </row>
    <row r="479" spans="2:7" ht="15" customHeight="1" x14ac:dyDescent="0.25">
      <c r="B479" s="1"/>
      <c r="C479" s="113">
        <v>462</v>
      </c>
      <c r="D479" s="110"/>
      <c r="E479" s="110"/>
      <c r="F479" s="19" t="str">
        <f t="shared" si="7"/>
        <v/>
      </c>
      <c r="G479" s="2"/>
    </row>
    <row r="480" spans="2:7" ht="15" customHeight="1" x14ac:dyDescent="0.25">
      <c r="B480" s="1"/>
      <c r="C480" s="113">
        <v>463</v>
      </c>
      <c r="D480" s="110"/>
      <c r="E480" s="110"/>
      <c r="F480" s="19" t="str">
        <f t="shared" si="7"/>
        <v/>
      </c>
      <c r="G480" s="2"/>
    </row>
    <row r="481" spans="2:7" ht="15" customHeight="1" x14ac:dyDescent="0.25">
      <c r="B481" s="1"/>
      <c r="C481" s="113">
        <v>464</v>
      </c>
      <c r="D481" s="110"/>
      <c r="E481" s="110"/>
      <c r="F481" s="19" t="str">
        <f t="shared" si="7"/>
        <v/>
      </c>
      <c r="G481" s="2"/>
    </row>
    <row r="482" spans="2:7" ht="15" customHeight="1" x14ac:dyDescent="0.25">
      <c r="B482" s="1"/>
      <c r="C482" s="113">
        <v>465</v>
      </c>
      <c r="D482" s="110"/>
      <c r="E482" s="110"/>
      <c r="F482" s="19" t="str">
        <f t="shared" si="7"/>
        <v/>
      </c>
      <c r="G482" s="2"/>
    </row>
    <row r="483" spans="2:7" ht="15" customHeight="1" x14ac:dyDescent="0.25">
      <c r="B483" s="1"/>
      <c r="C483" s="113">
        <v>466</v>
      </c>
      <c r="D483" s="110"/>
      <c r="E483" s="110"/>
      <c r="F483" s="19" t="str">
        <f t="shared" si="7"/>
        <v/>
      </c>
      <c r="G483" s="2"/>
    </row>
    <row r="484" spans="2:7" ht="15" customHeight="1" x14ac:dyDescent="0.25">
      <c r="B484" s="1"/>
      <c r="C484" s="113">
        <v>467</v>
      </c>
      <c r="D484" s="110"/>
      <c r="E484" s="110"/>
      <c r="F484" s="19" t="str">
        <f t="shared" si="7"/>
        <v/>
      </c>
      <c r="G484" s="2"/>
    </row>
    <row r="485" spans="2:7" ht="15" customHeight="1" x14ac:dyDescent="0.25">
      <c r="B485" s="1"/>
      <c r="C485" s="113">
        <v>468</v>
      </c>
      <c r="D485" s="110"/>
      <c r="E485" s="110"/>
      <c r="F485" s="19" t="str">
        <f t="shared" si="7"/>
        <v/>
      </c>
      <c r="G485" s="2"/>
    </row>
    <row r="486" spans="2:7" ht="15" customHeight="1" x14ac:dyDescent="0.25">
      <c r="B486" s="1"/>
      <c r="C486" s="113">
        <v>469</v>
      </c>
      <c r="D486" s="110"/>
      <c r="E486" s="110"/>
      <c r="F486" s="19" t="str">
        <f t="shared" si="7"/>
        <v/>
      </c>
      <c r="G486" s="2"/>
    </row>
    <row r="487" spans="2:7" ht="15" customHeight="1" x14ac:dyDescent="0.25">
      <c r="B487" s="1"/>
      <c r="C487" s="113">
        <v>470</v>
      </c>
      <c r="D487" s="110"/>
      <c r="E487" s="110"/>
      <c r="F487" s="19" t="str">
        <f t="shared" si="7"/>
        <v/>
      </c>
      <c r="G487" s="2"/>
    </row>
    <row r="488" spans="2:7" ht="15" customHeight="1" x14ac:dyDescent="0.25">
      <c r="B488" s="1"/>
      <c r="C488" s="113">
        <v>471</v>
      </c>
      <c r="D488" s="110"/>
      <c r="E488" s="110"/>
      <c r="F488" s="19" t="str">
        <f t="shared" si="7"/>
        <v/>
      </c>
      <c r="G488" s="2"/>
    </row>
    <row r="489" spans="2:7" ht="15" customHeight="1" x14ac:dyDescent="0.25">
      <c r="B489" s="1"/>
      <c r="C489" s="113">
        <v>472</v>
      </c>
      <c r="D489" s="110"/>
      <c r="E489" s="110"/>
      <c r="F489" s="19" t="str">
        <f t="shared" si="7"/>
        <v/>
      </c>
      <c r="G489" s="2"/>
    </row>
    <row r="490" spans="2:7" ht="15" customHeight="1" x14ac:dyDescent="0.25">
      <c r="B490" s="1"/>
      <c r="C490" s="113">
        <v>473</v>
      </c>
      <c r="D490" s="110"/>
      <c r="E490" s="110"/>
      <c r="F490" s="19" t="str">
        <f t="shared" si="7"/>
        <v/>
      </c>
      <c r="G490" s="2"/>
    </row>
    <row r="491" spans="2:7" ht="15" customHeight="1" x14ac:dyDescent="0.25">
      <c r="B491" s="1"/>
      <c r="C491" s="113">
        <v>474</v>
      </c>
      <c r="D491" s="110"/>
      <c r="E491" s="110"/>
      <c r="F491" s="19" t="str">
        <f t="shared" si="7"/>
        <v/>
      </c>
      <c r="G491" s="2"/>
    </row>
    <row r="492" spans="2:7" ht="15" customHeight="1" x14ac:dyDescent="0.25">
      <c r="B492" s="1"/>
      <c r="C492" s="113">
        <v>475</v>
      </c>
      <c r="D492" s="110"/>
      <c r="E492" s="110"/>
      <c r="F492" s="19" t="str">
        <f t="shared" si="7"/>
        <v/>
      </c>
      <c r="G492" s="2"/>
    </row>
    <row r="493" spans="2:7" ht="15" customHeight="1" x14ac:dyDescent="0.25">
      <c r="B493" s="1"/>
      <c r="C493" s="113">
        <v>476</v>
      </c>
      <c r="D493" s="110"/>
      <c r="E493" s="110"/>
      <c r="F493" s="19" t="str">
        <f t="shared" si="7"/>
        <v/>
      </c>
      <c r="G493" s="2"/>
    </row>
    <row r="494" spans="2:7" ht="15" customHeight="1" x14ac:dyDescent="0.25">
      <c r="B494" s="1"/>
      <c r="C494" s="113">
        <v>477</v>
      </c>
      <c r="D494" s="110"/>
      <c r="E494" s="110"/>
      <c r="F494" s="19" t="str">
        <f t="shared" si="7"/>
        <v/>
      </c>
      <c r="G494" s="2"/>
    </row>
    <row r="495" spans="2:7" ht="15" customHeight="1" x14ac:dyDescent="0.25">
      <c r="B495" s="1"/>
      <c r="C495" s="113">
        <v>478</v>
      </c>
      <c r="D495" s="110"/>
      <c r="E495" s="110"/>
      <c r="F495" s="19" t="str">
        <f t="shared" si="7"/>
        <v/>
      </c>
      <c r="G495" s="2"/>
    </row>
    <row r="496" spans="2:7" ht="15" customHeight="1" x14ac:dyDescent="0.25">
      <c r="B496" s="1"/>
      <c r="C496" s="113">
        <v>479</v>
      </c>
      <c r="D496" s="110"/>
      <c r="E496" s="110"/>
      <c r="F496" s="19" t="str">
        <f t="shared" si="7"/>
        <v/>
      </c>
      <c r="G496" s="2"/>
    </row>
    <row r="497" spans="2:7" ht="15" customHeight="1" x14ac:dyDescent="0.25">
      <c r="B497" s="1"/>
      <c r="C497" s="113">
        <v>480</v>
      </c>
      <c r="D497" s="110"/>
      <c r="E497" s="110"/>
      <c r="F497" s="19" t="str">
        <f t="shared" si="7"/>
        <v/>
      </c>
      <c r="G497" s="2"/>
    </row>
    <row r="498" spans="2:7" ht="15" customHeight="1" x14ac:dyDescent="0.25">
      <c r="B498" s="1"/>
      <c r="C498" s="113">
        <v>481</v>
      </c>
      <c r="D498" s="110"/>
      <c r="E498" s="110"/>
      <c r="F498" s="19" t="str">
        <f t="shared" si="7"/>
        <v/>
      </c>
      <c r="G498" s="2"/>
    </row>
    <row r="499" spans="2:7" ht="15" customHeight="1" x14ac:dyDescent="0.25">
      <c r="B499" s="1"/>
      <c r="C499" s="113">
        <v>482</v>
      </c>
      <c r="D499" s="110"/>
      <c r="E499" s="110"/>
      <c r="F499" s="19" t="str">
        <f t="shared" si="7"/>
        <v/>
      </c>
      <c r="G499" s="2"/>
    </row>
    <row r="500" spans="2:7" ht="15" customHeight="1" x14ac:dyDescent="0.25">
      <c r="B500" s="1"/>
      <c r="C500" s="113">
        <v>483</v>
      </c>
      <c r="D500" s="110"/>
      <c r="E500" s="110"/>
      <c r="F500" s="19" t="str">
        <f t="shared" si="7"/>
        <v/>
      </c>
      <c r="G500" s="2"/>
    </row>
    <row r="501" spans="2:7" ht="15" customHeight="1" x14ac:dyDescent="0.25">
      <c r="B501" s="1"/>
      <c r="C501" s="113">
        <v>484</v>
      </c>
      <c r="D501" s="110"/>
      <c r="E501" s="110"/>
      <c r="F501" s="19" t="str">
        <f t="shared" si="7"/>
        <v/>
      </c>
      <c r="G501" s="2"/>
    </row>
    <row r="502" spans="2:7" ht="15" customHeight="1" x14ac:dyDescent="0.25">
      <c r="B502" s="1"/>
      <c r="C502" s="113">
        <v>485</v>
      </c>
      <c r="D502" s="110"/>
      <c r="E502" s="110"/>
      <c r="F502" s="19" t="str">
        <f t="shared" si="7"/>
        <v/>
      </c>
      <c r="G502" s="2"/>
    </row>
    <row r="503" spans="2:7" ht="15" customHeight="1" x14ac:dyDescent="0.25">
      <c r="B503" s="1"/>
      <c r="C503" s="113">
        <v>486</v>
      </c>
      <c r="D503" s="110"/>
      <c r="E503" s="110"/>
      <c r="F503" s="19" t="str">
        <f t="shared" si="7"/>
        <v/>
      </c>
      <c r="G503" s="2"/>
    </row>
    <row r="504" spans="2:7" ht="15" customHeight="1" x14ac:dyDescent="0.25">
      <c r="B504" s="1"/>
      <c r="C504" s="113">
        <v>487</v>
      </c>
      <c r="D504" s="110"/>
      <c r="E504" s="110"/>
      <c r="F504" s="19" t="str">
        <f t="shared" si="7"/>
        <v/>
      </c>
      <c r="G504" s="2"/>
    </row>
    <row r="505" spans="2:7" ht="15" customHeight="1" x14ac:dyDescent="0.25">
      <c r="B505" s="1"/>
      <c r="C505" s="113">
        <v>488</v>
      </c>
      <c r="D505" s="110"/>
      <c r="E505" s="110"/>
      <c r="F505" s="19" t="str">
        <f t="shared" si="7"/>
        <v/>
      </c>
      <c r="G505" s="2"/>
    </row>
    <row r="506" spans="2:7" ht="15" customHeight="1" x14ac:dyDescent="0.25">
      <c r="B506" s="1"/>
      <c r="C506" s="113">
        <v>489</v>
      </c>
      <c r="D506" s="110"/>
      <c r="E506" s="110"/>
      <c r="F506" s="19" t="str">
        <f t="shared" si="7"/>
        <v/>
      </c>
      <c r="G506" s="2"/>
    </row>
    <row r="507" spans="2:7" ht="15" customHeight="1" x14ac:dyDescent="0.25">
      <c r="B507" s="1"/>
      <c r="C507" s="113">
        <v>490</v>
      </c>
      <c r="D507" s="110"/>
      <c r="E507" s="110"/>
      <c r="F507" s="19" t="str">
        <f t="shared" si="7"/>
        <v/>
      </c>
      <c r="G507" s="2"/>
    </row>
    <row r="508" spans="2:7" ht="15" customHeight="1" x14ac:dyDescent="0.25">
      <c r="B508" s="1"/>
      <c r="C508" s="113">
        <v>491</v>
      </c>
      <c r="D508" s="110"/>
      <c r="E508" s="110"/>
      <c r="F508" s="19" t="str">
        <f t="shared" si="7"/>
        <v/>
      </c>
      <c r="G508" s="2"/>
    </row>
    <row r="509" spans="2:7" ht="15" customHeight="1" x14ac:dyDescent="0.25">
      <c r="B509" s="1"/>
      <c r="C509" s="113">
        <v>492</v>
      </c>
      <c r="D509" s="110"/>
      <c r="E509" s="110"/>
      <c r="F509" s="19" t="str">
        <f t="shared" si="7"/>
        <v/>
      </c>
      <c r="G509" s="2"/>
    </row>
    <row r="510" spans="2:7" ht="15" customHeight="1" x14ac:dyDescent="0.25">
      <c r="B510" s="1"/>
      <c r="C510" s="113">
        <v>493</v>
      </c>
      <c r="D510" s="110"/>
      <c r="E510" s="110"/>
      <c r="F510" s="19" t="str">
        <f t="shared" si="7"/>
        <v/>
      </c>
      <c r="G510" s="2"/>
    </row>
    <row r="511" spans="2:7" ht="15" customHeight="1" x14ac:dyDescent="0.25">
      <c r="B511" s="1"/>
      <c r="C511" s="113">
        <v>494</v>
      </c>
      <c r="D511" s="110"/>
      <c r="E511" s="110"/>
      <c r="F511" s="19" t="str">
        <f t="shared" si="7"/>
        <v/>
      </c>
      <c r="G511" s="2"/>
    </row>
    <row r="512" spans="2:7" ht="15" customHeight="1" x14ac:dyDescent="0.25">
      <c r="B512" s="1"/>
      <c r="C512" s="113">
        <v>495</v>
      </c>
      <c r="D512" s="110"/>
      <c r="E512" s="110"/>
      <c r="F512" s="19" t="str">
        <f t="shared" si="7"/>
        <v/>
      </c>
      <c r="G512" s="2"/>
    </row>
    <row r="513" spans="2:7" ht="15" customHeight="1" x14ac:dyDescent="0.25">
      <c r="B513" s="1"/>
      <c r="C513" s="113">
        <v>496</v>
      </c>
      <c r="D513" s="110"/>
      <c r="E513" s="110"/>
      <c r="F513" s="19" t="str">
        <f t="shared" si="7"/>
        <v/>
      </c>
      <c r="G513" s="2"/>
    </row>
    <row r="514" spans="2:7" ht="15" customHeight="1" x14ac:dyDescent="0.25">
      <c r="B514" s="1"/>
      <c r="C514" s="113">
        <v>497</v>
      </c>
      <c r="D514" s="110"/>
      <c r="E514" s="110"/>
      <c r="F514" s="19" t="str">
        <f t="shared" si="7"/>
        <v/>
      </c>
      <c r="G514" s="2"/>
    </row>
    <row r="515" spans="2:7" ht="15" customHeight="1" x14ac:dyDescent="0.25">
      <c r="B515" s="1"/>
      <c r="C515" s="113">
        <v>498</v>
      </c>
      <c r="D515" s="110"/>
      <c r="E515" s="110"/>
      <c r="F515" s="19" t="str">
        <f t="shared" si="7"/>
        <v/>
      </c>
      <c r="G515" s="2"/>
    </row>
    <row r="516" spans="2:7" ht="15" customHeight="1" x14ac:dyDescent="0.25">
      <c r="B516" s="1"/>
      <c r="C516" s="113">
        <v>499</v>
      </c>
      <c r="D516" s="110"/>
      <c r="E516" s="110"/>
      <c r="F516" s="19" t="str">
        <f t="shared" si="7"/>
        <v/>
      </c>
      <c r="G516" s="2"/>
    </row>
    <row r="517" spans="2:7" ht="15" customHeight="1" x14ac:dyDescent="0.25">
      <c r="B517" s="1"/>
      <c r="C517" s="113">
        <v>500</v>
      </c>
      <c r="D517" s="110"/>
      <c r="E517" s="110"/>
      <c r="F517" s="19" t="str">
        <f t="shared" si="7"/>
        <v/>
      </c>
      <c r="G517" s="2"/>
    </row>
    <row r="518" spans="2:7" ht="15" customHeight="1" x14ac:dyDescent="0.25">
      <c r="B518" s="1"/>
      <c r="C518" s="113">
        <v>501</v>
      </c>
      <c r="D518" s="110"/>
      <c r="E518" s="110"/>
      <c r="F518" s="19" t="str">
        <f t="shared" si="7"/>
        <v/>
      </c>
      <c r="G518" s="2"/>
    </row>
    <row r="519" spans="2:7" ht="15" customHeight="1" x14ac:dyDescent="0.25">
      <c r="B519" s="1"/>
      <c r="C519" s="113">
        <v>502</v>
      </c>
      <c r="D519" s="110"/>
      <c r="E519" s="110"/>
      <c r="F519" s="19" t="str">
        <f t="shared" si="7"/>
        <v/>
      </c>
      <c r="G519" s="2"/>
    </row>
    <row r="520" spans="2:7" ht="15" customHeight="1" x14ac:dyDescent="0.25">
      <c r="B520" s="1"/>
      <c r="C520" s="113">
        <v>503</v>
      </c>
      <c r="D520" s="110"/>
      <c r="E520" s="110"/>
      <c r="F520" s="19" t="str">
        <f t="shared" si="7"/>
        <v/>
      </c>
      <c r="G520" s="2"/>
    </row>
    <row r="521" spans="2:7" ht="15" customHeight="1" x14ac:dyDescent="0.25">
      <c r="B521" s="1"/>
      <c r="C521" s="113">
        <v>504</v>
      </c>
      <c r="D521" s="110"/>
      <c r="E521" s="110"/>
      <c r="F521" s="19" t="str">
        <f t="shared" si="7"/>
        <v/>
      </c>
      <c r="G521" s="2"/>
    </row>
    <row r="522" spans="2:7" ht="15" customHeight="1" x14ac:dyDescent="0.25">
      <c r="B522" s="1"/>
      <c r="C522" s="113">
        <v>505</v>
      </c>
      <c r="D522" s="110"/>
      <c r="E522" s="110"/>
      <c r="F522" s="19" t="str">
        <f t="shared" si="7"/>
        <v/>
      </c>
      <c r="G522" s="2"/>
    </row>
    <row r="523" spans="2:7" ht="15" customHeight="1" x14ac:dyDescent="0.25">
      <c r="B523" s="1"/>
      <c r="C523" s="113">
        <v>506</v>
      </c>
      <c r="D523" s="110"/>
      <c r="E523" s="110"/>
      <c r="F523" s="19" t="str">
        <f t="shared" si="7"/>
        <v/>
      </c>
      <c r="G523" s="2"/>
    </row>
    <row r="524" spans="2:7" ht="15" customHeight="1" x14ac:dyDescent="0.25">
      <c r="B524" s="1"/>
      <c r="C524" s="113">
        <v>507</v>
      </c>
      <c r="D524" s="110"/>
      <c r="E524" s="110"/>
      <c r="F524" s="19" t="str">
        <f t="shared" si="7"/>
        <v/>
      </c>
      <c r="G524" s="2"/>
    </row>
    <row r="525" spans="2:7" ht="15" customHeight="1" x14ac:dyDescent="0.25">
      <c r="B525" s="1"/>
      <c r="C525" s="113">
        <v>508</v>
      </c>
      <c r="D525" s="110"/>
      <c r="E525" s="110"/>
      <c r="F525" s="19" t="str">
        <f t="shared" si="7"/>
        <v/>
      </c>
      <c r="G525" s="2"/>
    </row>
    <row r="526" spans="2:7" ht="15" customHeight="1" x14ac:dyDescent="0.25">
      <c r="B526" s="1"/>
      <c r="C526" s="113">
        <v>509</v>
      </c>
      <c r="D526" s="110"/>
      <c r="E526" s="110"/>
      <c r="F526" s="19" t="str">
        <f t="shared" si="7"/>
        <v/>
      </c>
      <c r="G526" s="2"/>
    </row>
    <row r="527" spans="2:7" ht="15" customHeight="1" x14ac:dyDescent="0.25">
      <c r="B527" s="1"/>
      <c r="C527" s="113">
        <v>510</v>
      </c>
      <c r="D527" s="110"/>
      <c r="E527" s="110"/>
      <c r="F527" s="19" t="str">
        <f t="shared" si="7"/>
        <v/>
      </c>
      <c r="G527" s="2"/>
    </row>
    <row r="528" spans="2:7" ht="15" customHeight="1" x14ac:dyDescent="0.25">
      <c r="B528" s="1"/>
      <c r="C528" s="113">
        <v>511</v>
      </c>
      <c r="D528" s="110"/>
      <c r="E528" s="110"/>
      <c r="F528" s="19" t="str">
        <f t="shared" si="7"/>
        <v/>
      </c>
      <c r="G528" s="2"/>
    </row>
    <row r="529" spans="2:7" ht="15" customHeight="1" x14ac:dyDescent="0.25">
      <c r="B529" s="1"/>
      <c r="C529" s="113">
        <v>512</v>
      </c>
      <c r="D529" s="110"/>
      <c r="E529" s="110"/>
      <c r="F529" s="19" t="str">
        <f t="shared" si="7"/>
        <v/>
      </c>
      <c r="G529" s="2"/>
    </row>
    <row r="530" spans="2:7" ht="15" customHeight="1" x14ac:dyDescent="0.25">
      <c r="B530" s="1"/>
      <c r="C530" s="113">
        <v>513</v>
      </c>
      <c r="D530" s="110"/>
      <c r="E530" s="110"/>
      <c r="F530" s="19" t="str">
        <f t="shared" si="7"/>
        <v/>
      </c>
      <c r="G530" s="2"/>
    </row>
    <row r="531" spans="2:7" ht="15" customHeight="1" x14ac:dyDescent="0.25">
      <c r="B531" s="1"/>
      <c r="C531" s="113">
        <v>514</v>
      </c>
      <c r="D531" s="110"/>
      <c r="E531" s="110"/>
      <c r="F531" s="19" t="str">
        <f t="shared" ref="F531:F594" si="8">IFERROR(IF(AND(LEFT(D531,6)=LEFT(E531,6),RIGHT(E531,9)-RIGHT(D531,9)&gt;=0),RIGHT(E531,9)-RIGHT(D531,9)+1,""),"")</f>
        <v/>
      </c>
      <c r="G531" s="2"/>
    </row>
    <row r="532" spans="2:7" ht="15" customHeight="1" x14ac:dyDescent="0.25">
      <c r="B532" s="1"/>
      <c r="C532" s="113">
        <v>515</v>
      </c>
      <c r="D532" s="110"/>
      <c r="E532" s="110"/>
      <c r="F532" s="19" t="str">
        <f t="shared" si="8"/>
        <v/>
      </c>
      <c r="G532" s="2"/>
    </row>
    <row r="533" spans="2:7" ht="15" customHeight="1" x14ac:dyDescent="0.25">
      <c r="B533" s="1"/>
      <c r="C533" s="113">
        <v>516</v>
      </c>
      <c r="D533" s="110"/>
      <c r="E533" s="110"/>
      <c r="F533" s="19" t="str">
        <f t="shared" si="8"/>
        <v/>
      </c>
      <c r="G533" s="2"/>
    </row>
    <row r="534" spans="2:7" ht="15" customHeight="1" x14ac:dyDescent="0.25">
      <c r="B534" s="1"/>
      <c r="C534" s="113">
        <v>517</v>
      </c>
      <c r="D534" s="110"/>
      <c r="E534" s="110"/>
      <c r="F534" s="19" t="str">
        <f t="shared" si="8"/>
        <v/>
      </c>
      <c r="G534" s="2"/>
    </row>
    <row r="535" spans="2:7" ht="15" customHeight="1" x14ac:dyDescent="0.25">
      <c r="B535" s="1"/>
      <c r="C535" s="113">
        <v>518</v>
      </c>
      <c r="D535" s="110"/>
      <c r="E535" s="110"/>
      <c r="F535" s="19" t="str">
        <f t="shared" si="8"/>
        <v/>
      </c>
      <c r="G535" s="2"/>
    </row>
    <row r="536" spans="2:7" ht="15" customHeight="1" x14ac:dyDescent="0.25">
      <c r="B536" s="1"/>
      <c r="C536" s="113">
        <v>519</v>
      </c>
      <c r="D536" s="110"/>
      <c r="E536" s="110"/>
      <c r="F536" s="19" t="str">
        <f t="shared" si="8"/>
        <v/>
      </c>
      <c r="G536" s="2"/>
    </row>
    <row r="537" spans="2:7" ht="15" customHeight="1" x14ac:dyDescent="0.25">
      <c r="B537" s="1"/>
      <c r="C537" s="113">
        <v>520</v>
      </c>
      <c r="D537" s="110"/>
      <c r="E537" s="110"/>
      <c r="F537" s="19" t="str">
        <f t="shared" si="8"/>
        <v/>
      </c>
      <c r="G537" s="2"/>
    </row>
    <row r="538" spans="2:7" ht="15" customHeight="1" x14ac:dyDescent="0.25">
      <c r="B538" s="1"/>
      <c r="C538" s="113">
        <v>521</v>
      </c>
      <c r="D538" s="110"/>
      <c r="E538" s="110"/>
      <c r="F538" s="19" t="str">
        <f t="shared" si="8"/>
        <v/>
      </c>
      <c r="G538" s="2"/>
    </row>
    <row r="539" spans="2:7" ht="15" customHeight="1" x14ac:dyDescent="0.25">
      <c r="B539" s="1"/>
      <c r="C539" s="113">
        <v>522</v>
      </c>
      <c r="D539" s="110"/>
      <c r="E539" s="110"/>
      <c r="F539" s="19" t="str">
        <f t="shared" si="8"/>
        <v/>
      </c>
      <c r="G539" s="2"/>
    </row>
    <row r="540" spans="2:7" ht="15" customHeight="1" x14ac:dyDescent="0.25">
      <c r="B540" s="1"/>
      <c r="C540" s="113">
        <v>523</v>
      </c>
      <c r="D540" s="110"/>
      <c r="E540" s="110"/>
      <c r="F540" s="19" t="str">
        <f t="shared" si="8"/>
        <v/>
      </c>
      <c r="G540" s="2"/>
    </row>
    <row r="541" spans="2:7" ht="15" customHeight="1" x14ac:dyDescent="0.25">
      <c r="B541" s="1"/>
      <c r="C541" s="113">
        <v>524</v>
      </c>
      <c r="D541" s="110"/>
      <c r="E541" s="110"/>
      <c r="F541" s="19" t="str">
        <f t="shared" si="8"/>
        <v/>
      </c>
      <c r="G541" s="2"/>
    </row>
    <row r="542" spans="2:7" ht="15" customHeight="1" x14ac:dyDescent="0.25">
      <c r="B542" s="1"/>
      <c r="C542" s="113">
        <v>525</v>
      </c>
      <c r="D542" s="110"/>
      <c r="E542" s="110"/>
      <c r="F542" s="19" t="str">
        <f t="shared" si="8"/>
        <v/>
      </c>
      <c r="G542" s="2"/>
    </row>
    <row r="543" spans="2:7" ht="15" customHeight="1" x14ac:dyDescent="0.25">
      <c r="B543" s="1"/>
      <c r="C543" s="113">
        <v>526</v>
      </c>
      <c r="D543" s="110"/>
      <c r="E543" s="110"/>
      <c r="F543" s="19" t="str">
        <f t="shared" si="8"/>
        <v/>
      </c>
      <c r="G543" s="2"/>
    </row>
    <row r="544" spans="2:7" ht="15" customHeight="1" x14ac:dyDescent="0.25">
      <c r="B544" s="1"/>
      <c r="C544" s="113">
        <v>527</v>
      </c>
      <c r="D544" s="110"/>
      <c r="E544" s="110"/>
      <c r="F544" s="19" t="str">
        <f t="shared" si="8"/>
        <v/>
      </c>
      <c r="G544" s="2"/>
    </row>
    <row r="545" spans="2:7" ht="15" customHeight="1" x14ac:dyDescent="0.25">
      <c r="B545" s="1"/>
      <c r="C545" s="113">
        <v>528</v>
      </c>
      <c r="D545" s="110"/>
      <c r="E545" s="110"/>
      <c r="F545" s="19" t="str">
        <f t="shared" si="8"/>
        <v/>
      </c>
      <c r="G545" s="2"/>
    </row>
    <row r="546" spans="2:7" ht="15" customHeight="1" x14ac:dyDescent="0.25">
      <c r="B546" s="1"/>
      <c r="C546" s="113">
        <v>529</v>
      </c>
      <c r="D546" s="110"/>
      <c r="E546" s="110"/>
      <c r="F546" s="19" t="str">
        <f t="shared" si="8"/>
        <v/>
      </c>
      <c r="G546" s="2"/>
    </row>
    <row r="547" spans="2:7" ht="15" customHeight="1" x14ac:dyDescent="0.25">
      <c r="B547" s="1"/>
      <c r="C547" s="113">
        <v>530</v>
      </c>
      <c r="D547" s="110"/>
      <c r="E547" s="110"/>
      <c r="F547" s="19" t="str">
        <f t="shared" si="8"/>
        <v/>
      </c>
      <c r="G547" s="2"/>
    </row>
    <row r="548" spans="2:7" ht="15" customHeight="1" x14ac:dyDescent="0.25">
      <c r="B548" s="1"/>
      <c r="C548" s="113">
        <v>531</v>
      </c>
      <c r="D548" s="110"/>
      <c r="E548" s="110"/>
      <c r="F548" s="19" t="str">
        <f t="shared" si="8"/>
        <v/>
      </c>
      <c r="G548" s="2"/>
    </row>
    <row r="549" spans="2:7" ht="15" customHeight="1" x14ac:dyDescent="0.25">
      <c r="B549" s="1"/>
      <c r="C549" s="113">
        <v>532</v>
      </c>
      <c r="D549" s="110"/>
      <c r="E549" s="110"/>
      <c r="F549" s="19" t="str">
        <f t="shared" si="8"/>
        <v/>
      </c>
      <c r="G549" s="2"/>
    </row>
    <row r="550" spans="2:7" ht="15" customHeight="1" x14ac:dyDescent="0.25">
      <c r="B550" s="1"/>
      <c r="C550" s="113">
        <v>533</v>
      </c>
      <c r="D550" s="110"/>
      <c r="E550" s="110"/>
      <c r="F550" s="19" t="str">
        <f t="shared" si="8"/>
        <v/>
      </c>
      <c r="G550" s="2"/>
    </row>
    <row r="551" spans="2:7" ht="15" customHeight="1" x14ac:dyDescent="0.25">
      <c r="B551" s="1"/>
      <c r="C551" s="113">
        <v>534</v>
      </c>
      <c r="D551" s="110"/>
      <c r="E551" s="110"/>
      <c r="F551" s="19" t="str">
        <f t="shared" si="8"/>
        <v/>
      </c>
      <c r="G551" s="2"/>
    </row>
    <row r="552" spans="2:7" ht="15" customHeight="1" x14ac:dyDescent="0.25">
      <c r="B552" s="1"/>
      <c r="C552" s="113">
        <v>535</v>
      </c>
      <c r="D552" s="110"/>
      <c r="E552" s="110"/>
      <c r="F552" s="19" t="str">
        <f t="shared" si="8"/>
        <v/>
      </c>
      <c r="G552" s="2"/>
    </row>
    <row r="553" spans="2:7" ht="15" customHeight="1" x14ac:dyDescent="0.25">
      <c r="B553" s="1"/>
      <c r="C553" s="113">
        <v>536</v>
      </c>
      <c r="D553" s="110"/>
      <c r="E553" s="110"/>
      <c r="F553" s="19" t="str">
        <f t="shared" si="8"/>
        <v/>
      </c>
      <c r="G553" s="2"/>
    </row>
    <row r="554" spans="2:7" ht="15" customHeight="1" x14ac:dyDescent="0.25">
      <c r="B554" s="1"/>
      <c r="C554" s="113">
        <v>537</v>
      </c>
      <c r="D554" s="110"/>
      <c r="E554" s="110"/>
      <c r="F554" s="19" t="str">
        <f t="shared" si="8"/>
        <v/>
      </c>
      <c r="G554" s="2"/>
    </row>
    <row r="555" spans="2:7" ht="15" customHeight="1" x14ac:dyDescent="0.25">
      <c r="B555" s="1"/>
      <c r="C555" s="113">
        <v>538</v>
      </c>
      <c r="D555" s="110"/>
      <c r="E555" s="110"/>
      <c r="F555" s="19" t="str">
        <f t="shared" si="8"/>
        <v/>
      </c>
      <c r="G555" s="2"/>
    </row>
    <row r="556" spans="2:7" ht="15" customHeight="1" x14ac:dyDescent="0.25">
      <c r="B556" s="1"/>
      <c r="C556" s="113">
        <v>539</v>
      </c>
      <c r="D556" s="110"/>
      <c r="E556" s="110"/>
      <c r="F556" s="19" t="str">
        <f t="shared" si="8"/>
        <v/>
      </c>
      <c r="G556" s="2"/>
    </row>
    <row r="557" spans="2:7" ht="15" customHeight="1" x14ac:dyDescent="0.25">
      <c r="B557" s="1"/>
      <c r="C557" s="113">
        <v>540</v>
      </c>
      <c r="D557" s="110"/>
      <c r="E557" s="110"/>
      <c r="F557" s="19" t="str">
        <f t="shared" si="8"/>
        <v/>
      </c>
      <c r="G557" s="2"/>
    </row>
    <row r="558" spans="2:7" ht="15" customHeight="1" x14ac:dyDescent="0.25">
      <c r="B558" s="1"/>
      <c r="C558" s="113">
        <v>541</v>
      </c>
      <c r="D558" s="110"/>
      <c r="E558" s="110"/>
      <c r="F558" s="19" t="str">
        <f t="shared" si="8"/>
        <v/>
      </c>
      <c r="G558" s="2"/>
    </row>
    <row r="559" spans="2:7" ht="15" customHeight="1" x14ac:dyDescent="0.25">
      <c r="B559" s="1"/>
      <c r="C559" s="113">
        <v>542</v>
      </c>
      <c r="D559" s="110"/>
      <c r="E559" s="110"/>
      <c r="F559" s="19" t="str">
        <f t="shared" si="8"/>
        <v/>
      </c>
      <c r="G559" s="2"/>
    </row>
    <row r="560" spans="2:7" ht="15" customHeight="1" x14ac:dyDescent="0.25">
      <c r="B560" s="1"/>
      <c r="C560" s="113">
        <v>543</v>
      </c>
      <c r="D560" s="110"/>
      <c r="E560" s="110"/>
      <c r="F560" s="19" t="str">
        <f t="shared" si="8"/>
        <v/>
      </c>
      <c r="G560" s="2"/>
    </row>
    <row r="561" spans="2:7" ht="15" customHeight="1" x14ac:dyDescent="0.25">
      <c r="B561" s="1"/>
      <c r="C561" s="113">
        <v>544</v>
      </c>
      <c r="D561" s="110"/>
      <c r="E561" s="110"/>
      <c r="F561" s="19" t="str">
        <f t="shared" si="8"/>
        <v/>
      </c>
      <c r="G561" s="2"/>
    </row>
    <row r="562" spans="2:7" ht="15" customHeight="1" x14ac:dyDescent="0.25">
      <c r="B562" s="1"/>
      <c r="C562" s="113">
        <v>545</v>
      </c>
      <c r="D562" s="110"/>
      <c r="E562" s="110"/>
      <c r="F562" s="19" t="str">
        <f t="shared" si="8"/>
        <v/>
      </c>
      <c r="G562" s="2"/>
    </row>
    <row r="563" spans="2:7" ht="15" customHeight="1" x14ac:dyDescent="0.25">
      <c r="B563" s="1"/>
      <c r="C563" s="113">
        <v>546</v>
      </c>
      <c r="D563" s="110"/>
      <c r="E563" s="110"/>
      <c r="F563" s="19" t="str">
        <f t="shared" si="8"/>
        <v/>
      </c>
      <c r="G563" s="2"/>
    </row>
    <row r="564" spans="2:7" ht="15" customHeight="1" x14ac:dyDescent="0.25">
      <c r="B564" s="1"/>
      <c r="C564" s="113">
        <v>547</v>
      </c>
      <c r="D564" s="110"/>
      <c r="E564" s="110"/>
      <c r="F564" s="19" t="str">
        <f t="shared" si="8"/>
        <v/>
      </c>
      <c r="G564" s="2"/>
    </row>
    <row r="565" spans="2:7" ht="15" customHeight="1" x14ac:dyDescent="0.25">
      <c r="B565" s="1"/>
      <c r="C565" s="113">
        <v>548</v>
      </c>
      <c r="D565" s="110"/>
      <c r="E565" s="110"/>
      <c r="F565" s="19" t="str">
        <f t="shared" si="8"/>
        <v/>
      </c>
      <c r="G565" s="2"/>
    </row>
    <row r="566" spans="2:7" ht="15" customHeight="1" x14ac:dyDescent="0.25">
      <c r="B566" s="1"/>
      <c r="C566" s="113">
        <v>549</v>
      </c>
      <c r="D566" s="110"/>
      <c r="E566" s="110"/>
      <c r="F566" s="19" t="str">
        <f t="shared" si="8"/>
        <v/>
      </c>
      <c r="G566" s="2"/>
    </row>
    <row r="567" spans="2:7" ht="15" customHeight="1" x14ac:dyDescent="0.25">
      <c r="B567" s="1"/>
      <c r="C567" s="113">
        <v>550</v>
      </c>
      <c r="D567" s="110"/>
      <c r="E567" s="110"/>
      <c r="F567" s="19" t="str">
        <f t="shared" si="8"/>
        <v/>
      </c>
      <c r="G567" s="2"/>
    </row>
    <row r="568" spans="2:7" ht="15" customHeight="1" x14ac:dyDescent="0.25">
      <c r="B568" s="1"/>
      <c r="C568" s="113">
        <v>551</v>
      </c>
      <c r="D568" s="110"/>
      <c r="E568" s="110"/>
      <c r="F568" s="19" t="str">
        <f t="shared" si="8"/>
        <v/>
      </c>
      <c r="G568" s="2"/>
    </row>
    <row r="569" spans="2:7" ht="15" customHeight="1" x14ac:dyDescent="0.25">
      <c r="B569" s="1"/>
      <c r="C569" s="113">
        <v>552</v>
      </c>
      <c r="D569" s="110"/>
      <c r="E569" s="110"/>
      <c r="F569" s="19" t="str">
        <f t="shared" si="8"/>
        <v/>
      </c>
      <c r="G569" s="2"/>
    </row>
    <row r="570" spans="2:7" ht="15" customHeight="1" x14ac:dyDescent="0.25">
      <c r="B570" s="1"/>
      <c r="C570" s="113">
        <v>553</v>
      </c>
      <c r="D570" s="110"/>
      <c r="E570" s="110"/>
      <c r="F570" s="19" t="str">
        <f t="shared" si="8"/>
        <v/>
      </c>
      <c r="G570" s="2"/>
    </row>
    <row r="571" spans="2:7" ht="15" customHeight="1" x14ac:dyDescent="0.25">
      <c r="B571" s="1"/>
      <c r="C571" s="113">
        <v>554</v>
      </c>
      <c r="D571" s="110"/>
      <c r="E571" s="110"/>
      <c r="F571" s="19" t="str">
        <f t="shared" si="8"/>
        <v/>
      </c>
      <c r="G571" s="2"/>
    </row>
    <row r="572" spans="2:7" ht="15" customHeight="1" x14ac:dyDescent="0.25">
      <c r="B572" s="1"/>
      <c r="C572" s="113">
        <v>555</v>
      </c>
      <c r="D572" s="110"/>
      <c r="E572" s="110"/>
      <c r="F572" s="19" t="str">
        <f t="shared" si="8"/>
        <v/>
      </c>
      <c r="G572" s="2"/>
    </row>
    <row r="573" spans="2:7" ht="15" customHeight="1" x14ac:dyDescent="0.25">
      <c r="B573" s="1"/>
      <c r="C573" s="113">
        <v>556</v>
      </c>
      <c r="D573" s="110"/>
      <c r="E573" s="110"/>
      <c r="F573" s="19" t="str">
        <f t="shared" si="8"/>
        <v/>
      </c>
      <c r="G573" s="2"/>
    </row>
    <row r="574" spans="2:7" ht="15" customHeight="1" x14ac:dyDescent="0.25">
      <c r="B574" s="1"/>
      <c r="C574" s="113">
        <v>557</v>
      </c>
      <c r="D574" s="110"/>
      <c r="E574" s="110"/>
      <c r="F574" s="19" t="str">
        <f t="shared" si="8"/>
        <v/>
      </c>
      <c r="G574" s="2"/>
    </row>
    <row r="575" spans="2:7" ht="15" customHeight="1" x14ac:dyDescent="0.25">
      <c r="B575" s="1"/>
      <c r="C575" s="113">
        <v>558</v>
      </c>
      <c r="D575" s="110"/>
      <c r="E575" s="110"/>
      <c r="F575" s="19" t="str">
        <f t="shared" si="8"/>
        <v/>
      </c>
      <c r="G575" s="2"/>
    </row>
    <row r="576" spans="2:7" ht="15" customHeight="1" x14ac:dyDescent="0.25">
      <c r="B576" s="1"/>
      <c r="C576" s="113">
        <v>559</v>
      </c>
      <c r="D576" s="110"/>
      <c r="E576" s="110"/>
      <c r="F576" s="19" t="str">
        <f t="shared" si="8"/>
        <v/>
      </c>
      <c r="G576" s="2"/>
    </row>
    <row r="577" spans="2:7" ht="15" customHeight="1" x14ac:dyDescent="0.25">
      <c r="B577" s="1"/>
      <c r="C577" s="113">
        <v>560</v>
      </c>
      <c r="D577" s="110"/>
      <c r="E577" s="110"/>
      <c r="F577" s="19" t="str">
        <f t="shared" si="8"/>
        <v/>
      </c>
      <c r="G577" s="2"/>
    </row>
    <row r="578" spans="2:7" ht="15" customHeight="1" x14ac:dyDescent="0.25">
      <c r="B578" s="1"/>
      <c r="C578" s="113">
        <v>561</v>
      </c>
      <c r="D578" s="110"/>
      <c r="E578" s="110"/>
      <c r="F578" s="19" t="str">
        <f t="shared" si="8"/>
        <v/>
      </c>
      <c r="G578" s="2"/>
    </row>
    <row r="579" spans="2:7" ht="15" customHeight="1" x14ac:dyDescent="0.25">
      <c r="B579" s="1"/>
      <c r="C579" s="113">
        <v>562</v>
      </c>
      <c r="D579" s="110"/>
      <c r="E579" s="110"/>
      <c r="F579" s="19" t="str">
        <f t="shared" si="8"/>
        <v/>
      </c>
      <c r="G579" s="2"/>
    </row>
    <row r="580" spans="2:7" ht="15" customHeight="1" x14ac:dyDescent="0.25">
      <c r="B580" s="1"/>
      <c r="C580" s="113">
        <v>563</v>
      </c>
      <c r="D580" s="110"/>
      <c r="E580" s="110"/>
      <c r="F580" s="19" t="str">
        <f t="shared" si="8"/>
        <v/>
      </c>
      <c r="G580" s="2"/>
    </row>
    <row r="581" spans="2:7" ht="15" customHeight="1" x14ac:dyDescent="0.25">
      <c r="B581" s="1"/>
      <c r="C581" s="113">
        <v>564</v>
      </c>
      <c r="D581" s="110"/>
      <c r="E581" s="110"/>
      <c r="F581" s="19" t="str">
        <f t="shared" si="8"/>
        <v/>
      </c>
      <c r="G581" s="2"/>
    </row>
    <row r="582" spans="2:7" ht="15" customHeight="1" x14ac:dyDescent="0.25">
      <c r="B582" s="1"/>
      <c r="C582" s="113">
        <v>565</v>
      </c>
      <c r="D582" s="110"/>
      <c r="E582" s="110"/>
      <c r="F582" s="19" t="str">
        <f t="shared" si="8"/>
        <v/>
      </c>
      <c r="G582" s="2"/>
    </row>
    <row r="583" spans="2:7" ht="15" customHeight="1" x14ac:dyDescent="0.25">
      <c r="B583" s="1"/>
      <c r="C583" s="113">
        <v>566</v>
      </c>
      <c r="D583" s="110"/>
      <c r="E583" s="110"/>
      <c r="F583" s="19" t="str">
        <f t="shared" si="8"/>
        <v/>
      </c>
      <c r="G583" s="2"/>
    </row>
    <row r="584" spans="2:7" ht="15" customHeight="1" x14ac:dyDescent="0.25">
      <c r="B584" s="1"/>
      <c r="C584" s="113">
        <v>567</v>
      </c>
      <c r="D584" s="110"/>
      <c r="E584" s="110"/>
      <c r="F584" s="19" t="str">
        <f t="shared" si="8"/>
        <v/>
      </c>
      <c r="G584" s="2"/>
    </row>
    <row r="585" spans="2:7" ht="15" customHeight="1" x14ac:dyDescent="0.25">
      <c r="B585" s="1"/>
      <c r="C585" s="113">
        <v>568</v>
      </c>
      <c r="D585" s="110"/>
      <c r="E585" s="110"/>
      <c r="F585" s="19" t="str">
        <f t="shared" si="8"/>
        <v/>
      </c>
      <c r="G585" s="2"/>
    </row>
    <row r="586" spans="2:7" ht="15" customHeight="1" x14ac:dyDescent="0.25">
      <c r="B586" s="1"/>
      <c r="C586" s="113">
        <v>569</v>
      </c>
      <c r="D586" s="110"/>
      <c r="E586" s="110"/>
      <c r="F586" s="19" t="str">
        <f t="shared" si="8"/>
        <v/>
      </c>
      <c r="G586" s="2"/>
    </row>
    <row r="587" spans="2:7" ht="15" customHeight="1" x14ac:dyDescent="0.25">
      <c r="B587" s="1"/>
      <c r="C587" s="113">
        <v>570</v>
      </c>
      <c r="D587" s="110"/>
      <c r="E587" s="110"/>
      <c r="F587" s="19" t="str">
        <f t="shared" si="8"/>
        <v/>
      </c>
      <c r="G587" s="2"/>
    </row>
    <row r="588" spans="2:7" ht="15" customHeight="1" x14ac:dyDescent="0.25">
      <c r="B588" s="1"/>
      <c r="C588" s="113">
        <v>571</v>
      </c>
      <c r="D588" s="110"/>
      <c r="E588" s="110"/>
      <c r="F588" s="19" t="str">
        <f t="shared" si="8"/>
        <v/>
      </c>
      <c r="G588" s="2"/>
    </row>
    <row r="589" spans="2:7" ht="15" customHeight="1" x14ac:dyDescent="0.25">
      <c r="B589" s="1"/>
      <c r="C589" s="113">
        <v>572</v>
      </c>
      <c r="D589" s="110"/>
      <c r="E589" s="110"/>
      <c r="F589" s="19" t="str">
        <f t="shared" si="8"/>
        <v/>
      </c>
      <c r="G589" s="2"/>
    </row>
    <row r="590" spans="2:7" ht="15" customHeight="1" x14ac:dyDescent="0.25">
      <c r="B590" s="1"/>
      <c r="C590" s="113">
        <v>573</v>
      </c>
      <c r="D590" s="110"/>
      <c r="E590" s="110"/>
      <c r="F590" s="19" t="str">
        <f t="shared" si="8"/>
        <v/>
      </c>
      <c r="G590" s="2"/>
    </row>
    <row r="591" spans="2:7" ht="15" customHeight="1" x14ac:dyDescent="0.25">
      <c r="B591" s="1"/>
      <c r="C591" s="113">
        <v>574</v>
      </c>
      <c r="D591" s="110"/>
      <c r="E591" s="110"/>
      <c r="F591" s="19" t="str">
        <f t="shared" si="8"/>
        <v/>
      </c>
      <c r="G591" s="2"/>
    </row>
    <row r="592" spans="2:7" ht="15" customHeight="1" x14ac:dyDescent="0.25">
      <c r="B592" s="1"/>
      <c r="C592" s="113">
        <v>575</v>
      </c>
      <c r="D592" s="110"/>
      <c r="E592" s="110"/>
      <c r="F592" s="19" t="str">
        <f t="shared" si="8"/>
        <v/>
      </c>
      <c r="G592" s="2"/>
    </row>
    <row r="593" spans="2:7" ht="15" customHeight="1" x14ac:dyDescent="0.25">
      <c r="B593" s="1"/>
      <c r="C593" s="113">
        <v>576</v>
      </c>
      <c r="D593" s="110"/>
      <c r="E593" s="110"/>
      <c r="F593" s="19" t="str">
        <f t="shared" si="8"/>
        <v/>
      </c>
      <c r="G593" s="2"/>
    </row>
    <row r="594" spans="2:7" ht="15" customHeight="1" x14ac:dyDescent="0.25">
      <c r="B594" s="1"/>
      <c r="C594" s="113">
        <v>577</v>
      </c>
      <c r="D594" s="110"/>
      <c r="E594" s="110"/>
      <c r="F594" s="19" t="str">
        <f t="shared" si="8"/>
        <v/>
      </c>
      <c r="G594" s="2"/>
    </row>
    <row r="595" spans="2:7" ht="15" customHeight="1" x14ac:dyDescent="0.25">
      <c r="B595" s="1"/>
      <c r="C595" s="113">
        <v>578</v>
      </c>
      <c r="D595" s="110"/>
      <c r="E595" s="110"/>
      <c r="F595" s="19" t="str">
        <f t="shared" ref="F595:F658" si="9">IFERROR(IF(AND(LEFT(D595,6)=LEFT(E595,6),RIGHT(E595,9)-RIGHT(D595,9)&gt;=0),RIGHT(E595,9)-RIGHT(D595,9)+1,""),"")</f>
        <v/>
      </c>
      <c r="G595" s="2"/>
    </row>
    <row r="596" spans="2:7" ht="15" customHeight="1" x14ac:dyDescent="0.25">
      <c r="B596" s="1"/>
      <c r="C596" s="113">
        <v>579</v>
      </c>
      <c r="D596" s="110"/>
      <c r="E596" s="110"/>
      <c r="F596" s="19" t="str">
        <f t="shared" si="9"/>
        <v/>
      </c>
      <c r="G596" s="2"/>
    </row>
    <row r="597" spans="2:7" ht="15" customHeight="1" x14ac:dyDescent="0.25">
      <c r="B597" s="1"/>
      <c r="C597" s="113">
        <v>580</v>
      </c>
      <c r="D597" s="110"/>
      <c r="E597" s="110"/>
      <c r="F597" s="19" t="str">
        <f t="shared" si="9"/>
        <v/>
      </c>
      <c r="G597" s="2"/>
    </row>
    <row r="598" spans="2:7" ht="15" customHeight="1" x14ac:dyDescent="0.25">
      <c r="B598" s="1"/>
      <c r="C598" s="113">
        <v>581</v>
      </c>
      <c r="D598" s="110"/>
      <c r="E598" s="110"/>
      <c r="F598" s="19" t="str">
        <f t="shared" si="9"/>
        <v/>
      </c>
      <c r="G598" s="2"/>
    </row>
    <row r="599" spans="2:7" ht="15" customHeight="1" x14ac:dyDescent="0.25">
      <c r="B599" s="1"/>
      <c r="C599" s="113">
        <v>582</v>
      </c>
      <c r="D599" s="110"/>
      <c r="E599" s="110"/>
      <c r="F599" s="19" t="str">
        <f t="shared" si="9"/>
        <v/>
      </c>
      <c r="G599" s="2"/>
    </row>
    <row r="600" spans="2:7" ht="15" customHeight="1" x14ac:dyDescent="0.25">
      <c r="B600" s="1"/>
      <c r="C600" s="113">
        <v>583</v>
      </c>
      <c r="D600" s="110"/>
      <c r="E600" s="110"/>
      <c r="F600" s="19" t="str">
        <f t="shared" si="9"/>
        <v/>
      </c>
      <c r="G600" s="2"/>
    </row>
    <row r="601" spans="2:7" ht="15" customHeight="1" x14ac:dyDescent="0.25">
      <c r="B601" s="1"/>
      <c r="C601" s="113">
        <v>584</v>
      </c>
      <c r="D601" s="110"/>
      <c r="E601" s="110"/>
      <c r="F601" s="19" t="str">
        <f t="shared" si="9"/>
        <v/>
      </c>
      <c r="G601" s="2"/>
    </row>
    <row r="602" spans="2:7" ht="15" customHeight="1" x14ac:dyDescent="0.25">
      <c r="B602" s="1"/>
      <c r="C602" s="113">
        <v>585</v>
      </c>
      <c r="D602" s="110"/>
      <c r="E602" s="110"/>
      <c r="F602" s="19" t="str">
        <f t="shared" si="9"/>
        <v/>
      </c>
      <c r="G602" s="2"/>
    </row>
    <row r="603" spans="2:7" ht="15" customHeight="1" x14ac:dyDescent="0.25">
      <c r="B603" s="1"/>
      <c r="C603" s="113">
        <v>586</v>
      </c>
      <c r="D603" s="110"/>
      <c r="E603" s="110"/>
      <c r="F603" s="19" t="str">
        <f t="shared" si="9"/>
        <v/>
      </c>
      <c r="G603" s="2"/>
    </row>
    <row r="604" spans="2:7" ht="15" customHeight="1" x14ac:dyDescent="0.25">
      <c r="B604" s="1"/>
      <c r="C604" s="113">
        <v>587</v>
      </c>
      <c r="D604" s="110"/>
      <c r="E604" s="110"/>
      <c r="F604" s="19" t="str">
        <f t="shared" si="9"/>
        <v/>
      </c>
      <c r="G604" s="2"/>
    </row>
    <row r="605" spans="2:7" ht="15" customHeight="1" x14ac:dyDescent="0.25">
      <c r="B605" s="1"/>
      <c r="C605" s="113">
        <v>588</v>
      </c>
      <c r="D605" s="110"/>
      <c r="E605" s="110"/>
      <c r="F605" s="19" t="str">
        <f t="shared" si="9"/>
        <v/>
      </c>
      <c r="G605" s="2"/>
    </row>
    <row r="606" spans="2:7" ht="15" customHeight="1" x14ac:dyDescent="0.25">
      <c r="B606" s="1"/>
      <c r="C606" s="113">
        <v>589</v>
      </c>
      <c r="D606" s="110"/>
      <c r="E606" s="110"/>
      <c r="F606" s="19" t="str">
        <f t="shared" si="9"/>
        <v/>
      </c>
      <c r="G606" s="2"/>
    </row>
    <row r="607" spans="2:7" ht="15" customHeight="1" x14ac:dyDescent="0.25">
      <c r="B607" s="1"/>
      <c r="C607" s="113">
        <v>590</v>
      </c>
      <c r="D607" s="110"/>
      <c r="E607" s="110"/>
      <c r="F607" s="19" t="str">
        <f t="shared" si="9"/>
        <v/>
      </c>
      <c r="G607" s="2"/>
    </row>
    <row r="608" spans="2:7" ht="15" customHeight="1" x14ac:dyDescent="0.25">
      <c r="B608" s="1"/>
      <c r="C608" s="113">
        <v>591</v>
      </c>
      <c r="D608" s="110"/>
      <c r="E608" s="110"/>
      <c r="F608" s="19" t="str">
        <f t="shared" si="9"/>
        <v/>
      </c>
      <c r="G608" s="2"/>
    </row>
    <row r="609" spans="2:7" ht="15" customHeight="1" x14ac:dyDescent="0.25">
      <c r="B609" s="1"/>
      <c r="C609" s="113">
        <v>592</v>
      </c>
      <c r="D609" s="110"/>
      <c r="E609" s="110"/>
      <c r="F609" s="19" t="str">
        <f t="shared" si="9"/>
        <v/>
      </c>
      <c r="G609" s="2"/>
    </row>
    <row r="610" spans="2:7" ht="15" customHeight="1" x14ac:dyDescent="0.25">
      <c r="B610" s="1"/>
      <c r="C610" s="113">
        <v>593</v>
      </c>
      <c r="D610" s="110"/>
      <c r="E610" s="110"/>
      <c r="F610" s="19" t="str">
        <f t="shared" si="9"/>
        <v/>
      </c>
      <c r="G610" s="2"/>
    </row>
    <row r="611" spans="2:7" ht="15" customHeight="1" x14ac:dyDescent="0.25">
      <c r="B611" s="1"/>
      <c r="C611" s="113">
        <v>594</v>
      </c>
      <c r="D611" s="110"/>
      <c r="E611" s="110"/>
      <c r="F611" s="19" t="str">
        <f t="shared" si="9"/>
        <v/>
      </c>
      <c r="G611" s="2"/>
    </row>
    <row r="612" spans="2:7" ht="15" customHeight="1" x14ac:dyDescent="0.25">
      <c r="B612" s="1"/>
      <c r="C612" s="113">
        <v>595</v>
      </c>
      <c r="D612" s="110"/>
      <c r="E612" s="110"/>
      <c r="F612" s="19" t="str">
        <f t="shared" si="9"/>
        <v/>
      </c>
      <c r="G612" s="2"/>
    </row>
    <row r="613" spans="2:7" ht="15" customHeight="1" x14ac:dyDescent="0.25">
      <c r="B613" s="1"/>
      <c r="C613" s="113">
        <v>596</v>
      </c>
      <c r="D613" s="110"/>
      <c r="E613" s="110"/>
      <c r="F613" s="19" t="str">
        <f t="shared" si="9"/>
        <v/>
      </c>
      <c r="G613" s="2"/>
    </row>
    <row r="614" spans="2:7" ht="15" customHeight="1" x14ac:dyDescent="0.25">
      <c r="B614" s="1"/>
      <c r="C614" s="113">
        <v>597</v>
      </c>
      <c r="D614" s="110"/>
      <c r="E614" s="110"/>
      <c r="F614" s="19" t="str">
        <f t="shared" si="9"/>
        <v/>
      </c>
      <c r="G614" s="2"/>
    </row>
    <row r="615" spans="2:7" ht="15" customHeight="1" x14ac:dyDescent="0.25">
      <c r="B615" s="1"/>
      <c r="C615" s="113">
        <v>598</v>
      </c>
      <c r="D615" s="110"/>
      <c r="E615" s="110"/>
      <c r="F615" s="19" t="str">
        <f t="shared" si="9"/>
        <v/>
      </c>
      <c r="G615" s="2"/>
    </row>
    <row r="616" spans="2:7" ht="15" customHeight="1" x14ac:dyDescent="0.25">
      <c r="B616" s="1"/>
      <c r="C616" s="113">
        <v>599</v>
      </c>
      <c r="D616" s="110"/>
      <c r="E616" s="110"/>
      <c r="F616" s="19" t="str">
        <f t="shared" si="9"/>
        <v/>
      </c>
      <c r="G616" s="2"/>
    </row>
    <row r="617" spans="2:7" ht="15" customHeight="1" x14ac:dyDescent="0.25">
      <c r="B617" s="1"/>
      <c r="C617" s="113">
        <v>600</v>
      </c>
      <c r="D617" s="110"/>
      <c r="E617" s="110"/>
      <c r="F617" s="19" t="str">
        <f t="shared" si="9"/>
        <v/>
      </c>
      <c r="G617" s="2"/>
    </row>
    <row r="618" spans="2:7" ht="15" customHeight="1" x14ac:dyDescent="0.25">
      <c r="B618" s="1"/>
      <c r="C618" s="113">
        <v>601</v>
      </c>
      <c r="D618" s="110"/>
      <c r="E618" s="110"/>
      <c r="F618" s="19" t="str">
        <f t="shared" si="9"/>
        <v/>
      </c>
      <c r="G618" s="2"/>
    </row>
    <row r="619" spans="2:7" ht="15" customHeight="1" x14ac:dyDescent="0.25">
      <c r="B619" s="1"/>
      <c r="C619" s="113">
        <v>602</v>
      </c>
      <c r="D619" s="110"/>
      <c r="E619" s="110"/>
      <c r="F619" s="19" t="str">
        <f t="shared" si="9"/>
        <v/>
      </c>
      <c r="G619" s="2"/>
    </row>
    <row r="620" spans="2:7" ht="15" customHeight="1" x14ac:dyDescent="0.25">
      <c r="B620" s="1"/>
      <c r="C620" s="113">
        <v>603</v>
      </c>
      <c r="D620" s="110"/>
      <c r="E620" s="110"/>
      <c r="F620" s="19" t="str">
        <f t="shared" si="9"/>
        <v/>
      </c>
      <c r="G620" s="2"/>
    </row>
    <row r="621" spans="2:7" ht="15" customHeight="1" x14ac:dyDescent="0.25">
      <c r="B621" s="1"/>
      <c r="C621" s="113">
        <v>604</v>
      </c>
      <c r="D621" s="110"/>
      <c r="E621" s="110"/>
      <c r="F621" s="19" t="str">
        <f t="shared" si="9"/>
        <v/>
      </c>
      <c r="G621" s="2"/>
    </row>
    <row r="622" spans="2:7" ht="15" customHeight="1" x14ac:dyDescent="0.25">
      <c r="B622" s="1"/>
      <c r="C622" s="113">
        <v>605</v>
      </c>
      <c r="D622" s="110"/>
      <c r="E622" s="110"/>
      <c r="F622" s="19" t="str">
        <f t="shared" si="9"/>
        <v/>
      </c>
      <c r="G622" s="2"/>
    </row>
    <row r="623" spans="2:7" ht="15" customHeight="1" x14ac:dyDescent="0.25">
      <c r="B623" s="1"/>
      <c r="C623" s="113">
        <v>606</v>
      </c>
      <c r="D623" s="110"/>
      <c r="E623" s="110"/>
      <c r="F623" s="19" t="str">
        <f t="shared" si="9"/>
        <v/>
      </c>
      <c r="G623" s="2"/>
    </row>
    <row r="624" spans="2:7" ht="15" customHeight="1" x14ac:dyDescent="0.25">
      <c r="B624" s="1"/>
      <c r="C624" s="113">
        <v>607</v>
      </c>
      <c r="D624" s="110"/>
      <c r="E624" s="110"/>
      <c r="F624" s="19" t="str">
        <f t="shared" si="9"/>
        <v/>
      </c>
      <c r="G624" s="2"/>
    </row>
    <row r="625" spans="2:7" ht="15" customHeight="1" x14ac:dyDescent="0.25">
      <c r="B625" s="1"/>
      <c r="C625" s="113">
        <v>608</v>
      </c>
      <c r="D625" s="110"/>
      <c r="E625" s="110"/>
      <c r="F625" s="19" t="str">
        <f t="shared" si="9"/>
        <v/>
      </c>
      <c r="G625" s="2"/>
    </row>
    <row r="626" spans="2:7" ht="15" customHeight="1" x14ac:dyDescent="0.25">
      <c r="B626" s="1"/>
      <c r="C626" s="113">
        <v>609</v>
      </c>
      <c r="D626" s="110"/>
      <c r="E626" s="110"/>
      <c r="F626" s="19" t="str">
        <f t="shared" si="9"/>
        <v/>
      </c>
      <c r="G626" s="2"/>
    </row>
    <row r="627" spans="2:7" ht="15" customHeight="1" x14ac:dyDescent="0.25">
      <c r="B627" s="1"/>
      <c r="C627" s="113">
        <v>610</v>
      </c>
      <c r="D627" s="110"/>
      <c r="E627" s="110"/>
      <c r="F627" s="19" t="str">
        <f t="shared" si="9"/>
        <v/>
      </c>
      <c r="G627" s="2"/>
    </row>
    <row r="628" spans="2:7" ht="15" customHeight="1" x14ac:dyDescent="0.25">
      <c r="B628" s="1"/>
      <c r="C628" s="113">
        <v>611</v>
      </c>
      <c r="D628" s="110"/>
      <c r="E628" s="110"/>
      <c r="F628" s="19" t="str">
        <f t="shared" si="9"/>
        <v/>
      </c>
      <c r="G628" s="2"/>
    </row>
    <row r="629" spans="2:7" ht="15" customHeight="1" x14ac:dyDescent="0.25">
      <c r="B629" s="1"/>
      <c r="C629" s="113">
        <v>612</v>
      </c>
      <c r="D629" s="110"/>
      <c r="E629" s="110"/>
      <c r="F629" s="19" t="str">
        <f t="shared" si="9"/>
        <v/>
      </c>
      <c r="G629" s="2"/>
    </row>
    <row r="630" spans="2:7" ht="15" customHeight="1" x14ac:dyDescent="0.25">
      <c r="B630" s="1"/>
      <c r="C630" s="113">
        <v>613</v>
      </c>
      <c r="D630" s="110"/>
      <c r="E630" s="110"/>
      <c r="F630" s="19" t="str">
        <f t="shared" si="9"/>
        <v/>
      </c>
      <c r="G630" s="2"/>
    </row>
    <row r="631" spans="2:7" ht="15" customHeight="1" x14ac:dyDescent="0.25">
      <c r="B631" s="1"/>
      <c r="C631" s="113">
        <v>614</v>
      </c>
      <c r="D631" s="110"/>
      <c r="E631" s="110"/>
      <c r="F631" s="19" t="str">
        <f t="shared" si="9"/>
        <v/>
      </c>
      <c r="G631" s="2"/>
    </row>
    <row r="632" spans="2:7" ht="15" customHeight="1" x14ac:dyDescent="0.25">
      <c r="B632" s="1"/>
      <c r="C632" s="113">
        <v>615</v>
      </c>
      <c r="D632" s="110"/>
      <c r="E632" s="110"/>
      <c r="F632" s="19" t="str">
        <f t="shared" si="9"/>
        <v/>
      </c>
      <c r="G632" s="2"/>
    </row>
    <row r="633" spans="2:7" ht="15" customHeight="1" x14ac:dyDescent="0.25">
      <c r="B633" s="1"/>
      <c r="C633" s="113">
        <v>616</v>
      </c>
      <c r="D633" s="110"/>
      <c r="E633" s="110"/>
      <c r="F633" s="19" t="str">
        <f t="shared" si="9"/>
        <v/>
      </c>
      <c r="G633" s="2"/>
    </row>
    <row r="634" spans="2:7" ht="15" customHeight="1" x14ac:dyDescent="0.25">
      <c r="B634" s="1"/>
      <c r="C634" s="113">
        <v>617</v>
      </c>
      <c r="D634" s="110"/>
      <c r="E634" s="110"/>
      <c r="F634" s="19" t="str">
        <f t="shared" si="9"/>
        <v/>
      </c>
      <c r="G634" s="2"/>
    </row>
    <row r="635" spans="2:7" ht="15" customHeight="1" x14ac:dyDescent="0.25">
      <c r="B635" s="1"/>
      <c r="C635" s="113">
        <v>618</v>
      </c>
      <c r="D635" s="110"/>
      <c r="E635" s="110"/>
      <c r="F635" s="19" t="str">
        <f t="shared" si="9"/>
        <v/>
      </c>
      <c r="G635" s="2"/>
    </row>
    <row r="636" spans="2:7" ht="15" customHeight="1" x14ac:dyDescent="0.25">
      <c r="B636" s="1"/>
      <c r="C636" s="113">
        <v>619</v>
      </c>
      <c r="D636" s="110"/>
      <c r="E636" s="110"/>
      <c r="F636" s="19" t="str">
        <f t="shared" si="9"/>
        <v/>
      </c>
      <c r="G636" s="2"/>
    </row>
    <row r="637" spans="2:7" ht="15" customHeight="1" x14ac:dyDescent="0.25">
      <c r="B637" s="1"/>
      <c r="C637" s="113">
        <v>620</v>
      </c>
      <c r="D637" s="110"/>
      <c r="E637" s="110"/>
      <c r="F637" s="19" t="str">
        <f t="shared" si="9"/>
        <v/>
      </c>
      <c r="G637" s="2"/>
    </row>
    <row r="638" spans="2:7" ht="15" customHeight="1" x14ac:dyDescent="0.25">
      <c r="B638" s="1"/>
      <c r="C638" s="113">
        <v>621</v>
      </c>
      <c r="D638" s="110"/>
      <c r="E638" s="110"/>
      <c r="F638" s="19" t="str">
        <f t="shared" si="9"/>
        <v/>
      </c>
      <c r="G638" s="2"/>
    </row>
    <row r="639" spans="2:7" ht="15" customHeight="1" x14ac:dyDescent="0.25">
      <c r="B639" s="1"/>
      <c r="C639" s="113">
        <v>622</v>
      </c>
      <c r="D639" s="110"/>
      <c r="E639" s="110"/>
      <c r="F639" s="19" t="str">
        <f t="shared" si="9"/>
        <v/>
      </c>
      <c r="G639" s="2"/>
    </row>
    <row r="640" spans="2:7" ht="15" customHeight="1" x14ac:dyDescent="0.25">
      <c r="B640" s="1"/>
      <c r="C640" s="113">
        <v>623</v>
      </c>
      <c r="D640" s="110"/>
      <c r="E640" s="110"/>
      <c r="F640" s="19" t="str">
        <f t="shared" si="9"/>
        <v/>
      </c>
      <c r="G640" s="2"/>
    </row>
    <row r="641" spans="2:7" ht="15" customHeight="1" x14ac:dyDescent="0.25">
      <c r="B641" s="1"/>
      <c r="C641" s="113">
        <v>624</v>
      </c>
      <c r="D641" s="110"/>
      <c r="E641" s="110"/>
      <c r="F641" s="19" t="str">
        <f t="shared" si="9"/>
        <v/>
      </c>
      <c r="G641" s="2"/>
    </row>
    <row r="642" spans="2:7" ht="15" customHeight="1" x14ac:dyDescent="0.25">
      <c r="B642" s="1"/>
      <c r="C642" s="113">
        <v>625</v>
      </c>
      <c r="D642" s="110"/>
      <c r="E642" s="110"/>
      <c r="F642" s="19" t="str">
        <f t="shared" si="9"/>
        <v/>
      </c>
      <c r="G642" s="2"/>
    </row>
    <row r="643" spans="2:7" ht="15" customHeight="1" x14ac:dyDescent="0.25">
      <c r="B643" s="1"/>
      <c r="C643" s="113">
        <v>626</v>
      </c>
      <c r="D643" s="110"/>
      <c r="E643" s="110"/>
      <c r="F643" s="19" t="str">
        <f t="shared" si="9"/>
        <v/>
      </c>
      <c r="G643" s="2"/>
    </row>
    <row r="644" spans="2:7" ht="15" customHeight="1" x14ac:dyDescent="0.25">
      <c r="B644" s="1"/>
      <c r="C644" s="113">
        <v>627</v>
      </c>
      <c r="D644" s="110"/>
      <c r="E644" s="110"/>
      <c r="F644" s="19" t="str">
        <f t="shared" si="9"/>
        <v/>
      </c>
      <c r="G644" s="2"/>
    </row>
    <row r="645" spans="2:7" ht="15" customHeight="1" x14ac:dyDescent="0.25">
      <c r="B645" s="1"/>
      <c r="C645" s="113">
        <v>628</v>
      </c>
      <c r="D645" s="110"/>
      <c r="E645" s="110"/>
      <c r="F645" s="19" t="str">
        <f t="shared" si="9"/>
        <v/>
      </c>
      <c r="G645" s="2"/>
    </row>
    <row r="646" spans="2:7" ht="15" customHeight="1" x14ac:dyDescent="0.25">
      <c r="B646" s="1"/>
      <c r="C646" s="113">
        <v>629</v>
      </c>
      <c r="D646" s="110"/>
      <c r="E646" s="110"/>
      <c r="F646" s="19" t="str">
        <f t="shared" si="9"/>
        <v/>
      </c>
      <c r="G646" s="2"/>
    </row>
    <row r="647" spans="2:7" ht="15" customHeight="1" x14ac:dyDescent="0.25">
      <c r="B647" s="1"/>
      <c r="C647" s="113">
        <v>630</v>
      </c>
      <c r="D647" s="110"/>
      <c r="E647" s="110"/>
      <c r="F647" s="19" t="str">
        <f t="shared" si="9"/>
        <v/>
      </c>
      <c r="G647" s="2"/>
    </row>
    <row r="648" spans="2:7" ht="15" customHeight="1" x14ac:dyDescent="0.25">
      <c r="B648" s="1"/>
      <c r="C648" s="113">
        <v>631</v>
      </c>
      <c r="D648" s="110"/>
      <c r="E648" s="110"/>
      <c r="F648" s="19" t="str">
        <f t="shared" si="9"/>
        <v/>
      </c>
      <c r="G648" s="2"/>
    </row>
    <row r="649" spans="2:7" ht="15" customHeight="1" x14ac:dyDescent="0.25">
      <c r="B649" s="1"/>
      <c r="C649" s="113">
        <v>632</v>
      </c>
      <c r="D649" s="110"/>
      <c r="E649" s="110"/>
      <c r="F649" s="19" t="str">
        <f t="shared" si="9"/>
        <v/>
      </c>
      <c r="G649" s="2"/>
    </row>
    <row r="650" spans="2:7" ht="15" customHeight="1" x14ac:dyDescent="0.25">
      <c r="B650" s="1"/>
      <c r="C650" s="113">
        <v>633</v>
      </c>
      <c r="D650" s="110"/>
      <c r="E650" s="110"/>
      <c r="F650" s="19" t="str">
        <f t="shared" si="9"/>
        <v/>
      </c>
      <c r="G650" s="2"/>
    </row>
    <row r="651" spans="2:7" ht="15" customHeight="1" x14ac:dyDescent="0.25">
      <c r="B651" s="1"/>
      <c r="C651" s="113">
        <v>634</v>
      </c>
      <c r="D651" s="110"/>
      <c r="E651" s="110"/>
      <c r="F651" s="19" t="str">
        <f t="shared" si="9"/>
        <v/>
      </c>
      <c r="G651" s="2"/>
    </row>
    <row r="652" spans="2:7" ht="15" customHeight="1" x14ac:dyDescent="0.25">
      <c r="B652" s="1"/>
      <c r="C652" s="113">
        <v>635</v>
      </c>
      <c r="D652" s="110"/>
      <c r="E652" s="110"/>
      <c r="F652" s="19" t="str">
        <f t="shared" si="9"/>
        <v/>
      </c>
      <c r="G652" s="2"/>
    </row>
    <row r="653" spans="2:7" ht="15" customHeight="1" x14ac:dyDescent="0.25">
      <c r="B653" s="1"/>
      <c r="C653" s="113">
        <v>636</v>
      </c>
      <c r="D653" s="110"/>
      <c r="E653" s="110"/>
      <c r="F653" s="19" t="str">
        <f t="shared" si="9"/>
        <v/>
      </c>
      <c r="G653" s="2"/>
    </row>
    <row r="654" spans="2:7" ht="15" customHeight="1" x14ac:dyDescent="0.25">
      <c r="B654" s="1"/>
      <c r="C654" s="113">
        <v>637</v>
      </c>
      <c r="D654" s="110"/>
      <c r="E654" s="110"/>
      <c r="F654" s="19" t="str">
        <f t="shared" si="9"/>
        <v/>
      </c>
      <c r="G654" s="2"/>
    </row>
    <row r="655" spans="2:7" ht="15" customHeight="1" x14ac:dyDescent="0.25">
      <c r="B655" s="1"/>
      <c r="C655" s="113">
        <v>638</v>
      </c>
      <c r="D655" s="110"/>
      <c r="E655" s="110"/>
      <c r="F655" s="19" t="str">
        <f t="shared" si="9"/>
        <v/>
      </c>
      <c r="G655" s="2"/>
    </row>
    <row r="656" spans="2:7" ht="15" customHeight="1" x14ac:dyDescent="0.25">
      <c r="B656" s="1"/>
      <c r="C656" s="113">
        <v>639</v>
      </c>
      <c r="D656" s="110"/>
      <c r="E656" s="110"/>
      <c r="F656" s="19" t="str">
        <f t="shared" si="9"/>
        <v/>
      </c>
      <c r="G656" s="2"/>
    </row>
    <row r="657" spans="2:7" ht="15" customHeight="1" x14ac:dyDescent="0.25">
      <c r="B657" s="1"/>
      <c r="C657" s="113">
        <v>640</v>
      </c>
      <c r="D657" s="110"/>
      <c r="E657" s="110"/>
      <c r="F657" s="19" t="str">
        <f t="shared" si="9"/>
        <v/>
      </c>
      <c r="G657" s="2"/>
    </row>
    <row r="658" spans="2:7" ht="15" customHeight="1" x14ac:dyDescent="0.25">
      <c r="B658" s="1"/>
      <c r="C658" s="113">
        <v>641</v>
      </c>
      <c r="D658" s="110"/>
      <c r="E658" s="110"/>
      <c r="F658" s="19" t="str">
        <f t="shared" si="9"/>
        <v/>
      </c>
      <c r="G658" s="2"/>
    </row>
    <row r="659" spans="2:7" ht="15" customHeight="1" x14ac:dyDescent="0.25">
      <c r="B659" s="1"/>
      <c r="C659" s="113">
        <v>642</v>
      </c>
      <c r="D659" s="110"/>
      <c r="E659" s="110"/>
      <c r="F659" s="19" t="str">
        <f t="shared" ref="F659:F722" si="10">IFERROR(IF(AND(LEFT(D659,6)=LEFT(E659,6),RIGHT(E659,9)-RIGHT(D659,9)&gt;=0),RIGHT(E659,9)-RIGHT(D659,9)+1,""),"")</f>
        <v/>
      </c>
      <c r="G659" s="2"/>
    </row>
    <row r="660" spans="2:7" ht="15" customHeight="1" x14ac:dyDescent="0.25">
      <c r="B660" s="1"/>
      <c r="C660" s="113">
        <v>643</v>
      </c>
      <c r="D660" s="110"/>
      <c r="E660" s="110"/>
      <c r="F660" s="19" t="str">
        <f t="shared" si="10"/>
        <v/>
      </c>
      <c r="G660" s="2"/>
    </row>
    <row r="661" spans="2:7" ht="15" customHeight="1" x14ac:dyDescent="0.25">
      <c r="B661" s="1"/>
      <c r="C661" s="113">
        <v>644</v>
      </c>
      <c r="D661" s="110"/>
      <c r="E661" s="110"/>
      <c r="F661" s="19" t="str">
        <f t="shared" si="10"/>
        <v/>
      </c>
      <c r="G661" s="2"/>
    </row>
    <row r="662" spans="2:7" ht="15" customHeight="1" x14ac:dyDescent="0.25">
      <c r="B662" s="1"/>
      <c r="C662" s="113">
        <v>645</v>
      </c>
      <c r="D662" s="110"/>
      <c r="E662" s="110"/>
      <c r="F662" s="19" t="str">
        <f t="shared" si="10"/>
        <v/>
      </c>
      <c r="G662" s="2"/>
    </row>
    <row r="663" spans="2:7" ht="15" customHeight="1" x14ac:dyDescent="0.25">
      <c r="B663" s="1"/>
      <c r="C663" s="113">
        <v>646</v>
      </c>
      <c r="D663" s="110"/>
      <c r="E663" s="110"/>
      <c r="F663" s="19" t="str">
        <f t="shared" si="10"/>
        <v/>
      </c>
      <c r="G663" s="2"/>
    </row>
    <row r="664" spans="2:7" ht="15" customHeight="1" x14ac:dyDescent="0.25">
      <c r="B664" s="1"/>
      <c r="C664" s="113">
        <v>647</v>
      </c>
      <c r="D664" s="110"/>
      <c r="E664" s="110"/>
      <c r="F664" s="19" t="str">
        <f t="shared" si="10"/>
        <v/>
      </c>
      <c r="G664" s="2"/>
    </row>
    <row r="665" spans="2:7" ht="15" customHeight="1" x14ac:dyDescent="0.25">
      <c r="B665" s="1"/>
      <c r="C665" s="113">
        <v>648</v>
      </c>
      <c r="D665" s="110"/>
      <c r="E665" s="110"/>
      <c r="F665" s="19" t="str">
        <f t="shared" si="10"/>
        <v/>
      </c>
      <c r="G665" s="2"/>
    </row>
    <row r="666" spans="2:7" ht="15" customHeight="1" x14ac:dyDescent="0.25">
      <c r="B666" s="1"/>
      <c r="C666" s="113">
        <v>649</v>
      </c>
      <c r="D666" s="110"/>
      <c r="E666" s="110"/>
      <c r="F666" s="19" t="str">
        <f t="shared" si="10"/>
        <v/>
      </c>
      <c r="G666" s="2"/>
    </row>
    <row r="667" spans="2:7" ht="15" customHeight="1" x14ac:dyDescent="0.25">
      <c r="B667" s="1"/>
      <c r="C667" s="113">
        <v>650</v>
      </c>
      <c r="D667" s="110"/>
      <c r="E667" s="110"/>
      <c r="F667" s="19" t="str">
        <f t="shared" si="10"/>
        <v/>
      </c>
      <c r="G667" s="2"/>
    </row>
    <row r="668" spans="2:7" ht="15" customHeight="1" x14ac:dyDescent="0.25">
      <c r="B668" s="1"/>
      <c r="C668" s="113">
        <v>651</v>
      </c>
      <c r="D668" s="110"/>
      <c r="E668" s="110"/>
      <c r="F668" s="19" t="str">
        <f t="shared" si="10"/>
        <v/>
      </c>
      <c r="G668" s="2"/>
    </row>
    <row r="669" spans="2:7" ht="15" customHeight="1" x14ac:dyDescent="0.25">
      <c r="B669" s="1"/>
      <c r="C669" s="113">
        <v>652</v>
      </c>
      <c r="D669" s="110"/>
      <c r="E669" s="110"/>
      <c r="F669" s="19" t="str">
        <f t="shared" si="10"/>
        <v/>
      </c>
      <c r="G669" s="2"/>
    </row>
    <row r="670" spans="2:7" ht="15" customHeight="1" x14ac:dyDescent="0.25">
      <c r="B670" s="1"/>
      <c r="C670" s="113">
        <v>653</v>
      </c>
      <c r="D670" s="110"/>
      <c r="E670" s="110"/>
      <c r="F670" s="19" t="str">
        <f t="shared" si="10"/>
        <v/>
      </c>
      <c r="G670" s="2"/>
    </row>
    <row r="671" spans="2:7" ht="15" customHeight="1" x14ac:dyDescent="0.25">
      <c r="B671" s="1"/>
      <c r="C671" s="113">
        <v>654</v>
      </c>
      <c r="D671" s="110"/>
      <c r="E671" s="110"/>
      <c r="F671" s="19" t="str">
        <f t="shared" si="10"/>
        <v/>
      </c>
      <c r="G671" s="2"/>
    </row>
    <row r="672" spans="2:7" ht="15" customHeight="1" x14ac:dyDescent="0.25">
      <c r="B672" s="1"/>
      <c r="C672" s="113">
        <v>655</v>
      </c>
      <c r="D672" s="110"/>
      <c r="E672" s="110"/>
      <c r="F672" s="19" t="str">
        <f t="shared" si="10"/>
        <v/>
      </c>
      <c r="G672" s="2"/>
    </row>
    <row r="673" spans="2:7" ht="15" customHeight="1" x14ac:dyDescent="0.25">
      <c r="B673" s="1"/>
      <c r="C673" s="113">
        <v>656</v>
      </c>
      <c r="D673" s="110"/>
      <c r="E673" s="110"/>
      <c r="F673" s="19" t="str">
        <f t="shared" si="10"/>
        <v/>
      </c>
      <c r="G673" s="2"/>
    </row>
    <row r="674" spans="2:7" ht="15" customHeight="1" x14ac:dyDescent="0.25">
      <c r="B674" s="1"/>
      <c r="C674" s="113">
        <v>657</v>
      </c>
      <c r="D674" s="110"/>
      <c r="E674" s="110"/>
      <c r="F674" s="19" t="str">
        <f t="shared" si="10"/>
        <v/>
      </c>
      <c r="G674" s="2"/>
    </row>
    <row r="675" spans="2:7" ht="15" customHeight="1" x14ac:dyDescent="0.25">
      <c r="B675" s="1"/>
      <c r="C675" s="113">
        <v>658</v>
      </c>
      <c r="D675" s="110"/>
      <c r="E675" s="110"/>
      <c r="F675" s="19" t="str">
        <f t="shared" si="10"/>
        <v/>
      </c>
      <c r="G675" s="2"/>
    </row>
    <row r="676" spans="2:7" ht="15" customHeight="1" x14ac:dyDescent="0.25">
      <c r="B676" s="1"/>
      <c r="C676" s="113">
        <v>659</v>
      </c>
      <c r="D676" s="110"/>
      <c r="E676" s="110"/>
      <c r="F676" s="19" t="str">
        <f t="shared" si="10"/>
        <v/>
      </c>
      <c r="G676" s="2"/>
    </row>
    <row r="677" spans="2:7" ht="15" customHeight="1" x14ac:dyDescent="0.25">
      <c r="B677" s="1"/>
      <c r="C677" s="113">
        <v>660</v>
      </c>
      <c r="D677" s="110"/>
      <c r="E677" s="110"/>
      <c r="F677" s="19" t="str">
        <f t="shared" si="10"/>
        <v/>
      </c>
      <c r="G677" s="2"/>
    </row>
    <row r="678" spans="2:7" ht="15" customHeight="1" x14ac:dyDescent="0.25">
      <c r="B678" s="1"/>
      <c r="C678" s="113">
        <v>661</v>
      </c>
      <c r="D678" s="110"/>
      <c r="E678" s="110"/>
      <c r="F678" s="19" t="str">
        <f t="shared" si="10"/>
        <v/>
      </c>
      <c r="G678" s="2"/>
    </row>
    <row r="679" spans="2:7" ht="15" customHeight="1" x14ac:dyDescent="0.25">
      <c r="B679" s="1"/>
      <c r="C679" s="113">
        <v>662</v>
      </c>
      <c r="D679" s="110"/>
      <c r="E679" s="110"/>
      <c r="F679" s="19" t="str">
        <f t="shared" si="10"/>
        <v/>
      </c>
      <c r="G679" s="2"/>
    </row>
    <row r="680" spans="2:7" ht="15" customHeight="1" x14ac:dyDescent="0.25">
      <c r="B680" s="1"/>
      <c r="C680" s="113">
        <v>663</v>
      </c>
      <c r="D680" s="110"/>
      <c r="E680" s="110"/>
      <c r="F680" s="19" t="str">
        <f t="shared" si="10"/>
        <v/>
      </c>
      <c r="G680" s="2"/>
    </row>
    <row r="681" spans="2:7" ht="15" customHeight="1" x14ac:dyDescent="0.25">
      <c r="B681" s="1"/>
      <c r="C681" s="113">
        <v>664</v>
      </c>
      <c r="D681" s="110"/>
      <c r="E681" s="110"/>
      <c r="F681" s="19" t="str">
        <f t="shared" si="10"/>
        <v/>
      </c>
      <c r="G681" s="2"/>
    </row>
    <row r="682" spans="2:7" ht="15" customHeight="1" x14ac:dyDescent="0.25">
      <c r="B682" s="1"/>
      <c r="C682" s="113">
        <v>665</v>
      </c>
      <c r="D682" s="110"/>
      <c r="E682" s="110"/>
      <c r="F682" s="19" t="str">
        <f t="shared" si="10"/>
        <v/>
      </c>
      <c r="G682" s="2"/>
    </row>
    <row r="683" spans="2:7" ht="15" customHeight="1" x14ac:dyDescent="0.25">
      <c r="B683" s="1"/>
      <c r="C683" s="113">
        <v>666</v>
      </c>
      <c r="D683" s="110"/>
      <c r="E683" s="110"/>
      <c r="F683" s="19" t="str">
        <f t="shared" si="10"/>
        <v/>
      </c>
      <c r="G683" s="2"/>
    </row>
    <row r="684" spans="2:7" ht="15" customHeight="1" x14ac:dyDescent="0.25">
      <c r="B684" s="1"/>
      <c r="C684" s="113">
        <v>667</v>
      </c>
      <c r="D684" s="110"/>
      <c r="E684" s="110"/>
      <c r="F684" s="19" t="str">
        <f t="shared" si="10"/>
        <v/>
      </c>
      <c r="G684" s="2"/>
    </row>
    <row r="685" spans="2:7" ht="15" customHeight="1" x14ac:dyDescent="0.25">
      <c r="B685" s="1"/>
      <c r="C685" s="113">
        <v>668</v>
      </c>
      <c r="D685" s="110"/>
      <c r="E685" s="110"/>
      <c r="F685" s="19" t="str">
        <f t="shared" si="10"/>
        <v/>
      </c>
      <c r="G685" s="2"/>
    </row>
    <row r="686" spans="2:7" ht="15" customHeight="1" x14ac:dyDescent="0.25">
      <c r="B686" s="1"/>
      <c r="C686" s="113">
        <v>669</v>
      </c>
      <c r="D686" s="110"/>
      <c r="E686" s="110"/>
      <c r="F686" s="19" t="str">
        <f t="shared" si="10"/>
        <v/>
      </c>
      <c r="G686" s="2"/>
    </row>
    <row r="687" spans="2:7" ht="15" customHeight="1" x14ac:dyDescent="0.25">
      <c r="B687" s="1"/>
      <c r="C687" s="113">
        <v>670</v>
      </c>
      <c r="D687" s="110"/>
      <c r="E687" s="110"/>
      <c r="F687" s="19" t="str">
        <f t="shared" si="10"/>
        <v/>
      </c>
      <c r="G687" s="2"/>
    </row>
    <row r="688" spans="2:7" ht="15" customHeight="1" x14ac:dyDescent="0.25">
      <c r="B688" s="1"/>
      <c r="C688" s="113">
        <v>671</v>
      </c>
      <c r="D688" s="110"/>
      <c r="E688" s="110"/>
      <c r="F688" s="19" t="str">
        <f t="shared" si="10"/>
        <v/>
      </c>
      <c r="G688" s="2"/>
    </row>
    <row r="689" spans="2:7" ht="15" customHeight="1" x14ac:dyDescent="0.25">
      <c r="B689" s="1"/>
      <c r="C689" s="113">
        <v>672</v>
      </c>
      <c r="D689" s="110"/>
      <c r="E689" s="110"/>
      <c r="F689" s="19" t="str">
        <f t="shared" si="10"/>
        <v/>
      </c>
      <c r="G689" s="2"/>
    </row>
    <row r="690" spans="2:7" ht="15" customHeight="1" x14ac:dyDescent="0.25">
      <c r="B690" s="1"/>
      <c r="C690" s="113">
        <v>673</v>
      </c>
      <c r="D690" s="110"/>
      <c r="E690" s="110"/>
      <c r="F690" s="19" t="str">
        <f t="shared" si="10"/>
        <v/>
      </c>
      <c r="G690" s="2"/>
    </row>
    <row r="691" spans="2:7" ht="15" customHeight="1" x14ac:dyDescent="0.25">
      <c r="B691" s="1"/>
      <c r="C691" s="113">
        <v>674</v>
      </c>
      <c r="D691" s="110"/>
      <c r="E691" s="110"/>
      <c r="F691" s="19" t="str">
        <f t="shared" si="10"/>
        <v/>
      </c>
      <c r="G691" s="2"/>
    </row>
    <row r="692" spans="2:7" ht="15" customHeight="1" x14ac:dyDescent="0.25">
      <c r="B692" s="1"/>
      <c r="C692" s="113">
        <v>675</v>
      </c>
      <c r="D692" s="110"/>
      <c r="E692" s="110"/>
      <c r="F692" s="19" t="str">
        <f t="shared" si="10"/>
        <v/>
      </c>
      <c r="G692" s="2"/>
    </row>
    <row r="693" spans="2:7" ht="15" customHeight="1" x14ac:dyDescent="0.25">
      <c r="B693" s="1"/>
      <c r="C693" s="113">
        <v>676</v>
      </c>
      <c r="D693" s="110"/>
      <c r="E693" s="110"/>
      <c r="F693" s="19" t="str">
        <f t="shared" si="10"/>
        <v/>
      </c>
      <c r="G693" s="2"/>
    </row>
    <row r="694" spans="2:7" ht="15" customHeight="1" x14ac:dyDescent="0.25">
      <c r="B694" s="1"/>
      <c r="C694" s="113">
        <v>677</v>
      </c>
      <c r="D694" s="110"/>
      <c r="E694" s="110"/>
      <c r="F694" s="19" t="str">
        <f t="shared" si="10"/>
        <v/>
      </c>
      <c r="G694" s="2"/>
    </row>
    <row r="695" spans="2:7" ht="15" customHeight="1" x14ac:dyDescent="0.25">
      <c r="B695" s="1"/>
      <c r="C695" s="113">
        <v>678</v>
      </c>
      <c r="D695" s="110"/>
      <c r="E695" s="110"/>
      <c r="F695" s="19" t="str">
        <f t="shared" si="10"/>
        <v/>
      </c>
      <c r="G695" s="2"/>
    </row>
    <row r="696" spans="2:7" ht="15" customHeight="1" x14ac:dyDescent="0.25">
      <c r="B696" s="1"/>
      <c r="C696" s="113">
        <v>679</v>
      </c>
      <c r="D696" s="110"/>
      <c r="E696" s="110"/>
      <c r="F696" s="19" t="str">
        <f t="shared" si="10"/>
        <v/>
      </c>
      <c r="G696" s="2"/>
    </row>
    <row r="697" spans="2:7" ht="15" customHeight="1" x14ac:dyDescent="0.25">
      <c r="B697" s="1"/>
      <c r="C697" s="113">
        <v>680</v>
      </c>
      <c r="D697" s="110"/>
      <c r="E697" s="110"/>
      <c r="F697" s="19" t="str">
        <f t="shared" si="10"/>
        <v/>
      </c>
      <c r="G697" s="2"/>
    </row>
    <row r="698" spans="2:7" ht="15" customHeight="1" x14ac:dyDescent="0.25">
      <c r="B698" s="1"/>
      <c r="C698" s="113">
        <v>681</v>
      </c>
      <c r="D698" s="110"/>
      <c r="E698" s="110"/>
      <c r="F698" s="19" t="str">
        <f t="shared" si="10"/>
        <v/>
      </c>
      <c r="G698" s="2"/>
    </row>
    <row r="699" spans="2:7" ht="15" customHeight="1" x14ac:dyDescent="0.25">
      <c r="B699" s="1"/>
      <c r="C699" s="113">
        <v>682</v>
      </c>
      <c r="D699" s="110"/>
      <c r="E699" s="110"/>
      <c r="F699" s="19" t="str">
        <f t="shared" si="10"/>
        <v/>
      </c>
      <c r="G699" s="2"/>
    </row>
    <row r="700" spans="2:7" ht="15" customHeight="1" x14ac:dyDescent="0.25">
      <c r="B700" s="1"/>
      <c r="C700" s="113">
        <v>683</v>
      </c>
      <c r="D700" s="110"/>
      <c r="E700" s="110"/>
      <c r="F700" s="19" t="str">
        <f t="shared" si="10"/>
        <v/>
      </c>
      <c r="G700" s="2"/>
    </row>
    <row r="701" spans="2:7" ht="15" customHeight="1" x14ac:dyDescent="0.25">
      <c r="B701" s="1"/>
      <c r="C701" s="113">
        <v>684</v>
      </c>
      <c r="D701" s="110"/>
      <c r="E701" s="110"/>
      <c r="F701" s="19" t="str">
        <f t="shared" si="10"/>
        <v/>
      </c>
      <c r="G701" s="2"/>
    </row>
    <row r="702" spans="2:7" ht="15" customHeight="1" x14ac:dyDescent="0.25">
      <c r="B702" s="1"/>
      <c r="C702" s="113">
        <v>685</v>
      </c>
      <c r="D702" s="110"/>
      <c r="E702" s="110"/>
      <c r="F702" s="19" t="str">
        <f t="shared" si="10"/>
        <v/>
      </c>
      <c r="G702" s="2"/>
    </row>
    <row r="703" spans="2:7" ht="15" customHeight="1" x14ac:dyDescent="0.25">
      <c r="B703" s="1"/>
      <c r="C703" s="113">
        <v>686</v>
      </c>
      <c r="D703" s="110"/>
      <c r="E703" s="110"/>
      <c r="F703" s="19" t="str">
        <f t="shared" si="10"/>
        <v/>
      </c>
      <c r="G703" s="2"/>
    </row>
    <row r="704" spans="2:7" ht="15" customHeight="1" x14ac:dyDescent="0.25">
      <c r="B704" s="1"/>
      <c r="C704" s="113">
        <v>687</v>
      </c>
      <c r="D704" s="110"/>
      <c r="E704" s="110"/>
      <c r="F704" s="19" t="str">
        <f t="shared" si="10"/>
        <v/>
      </c>
      <c r="G704" s="2"/>
    </row>
    <row r="705" spans="2:7" ht="15" customHeight="1" x14ac:dyDescent="0.25">
      <c r="B705" s="1"/>
      <c r="C705" s="113">
        <v>688</v>
      </c>
      <c r="D705" s="110"/>
      <c r="E705" s="110"/>
      <c r="F705" s="19" t="str">
        <f t="shared" si="10"/>
        <v/>
      </c>
      <c r="G705" s="2"/>
    </row>
    <row r="706" spans="2:7" ht="15" customHeight="1" x14ac:dyDescent="0.25">
      <c r="B706" s="1"/>
      <c r="C706" s="113">
        <v>689</v>
      </c>
      <c r="D706" s="110"/>
      <c r="E706" s="110"/>
      <c r="F706" s="19" t="str">
        <f t="shared" si="10"/>
        <v/>
      </c>
      <c r="G706" s="2"/>
    </row>
    <row r="707" spans="2:7" ht="15" customHeight="1" x14ac:dyDescent="0.25">
      <c r="B707" s="1"/>
      <c r="C707" s="113">
        <v>690</v>
      </c>
      <c r="D707" s="110"/>
      <c r="E707" s="110"/>
      <c r="F707" s="19" t="str">
        <f t="shared" si="10"/>
        <v/>
      </c>
      <c r="G707" s="2"/>
    </row>
    <row r="708" spans="2:7" ht="15" customHeight="1" x14ac:dyDescent="0.25">
      <c r="B708" s="1"/>
      <c r="C708" s="113">
        <v>691</v>
      </c>
      <c r="D708" s="110"/>
      <c r="E708" s="110"/>
      <c r="F708" s="19" t="str">
        <f t="shared" si="10"/>
        <v/>
      </c>
      <c r="G708" s="2"/>
    </row>
    <row r="709" spans="2:7" ht="15" customHeight="1" x14ac:dyDescent="0.25">
      <c r="B709" s="1"/>
      <c r="C709" s="113">
        <v>692</v>
      </c>
      <c r="D709" s="110"/>
      <c r="E709" s="110"/>
      <c r="F709" s="19" t="str">
        <f t="shared" si="10"/>
        <v/>
      </c>
      <c r="G709" s="2"/>
    </row>
    <row r="710" spans="2:7" ht="15" customHeight="1" x14ac:dyDescent="0.25">
      <c r="B710" s="1"/>
      <c r="C710" s="113">
        <v>693</v>
      </c>
      <c r="D710" s="110"/>
      <c r="E710" s="110"/>
      <c r="F710" s="19" t="str">
        <f t="shared" si="10"/>
        <v/>
      </c>
      <c r="G710" s="2"/>
    </row>
    <row r="711" spans="2:7" ht="15" customHeight="1" x14ac:dyDescent="0.25">
      <c r="B711" s="1"/>
      <c r="C711" s="113">
        <v>694</v>
      </c>
      <c r="D711" s="110"/>
      <c r="E711" s="110"/>
      <c r="F711" s="19" t="str">
        <f t="shared" si="10"/>
        <v/>
      </c>
      <c r="G711" s="2"/>
    </row>
    <row r="712" spans="2:7" ht="15" customHeight="1" x14ac:dyDescent="0.25">
      <c r="B712" s="1"/>
      <c r="C712" s="113">
        <v>695</v>
      </c>
      <c r="D712" s="110"/>
      <c r="E712" s="110"/>
      <c r="F712" s="19" t="str">
        <f t="shared" si="10"/>
        <v/>
      </c>
      <c r="G712" s="2"/>
    </row>
    <row r="713" spans="2:7" ht="15" customHeight="1" x14ac:dyDescent="0.25">
      <c r="B713" s="1"/>
      <c r="C713" s="113">
        <v>696</v>
      </c>
      <c r="D713" s="110"/>
      <c r="E713" s="110"/>
      <c r="F713" s="19" t="str">
        <f t="shared" si="10"/>
        <v/>
      </c>
      <c r="G713" s="2"/>
    </row>
    <row r="714" spans="2:7" ht="15" customHeight="1" x14ac:dyDescent="0.25">
      <c r="B714" s="1"/>
      <c r="C714" s="113">
        <v>697</v>
      </c>
      <c r="D714" s="110"/>
      <c r="E714" s="110"/>
      <c r="F714" s="19" t="str">
        <f t="shared" si="10"/>
        <v/>
      </c>
      <c r="G714" s="2"/>
    </row>
    <row r="715" spans="2:7" ht="15" customHeight="1" x14ac:dyDescent="0.25">
      <c r="B715" s="1"/>
      <c r="C715" s="113">
        <v>698</v>
      </c>
      <c r="D715" s="110"/>
      <c r="E715" s="110"/>
      <c r="F715" s="19" t="str">
        <f t="shared" si="10"/>
        <v/>
      </c>
      <c r="G715" s="2"/>
    </row>
    <row r="716" spans="2:7" ht="15" customHeight="1" x14ac:dyDescent="0.25">
      <c r="B716" s="1"/>
      <c r="C716" s="113">
        <v>699</v>
      </c>
      <c r="D716" s="110"/>
      <c r="E716" s="110"/>
      <c r="F716" s="19" t="str">
        <f t="shared" si="10"/>
        <v/>
      </c>
      <c r="G716" s="2"/>
    </row>
    <row r="717" spans="2:7" ht="15" customHeight="1" x14ac:dyDescent="0.25">
      <c r="B717" s="1"/>
      <c r="C717" s="113">
        <v>700</v>
      </c>
      <c r="D717" s="110"/>
      <c r="E717" s="110"/>
      <c r="F717" s="19" t="str">
        <f t="shared" si="10"/>
        <v/>
      </c>
      <c r="G717" s="2"/>
    </row>
    <row r="718" spans="2:7" ht="15" customHeight="1" x14ac:dyDescent="0.25">
      <c r="B718" s="1"/>
      <c r="C718" s="113">
        <v>701</v>
      </c>
      <c r="D718" s="110"/>
      <c r="E718" s="110"/>
      <c r="F718" s="19" t="str">
        <f t="shared" si="10"/>
        <v/>
      </c>
      <c r="G718" s="2"/>
    </row>
    <row r="719" spans="2:7" ht="15" customHeight="1" x14ac:dyDescent="0.25">
      <c r="B719" s="1"/>
      <c r="C719" s="113">
        <v>702</v>
      </c>
      <c r="D719" s="110"/>
      <c r="E719" s="110"/>
      <c r="F719" s="19" t="str">
        <f t="shared" si="10"/>
        <v/>
      </c>
      <c r="G719" s="2"/>
    </row>
    <row r="720" spans="2:7" ht="15" customHeight="1" x14ac:dyDescent="0.25">
      <c r="B720" s="1"/>
      <c r="C720" s="113">
        <v>703</v>
      </c>
      <c r="D720" s="110"/>
      <c r="E720" s="110"/>
      <c r="F720" s="19" t="str">
        <f t="shared" si="10"/>
        <v/>
      </c>
      <c r="G720" s="2"/>
    </row>
    <row r="721" spans="2:7" ht="15" customHeight="1" x14ac:dyDescent="0.25">
      <c r="B721" s="1"/>
      <c r="C721" s="113">
        <v>704</v>
      </c>
      <c r="D721" s="110"/>
      <c r="E721" s="110"/>
      <c r="F721" s="19" t="str">
        <f t="shared" si="10"/>
        <v/>
      </c>
      <c r="G721" s="2"/>
    </row>
    <row r="722" spans="2:7" ht="15" customHeight="1" x14ac:dyDescent="0.25">
      <c r="B722" s="1"/>
      <c r="C722" s="113">
        <v>705</v>
      </c>
      <c r="D722" s="110"/>
      <c r="E722" s="110"/>
      <c r="F722" s="19" t="str">
        <f t="shared" si="10"/>
        <v/>
      </c>
      <c r="G722" s="2"/>
    </row>
    <row r="723" spans="2:7" ht="15" customHeight="1" x14ac:dyDescent="0.25">
      <c r="B723" s="1"/>
      <c r="C723" s="113">
        <v>706</v>
      </c>
      <c r="D723" s="110"/>
      <c r="E723" s="110"/>
      <c r="F723" s="19" t="str">
        <f t="shared" ref="F723:F786" si="11">IFERROR(IF(AND(LEFT(D723,6)=LEFT(E723,6),RIGHT(E723,9)-RIGHT(D723,9)&gt;=0),RIGHT(E723,9)-RIGHT(D723,9)+1,""),"")</f>
        <v/>
      </c>
      <c r="G723" s="2"/>
    </row>
    <row r="724" spans="2:7" ht="15" customHeight="1" x14ac:dyDescent="0.25">
      <c r="B724" s="1"/>
      <c r="C724" s="113">
        <v>707</v>
      </c>
      <c r="D724" s="110"/>
      <c r="E724" s="110"/>
      <c r="F724" s="19" t="str">
        <f t="shared" si="11"/>
        <v/>
      </c>
      <c r="G724" s="2"/>
    </row>
    <row r="725" spans="2:7" ht="15" customHeight="1" x14ac:dyDescent="0.25">
      <c r="B725" s="1"/>
      <c r="C725" s="113">
        <v>708</v>
      </c>
      <c r="D725" s="110"/>
      <c r="E725" s="110"/>
      <c r="F725" s="19" t="str">
        <f t="shared" si="11"/>
        <v/>
      </c>
      <c r="G725" s="2"/>
    </row>
    <row r="726" spans="2:7" ht="15" customHeight="1" x14ac:dyDescent="0.25">
      <c r="B726" s="1"/>
      <c r="C726" s="113">
        <v>709</v>
      </c>
      <c r="D726" s="110"/>
      <c r="E726" s="110"/>
      <c r="F726" s="19" t="str">
        <f t="shared" si="11"/>
        <v/>
      </c>
      <c r="G726" s="2"/>
    </row>
    <row r="727" spans="2:7" ht="15" customHeight="1" x14ac:dyDescent="0.25">
      <c r="B727" s="1"/>
      <c r="C727" s="113">
        <v>710</v>
      </c>
      <c r="D727" s="110"/>
      <c r="E727" s="110"/>
      <c r="F727" s="19" t="str">
        <f t="shared" si="11"/>
        <v/>
      </c>
      <c r="G727" s="2"/>
    </row>
    <row r="728" spans="2:7" ht="15" customHeight="1" x14ac:dyDescent="0.25">
      <c r="B728" s="1"/>
      <c r="C728" s="113">
        <v>711</v>
      </c>
      <c r="D728" s="110"/>
      <c r="E728" s="110"/>
      <c r="F728" s="19" t="str">
        <f t="shared" si="11"/>
        <v/>
      </c>
      <c r="G728" s="2"/>
    </row>
    <row r="729" spans="2:7" ht="15" customHeight="1" x14ac:dyDescent="0.25">
      <c r="B729" s="1"/>
      <c r="C729" s="113">
        <v>712</v>
      </c>
      <c r="D729" s="110"/>
      <c r="E729" s="110"/>
      <c r="F729" s="19" t="str">
        <f t="shared" si="11"/>
        <v/>
      </c>
      <c r="G729" s="2"/>
    </row>
    <row r="730" spans="2:7" ht="15" customHeight="1" x14ac:dyDescent="0.25">
      <c r="B730" s="1"/>
      <c r="C730" s="113">
        <v>713</v>
      </c>
      <c r="D730" s="110"/>
      <c r="E730" s="110"/>
      <c r="F730" s="19" t="str">
        <f t="shared" si="11"/>
        <v/>
      </c>
      <c r="G730" s="2"/>
    </row>
    <row r="731" spans="2:7" ht="15" customHeight="1" x14ac:dyDescent="0.25">
      <c r="B731" s="1"/>
      <c r="C731" s="113">
        <v>714</v>
      </c>
      <c r="D731" s="110"/>
      <c r="E731" s="110"/>
      <c r="F731" s="19" t="str">
        <f t="shared" si="11"/>
        <v/>
      </c>
      <c r="G731" s="2"/>
    </row>
    <row r="732" spans="2:7" ht="15" customHeight="1" x14ac:dyDescent="0.25">
      <c r="B732" s="1"/>
      <c r="C732" s="113">
        <v>715</v>
      </c>
      <c r="D732" s="110"/>
      <c r="E732" s="110"/>
      <c r="F732" s="19" t="str">
        <f t="shared" si="11"/>
        <v/>
      </c>
      <c r="G732" s="2"/>
    </row>
    <row r="733" spans="2:7" ht="15" customHeight="1" x14ac:dyDescent="0.25">
      <c r="B733" s="1"/>
      <c r="C733" s="113">
        <v>716</v>
      </c>
      <c r="D733" s="110"/>
      <c r="E733" s="110"/>
      <c r="F733" s="19" t="str">
        <f t="shared" si="11"/>
        <v/>
      </c>
      <c r="G733" s="2"/>
    </row>
    <row r="734" spans="2:7" ht="15" customHeight="1" x14ac:dyDescent="0.25">
      <c r="B734" s="1"/>
      <c r="C734" s="113">
        <v>717</v>
      </c>
      <c r="D734" s="110"/>
      <c r="E734" s="110"/>
      <c r="F734" s="19" t="str">
        <f t="shared" si="11"/>
        <v/>
      </c>
      <c r="G734" s="2"/>
    </row>
    <row r="735" spans="2:7" ht="15" customHeight="1" x14ac:dyDescent="0.25">
      <c r="B735" s="1"/>
      <c r="C735" s="113">
        <v>718</v>
      </c>
      <c r="D735" s="110"/>
      <c r="E735" s="110"/>
      <c r="F735" s="19" t="str">
        <f t="shared" si="11"/>
        <v/>
      </c>
      <c r="G735" s="2"/>
    </row>
    <row r="736" spans="2:7" ht="15" customHeight="1" x14ac:dyDescent="0.25">
      <c r="B736" s="1"/>
      <c r="C736" s="113">
        <v>719</v>
      </c>
      <c r="D736" s="110"/>
      <c r="E736" s="110"/>
      <c r="F736" s="19" t="str">
        <f t="shared" si="11"/>
        <v/>
      </c>
      <c r="G736" s="2"/>
    </row>
    <row r="737" spans="2:7" ht="15" customHeight="1" x14ac:dyDescent="0.25">
      <c r="B737" s="1"/>
      <c r="C737" s="113">
        <v>720</v>
      </c>
      <c r="D737" s="110"/>
      <c r="E737" s="110"/>
      <c r="F737" s="19" t="str">
        <f t="shared" si="11"/>
        <v/>
      </c>
      <c r="G737" s="2"/>
    </row>
    <row r="738" spans="2:7" ht="15" customHeight="1" x14ac:dyDescent="0.25">
      <c r="B738" s="1"/>
      <c r="C738" s="113">
        <v>721</v>
      </c>
      <c r="D738" s="110"/>
      <c r="E738" s="110"/>
      <c r="F738" s="19" t="str">
        <f t="shared" si="11"/>
        <v/>
      </c>
      <c r="G738" s="2"/>
    </row>
    <row r="739" spans="2:7" ht="15" customHeight="1" x14ac:dyDescent="0.25">
      <c r="B739" s="1"/>
      <c r="C739" s="113">
        <v>722</v>
      </c>
      <c r="D739" s="110"/>
      <c r="E739" s="110"/>
      <c r="F739" s="19" t="str">
        <f t="shared" si="11"/>
        <v/>
      </c>
      <c r="G739" s="2"/>
    </row>
    <row r="740" spans="2:7" ht="15" customHeight="1" x14ac:dyDescent="0.25">
      <c r="B740" s="1"/>
      <c r="C740" s="113">
        <v>723</v>
      </c>
      <c r="D740" s="110"/>
      <c r="E740" s="110"/>
      <c r="F740" s="19" t="str">
        <f t="shared" si="11"/>
        <v/>
      </c>
      <c r="G740" s="2"/>
    </row>
    <row r="741" spans="2:7" ht="15" customHeight="1" x14ac:dyDescent="0.25">
      <c r="B741" s="1"/>
      <c r="C741" s="113">
        <v>724</v>
      </c>
      <c r="D741" s="110"/>
      <c r="E741" s="110"/>
      <c r="F741" s="19" t="str">
        <f t="shared" si="11"/>
        <v/>
      </c>
      <c r="G741" s="2"/>
    </row>
    <row r="742" spans="2:7" ht="15" customHeight="1" x14ac:dyDescent="0.25">
      <c r="B742" s="1"/>
      <c r="C742" s="113">
        <v>725</v>
      </c>
      <c r="D742" s="110"/>
      <c r="E742" s="110"/>
      <c r="F742" s="19" t="str">
        <f t="shared" si="11"/>
        <v/>
      </c>
      <c r="G742" s="2"/>
    </row>
    <row r="743" spans="2:7" ht="15" customHeight="1" x14ac:dyDescent="0.25">
      <c r="B743" s="1"/>
      <c r="C743" s="113">
        <v>726</v>
      </c>
      <c r="D743" s="110"/>
      <c r="E743" s="110"/>
      <c r="F743" s="19" t="str">
        <f t="shared" si="11"/>
        <v/>
      </c>
      <c r="G743" s="2"/>
    </row>
    <row r="744" spans="2:7" ht="15" customHeight="1" x14ac:dyDescent="0.25">
      <c r="B744" s="1"/>
      <c r="C744" s="113">
        <v>727</v>
      </c>
      <c r="D744" s="110"/>
      <c r="E744" s="110"/>
      <c r="F744" s="19" t="str">
        <f t="shared" si="11"/>
        <v/>
      </c>
      <c r="G744" s="2"/>
    </row>
    <row r="745" spans="2:7" ht="15" customHeight="1" x14ac:dyDescent="0.25">
      <c r="B745" s="1"/>
      <c r="C745" s="113">
        <v>728</v>
      </c>
      <c r="D745" s="110"/>
      <c r="E745" s="110"/>
      <c r="F745" s="19" t="str">
        <f t="shared" si="11"/>
        <v/>
      </c>
      <c r="G745" s="2"/>
    </row>
    <row r="746" spans="2:7" ht="15" customHeight="1" x14ac:dyDescent="0.25">
      <c r="B746" s="1"/>
      <c r="C746" s="113">
        <v>729</v>
      </c>
      <c r="D746" s="110"/>
      <c r="E746" s="110"/>
      <c r="F746" s="19" t="str">
        <f t="shared" si="11"/>
        <v/>
      </c>
      <c r="G746" s="2"/>
    </row>
    <row r="747" spans="2:7" ht="15" customHeight="1" x14ac:dyDescent="0.25">
      <c r="B747" s="1"/>
      <c r="C747" s="113">
        <v>730</v>
      </c>
      <c r="D747" s="110"/>
      <c r="E747" s="110"/>
      <c r="F747" s="19" t="str">
        <f t="shared" si="11"/>
        <v/>
      </c>
      <c r="G747" s="2"/>
    </row>
    <row r="748" spans="2:7" ht="15" customHeight="1" x14ac:dyDescent="0.25">
      <c r="B748" s="1"/>
      <c r="C748" s="113">
        <v>731</v>
      </c>
      <c r="D748" s="110"/>
      <c r="E748" s="110"/>
      <c r="F748" s="19" t="str">
        <f t="shared" si="11"/>
        <v/>
      </c>
      <c r="G748" s="2"/>
    </row>
    <row r="749" spans="2:7" ht="15" customHeight="1" x14ac:dyDescent="0.25">
      <c r="B749" s="1"/>
      <c r="C749" s="113">
        <v>732</v>
      </c>
      <c r="D749" s="110"/>
      <c r="E749" s="110"/>
      <c r="F749" s="19" t="str">
        <f t="shared" si="11"/>
        <v/>
      </c>
      <c r="G749" s="2"/>
    </row>
    <row r="750" spans="2:7" ht="15" customHeight="1" x14ac:dyDescent="0.25">
      <c r="B750" s="1"/>
      <c r="C750" s="113">
        <v>733</v>
      </c>
      <c r="D750" s="110"/>
      <c r="E750" s="110"/>
      <c r="F750" s="19" t="str">
        <f t="shared" si="11"/>
        <v/>
      </c>
      <c r="G750" s="2"/>
    </row>
    <row r="751" spans="2:7" ht="15" customHeight="1" x14ac:dyDescent="0.25">
      <c r="B751" s="1"/>
      <c r="C751" s="113">
        <v>734</v>
      </c>
      <c r="D751" s="110"/>
      <c r="E751" s="110"/>
      <c r="F751" s="19" t="str">
        <f t="shared" si="11"/>
        <v/>
      </c>
      <c r="G751" s="2"/>
    </row>
    <row r="752" spans="2:7" ht="15" customHeight="1" x14ac:dyDescent="0.25">
      <c r="B752" s="1"/>
      <c r="C752" s="113">
        <v>735</v>
      </c>
      <c r="D752" s="110"/>
      <c r="E752" s="110"/>
      <c r="F752" s="19" t="str">
        <f t="shared" si="11"/>
        <v/>
      </c>
      <c r="G752" s="2"/>
    </row>
    <row r="753" spans="2:7" ht="15" customHeight="1" x14ac:dyDescent="0.25">
      <c r="B753" s="1"/>
      <c r="C753" s="113">
        <v>736</v>
      </c>
      <c r="D753" s="110"/>
      <c r="E753" s="110"/>
      <c r="F753" s="19" t="str">
        <f t="shared" si="11"/>
        <v/>
      </c>
      <c r="G753" s="2"/>
    </row>
    <row r="754" spans="2:7" ht="15" customHeight="1" x14ac:dyDescent="0.25">
      <c r="B754" s="1"/>
      <c r="C754" s="113">
        <v>737</v>
      </c>
      <c r="D754" s="110"/>
      <c r="E754" s="110"/>
      <c r="F754" s="19" t="str">
        <f t="shared" si="11"/>
        <v/>
      </c>
      <c r="G754" s="2"/>
    </row>
    <row r="755" spans="2:7" ht="15" customHeight="1" x14ac:dyDescent="0.25">
      <c r="B755" s="1"/>
      <c r="C755" s="113">
        <v>738</v>
      </c>
      <c r="D755" s="110"/>
      <c r="E755" s="110"/>
      <c r="F755" s="19" t="str">
        <f t="shared" si="11"/>
        <v/>
      </c>
      <c r="G755" s="2"/>
    </row>
    <row r="756" spans="2:7" ht="15" customHeight="1" x14ac:dyDescent="0.25">
      <c r="B756" s="1"/>
      <c r="C756" s="113">
        <v>739</v>
      </c>
      <c r="D756" s="110"/>
      <c r="E756" s="110"/>
      <c r="F756" s="19" t="str">
        <f t="shared" si="11"/>
        <v/>
      </c>
      <c r="G756" s="2"/>
    </row>
    <row r="757" spans="2:7" ht="15" customHeight="1" x14ac:dyDescent="0.25">
      <c r="B757" s="1"/>
      <c r="C757" s="113">
        <v>740</v>
      </c>
      <c r="D757" s="110"/>
      <c r="E757" s="110"/>
      <c r="F757" s="19" t="str">
        <f t="shared" si="11"/>
        <v/>
      </c>
      <c r="G757" s="2"/>
    </row>
    <row r="758" spans="2:7" ht="15" customHeight="1" x14ac:dyDescent="0.25">
      <c r="B758" s="1"/>
      <c r="C758" s="113">
        <v>741</v>
      </c>
      <c r="D758" s="110"/>
      <c r="E758" s="110"/>
      <c r="F758" s="19" t="str">
        <f t="shared" si="11"/>
        <v/>
      </c>
      <c r="G758" s="2"/>
    </row>
    <row r="759" spans="2:7" ht="15" customHeight="1" x14ac:dyDescent="0.25">
      <c r="B759" s="1"/>
      <c r="C759" s="113">
        <v>742</v>
      </c>
      <c r="D759" s="110"/>
      <c r="E759" s="110"/>
      <c r="F759" s="19" t="str">
        <f t="shared" si="11"/>
        <v/>
      </c>
      <c r="G759" s="2"/>
    </row>
    <row r="760" spans="2:7" ht="15" customHeight="1" x14ac:dyDescent="0.25">
      <c r="B760" s="1"/>
      <c r="C760" s="113">
        <v>743</v>
      </c>
      <c r="D760" s="110"/>
      <c r="E760" s="110"/>
      <c r="F760" s="19" t="str">
        <f t="shared" si="11"/>
        <v/>
      </c>
      <c r="G760" s="2"/>
    </row>
    <row r="761" spans="2:7" ht="15" customHeight="1" x14ac:dyDescent="0.25">
      <c r="B761" s="1"/>
      <c r="C761" s="113">
        <v>744</v>
      </c>
      <c r="D761" s="110"/>
      <c r="E761" s="110"/>
      <c r="F761" s="19" t="str">
        <f t="shared" si="11"/>
        <v/>
      </c>
      <c r="G761" s="2"/>
    </row>
    <row r="762" spans="2:7" ht="15" customHeight="1" x14ac:dyDescent="0.25">
      <c r="B762" s="1"/>
      <c r="C762" s="113">
        <v>745</v>
      </c>
      <c r="D762" s="110"/>
      <c r="E762" s="110"/>
      <c r="F762" s="19" t="str">
        <f t="shared" si="11"/>
        <v/>
      </c>
      <c r="G762" s="2"/>
    </row>
    <row r="763" spans="2:7" ht="15" customHeight="1" x14ac:dyDescent="0.25">
      <c r="B763" s="1"/>
      <c r="C763" s="113">
        <v>746</v>
      </c>
      <c r="D763" s="110"/>
      <c r="E763" s="110"/>
      <c r="F763" s="19" t="str">
        <f t="shared" si="11"/>
        <v/>
      </c>
      <c r="G763" s="2"/>
    </row>
    <row r="764" spans="2:7" ht="15" customHeight="1" x14ac:dyDescent="0.25">
      <c r="B764" s="1"/>
      <c r="C764" s="113">
        <v>747</v>
      </c>
      <c r="D764" s="110"/>
      <c r="E764" s="110"/>
      <c r="F764" s="19" t="str">
        <f t="shared" si="11"/>
        <v/>
      </c>
      <c r="G764" s="2"/>
    </row>
    <row r="765" spans="2:7" ht="15" customHeight="1" x14ac:dyDescent="0.25">
      <c r="B765" s="1"/>
      <c r="C765" s="113">
        <v>748</v>
      </c>
      <c r="D765" s="110"/>
      <c r="E765" s="110"/>
      <c r="F765" s="19" t="str">
        <f t="shared" si="11"/>
        <v/>
      </c>
      <c r="G765" s="2"/>
    </row>
    <row r="766" spans="2:7" ht="15" customHeight="1" x14ac:dyDescent="0.25">
      <c r="B766" s="1"/>
      <c r="C766" s="113">
        <v>749</v>
      </c>
      <c r="D766" s="110"/>
      <c r="E766" s="110"/>
      <c r="F766" s="19" t="str">
        <f t="shared" si="11"/>
        <v/>
      </c>
      <c r="G766" s="2"/>
    </row>
    <row r="767" spans="2:7" ht="15" customHeight="1" x14ac:dyDescent="0.25">
      <c r="B767" s="1"/>
      <c r="C767" s="113">
        <v>750</v>
      </c>
      <c r="D767" s="110"/>
      <c r="E767" s="110"/>
      <c r="F767" s="19" t="str">
        <f t="shared" si="11"/>
        <v/>
      </c>
      <c r="G767" s="2"/>
    </row>
    <row r="768" spans="2:7" ht="15" customHeight="1" x14ac:dyDescent="0.25">
      <c r="B768" s="1"/>
      <c r="C768" s="113">
        <v>751</v>
      </c>
      <c r="D768" s="110"/>
      <c r="E768" s="110"/>
      <c r="F768" s="19" t="str">
        <f t="shared" si="11"/>
        <v/>
      </c>
      <c r="G768" s="2"/>
    </row>
    <row r="769" spans="2:7" ht="15" customHeight="1" x14ac:dyDescent="0.25">
      <c r="B769" s="1"/>
      <c r="C769" s="113">
        <v>752</v>
      </c>
      <c r="D769" s="110"/>
      <c r="E769" s="110"/>
      <c r="F769" s="19" t="str">
        <f t="shared" si="11"/>
        <v/>
      </c>
      <c r="G769" s="2"/>
    </row>
    <row r="770" spans="2:7" ht="15" customHeight="1" x14ac:dyDescent="0.25">
      <c r="B770" s="1"/>
      <c r="C770" s="113">
        <v>753</v>
      </c>
      <c r="D770" s="110"/>
      <c r="E770" s="110"/>
      <c r="F770" s="19" t="str">
        <f t="shared" si="11"/>
        <v/>
      </c>
      <c r="G770" s="2"/>
    </row>
    <row r="771" spans="2:7" ht="15" customHeight="1" x14ac:dyDescent="0.25">
      <c r="B771" s="1"/>
      <c r="C771" s="113">
        <v>754</v>
      </c>
      <c r="D771" s="110"/>
      <c r="E771" s="110"/>
      <c r="F771" s="19" t="str">
        <f t="shared" si="11"/>
        <v/>
      </c>
      <c r="G771" s="2"/>
    </row>
    <row r="772" spans="2:7" ht="15" customHeight="1" x14ac:dyDescent="0.25">
      <c r="B772" s="1"/>
      <c r="C772" s="113">
        <v>755</v>
      </c>
      <c r="D772" s="110"/>
      <c r="E772" s="110"/>
      <c r="F772" s="19" t="str">
        <f t="shared" si="11"/>
        <v/>
      </c>
      <c r="G772" s="2"/>
    </row>
    <row r="773" spans="2:7" ht="15" customHeight="1" x14ac:dyDescent="0.25">
      <c r="B773" s="1"/>
      <c r="C773" s="113">
        <v>756</v>
      </c>
      <c r="D773" s="110"/>
      <c r="E773" s="110"/>
      <c r="F773" s="19" t="str">
        <f t="shared" si="11"/>
        <v/>
      </c>
      <c r="G773" s="2"/>
    </row>
    <row r="774" spans="2:7" ht="15" customHeight="1" x14ac:dyDescent="0.25">
      <c r="B774" s="1"/>
      <c r="C774" s="113">
        <v>757</v>
      </c>
      <c r="D774" s="110"/>
      <c r="E774" s="110"/>
      <c r="F774" s="19" t="str">
        <f t="shared" si="11"/>
        <v/>
      </c>
      <c r="G774" s="2"/>
    </row>
    <row r="775" spans="2:7" ht="15" customHeight="1" x14ac:dyDescent="0.25">
      <c r="B775" s="1"/>
      <c r="C775" s="113">
        <v>758</v>
      </c>
      <c r="D775" s="110"/>
      <c r="E775" s="110"/>
      <c r="F775" s="19" t="str">
        <f t="shared" si="11"/>
        <v/>
      </c>
      <c r="G775" s="2"/>
    </row>
    <row r="776" spans="2:7" ht="15" customHeight="1" x14ac:dyDescent="0.25">
      <c r="B776" s="1"/>
      <c r="C776" s="113">
        <v>759</v>
      </c>
      <c r="D776" s="110"/>
      <c r="E776" s="110"/>
      <c r="F776" s="19" t="str">
        <f t="shared" si="11"/>
        <v/>
      </c>
      <c r="G776" s="2"/>
    </row>
    <row r="777" spans="2:7" ht="15" customHeight="1" x14ac:dyDescent="0.25">
      <c r="B777" s="1"/>
      <c r="C777" s="113">
        <v>760</v>
      </c>
      <c r="D777" s="110"/>
      <c r="E777" s="110"/>
      <c r="F777" s="19" t="str">
        <f t="shared" si="11"/>
        <v/>
      </c>
      <c r="G777" s="2"/>
    </row>
    <row r="778" spans="2:7" ht="15" customHeight="1" x14ac:dyDescent="0.25">
      <c r="B778" s="1"/>
      <c r="C778" s="113">
        <v>761</v>
      </c>
      <c r="D778" s="110"/>
      <c r="E778" s="110"/>
      <c r="F778" s="19" t="str">
        <f t="shared" si="11"/>
        <v/>
      </c>
      <c r="G778" s="2"/>
    </row>
    <row r="779" spans="2:7" ht="15" customHeight="1" x14ac:dyDescent="0.25">
      <c r="B779" s="1"/>
      <c r="C779" s="113">
        <v>762</v>
      </c>
      <c r="D779" s="110"/>
      <c r="E779" s="110"/>
      <c r="F779" s="19" t="str">
        <f t="shared" si="11"/>
        <v/>
      </c>
      <c r="G779" s="2"/>
    </row>
    <row r="780" spans="2:7" ht="15" customHeight="1" x14ac:dyDescent="0.25">
      <c r="B780" s="1"/>
      <c r="C780" s="113">
        <v>763</v>
      </c>
      <c r="D780" s="110"/>
      <c r="E780" s="110"/>
      <c r="F780" s="19" t="str">
        <f t="shared" si="11"/>
        <v/>
      </c>
      <c r="G780" s="2"/>
    </row>
    <row r="781" spans="2:7" ht="15" customHeight="1" x14ac:dyDescent="0.25">
      <c r="B781" s="1"/>
      <c r="C781" s="113">
        <v>764</v>
      </c>
      <c r="D781" s="110"/>
      <c r="E781" s="110"/>
      <c r="F781" s="19" t="str">
        <f t="shared" si="11"/>
        <v/>
      </c>
      <c r="G781" s="2"/>
    </row>
    <row r="782" spans="2:7" ht="15" customHeight="1" x14ac:dyDescent="0.25">
      <c r="B782" s="1"/>
      <c r="C782" s="113">
        <v>765</v>
      </c>
      <c r="D782" s="110"/>
      <c r="E782" s="110"/>
      <c r="F782" s="19" t="str">
        <f t="shared" si="11"/>
        <v/>
      </c>
      <c r="G782" s="2"/>
    </row>
    <row r="783" spans="2:7" ht="15" customHeight="1" x14ac:dyDescent="0.25">
      <c r="B783" s="1"/>
      <c r="C783" s="113">
        <v>766</v>
      </c>
      <c r="D783" s="110"/>
      <c r="E783" s="110"/>
      <c r="F783" s="19" t="str">
        <f t="shared" si="11"/>
        <v/>
      </c>
      <c r="G783" s="2"/>
    </row>
    <row r="784" spans="2:7" ht="15" customHeight="1" x14ac:dyDescent="0.25">
      <c r="B784" s="1"/>
      <c r="C784" s="113">
        <v>767</v>
      </c>
      <c r="D784" s="110"/>
      <c r="E784" s="110"/>
      <c r="F784" s="19" t="str">
        <f t="shared" si="11"/>
        <v/>
      </c>
      <c r="G784" s="2"/>
    </row>
    <row r="785" spans="2:7" ht="15" customHeight="1" x14ac:dyDescent="0.25">
      <c r="B785" s="1"/>
      <c r="C785" s="113">
        <v>768</v>
      </c>
      <c r="D785" s="110"/>
      <c r="E785" s="110"/>
      <c r="F785" s="19" t="str">
        <f t="shared" si="11"/>
        <v/>
      </c>
      <c r="G785" s="2"/>
    </row>
    <row r="786" spans="2:7" ht="15" customHeight="1" x14ac:dyDescent="0.25">
      <c r="B786" s="1"/>
      <c r="C786" s="113">
        <v>769</v>
      </c>
      <c r="D786" s="110"/>
      <c r="E786" s="110"/>
      <c r="F786" s="19" t="str">
        <f t="shared" si="11"/>
        <v/>
      </c>
      <c r="G786" s="2"/>
    </row>
    <row r="787" spans="2:7" ht="15" customHeight="1" x14ac:dyDescent="0.25">
      <c r="B787" s="1"/>
      <c r="C787" s="113">
        <v>770</v>
      </c>
      <c r="D787" s="110"/>
      <c r="E787" s="110"/>
      <c r="F787" s="19" t="str">
        <f t="shared" ref="F787:F850" si="12">IFERROR(IF(AND(LEFT(D787,6)=LEFT(E787,6),RIGHT(E787,9)-RIGHT(D787,9)&gt;=0),RIGHT(E787,9)-RIGHT(D787,9)+1,""),"")</f>
        <v/>
      </c>
      <c r="G787" s="2"/>
    </row>
    <row r="788" spans="2:7" ht="15" customHeight="1" x14ac:dyDescent="0.25">
      <c r="B788" s="1"/>
      <c r="C788" s="113">
        <v>771</v>
      </c>
      <c r="D788" s="110"/>
      <c r="E788" s="110"/>
      <c r="F788" s="19" t="str">
        <f t="shared" si="12"/>
        <v/>
      </c>
      <c r="G788" s="2"/>
    </row>
    <row r="789" spans="2:7" ht="15" customHeight="1" x14ac:dyDescent="0.25">
      <c r="B789" s="1"/>
      <c r="C789" s="113">
        <v>772</v>
      </c>
      <c r="D789" s="110"/>
      <c r="E789" s="110"/>
      <c r="F789" s="19" t="str">
        <f t="shared" si="12"/>
        <v/>
      </c>
      <c r="G789" s="2"/>
    </row>
    <row r="790" spans="2:7" ht="15" customHeight="1" x14ac:dyDescent="0.25">
      <c r="B790" s="1"/>
      <c r="C790" s="113">
        <v>773</v>
      </c>
      <c r="D790" s="110"/>
      <c r="E790" s="110"/>
      <c r="F790" s="19" t="str">
        <f t="shared" si="12"/>
        <v/>
      </c>
      <c r="G790" s="2"/>
    </row>
    <row r="791" spans="2:7" ht="15" customHeight="1" x14ac:dyDescent="0.25">
      <c r="B791" s="1"/>
      <c r="C791" s="113">
        <v>774</v>
      </c>
      <c r="D791" s="110"/>
      <c r="E791" s="110"/>
      <c r="F791" s="19" t="str">
        <f t="shared" si="12"/>
        <v/>
      </c>
      <c r="G791" s="2"/>
    </row>
    <row r="792" spans="2:7" ht="15" customHeight="1" x14ac:dyDescent="0.25">
      <c r="B792" s="1"/>
      <c r="C792" s="113">
        <v>775</v>
      </c>
      <c r="D792" s="110"/>
      <c r="E792" s="110"/>
      <c r="F792" s="19" t="str">
        <f t="shared" si="12"/>
        <v/>
      </c>
      <c r="G792" s="2"/>
    </row>
    <row r="793" spans="2:7" ht="15" customHeight="1" x14ac:dyDescent="0.25">
      <c r="B793" s="1"/>
      <c r="C793" s="113">
        <v>776</v>
      </c>
      <c r="D793" s="110"/>
      <c r="E793" s="110"/>
      <c r="F793" s="19" t="str">
        <f t="shared" si="12"/>
        <v/>
      </c>
      <c r="G793" s="2"/>
    </row>
    <row r="794" spans="2:7" ht="15" customHeight="1" x14ac:dyDescent="0.25">
      <c r="B794" s="1"/>
      <c r="C794" s="113">
        <v>777</v>
      </c>
      <c r="D794" s="110"/>
      <c r="E794" s="110"/>
      <c r="F794" s="19" t="str">
        <f t="shared" si="12"/>
        <v/>
      </c>
      <c r="G794" s="2"/>
    </row>
    <row r="795" spans="2:7" ht="15" customHeight="1" x14ac:dyDescent="0.25">
      <c r="B795" s="1"/>
      <c r="C795" s="113">
        <v>778</v>
      </c>
      <c r="D795" s="110"/>
      <c r="E795" s="110"/>
      <c r="F795" s="19" t="str">
        <f t="shared" si="12"/>
        <v/>
      </c>
      <c r="G795" s="2"/>
    </row>
    <row r="796" spans="2:7" ht="15" customHeight="1" x14ac:dyDescent="0.25">
      <c r="B796" s="1"/>
      <c r="C796" s="113">
        <v>779</v>
      </c>
      <c r="D796" s="110"/>
      <c r="E796" s="110"/>
      <c r="F796" s="19" t="str">
        <f t="shared" si="12"/>
        <v/>
      </c>
      <c r="G796" s="2"/>
    </row>
    <row r="797" spans="2:7" ht="15" customHeight="1" x14ac:dyDescent="0.25">
      <c r="B797" s="1"/>
      <c r="C797" s="113">
        <v>780</v>
      </c>
      <c r="D797" s="110"/>
      <c r="E797" s="110"/>
      <c r="F797" s="19" t="str">
        <f t="shared" si="12"/>
        <v/>
      </c>
      <c r="G797" s="2"/>
    </row>
    <row r="798" spans="2:7" ht="15" customHeight="1" x14ac:dyDescent="0.25">
      <c r="B798" s="1"/>
      <c r="C798" s="113">
        <v>781</v>
      </c>
      <c r="D798" s="110"/>
      <c r="E798" s="110"/>
      <c r="F798" s="19" t="str">
        <f t="shared" si="12"/>
        <v/>
      </c>
      <c r="G798" s="2"/>
    </row>
    <row r="799" spans="2:7" ht="15" customHeight="1" x14ac:dyDescent="0.25">
      <c r="B799" s="1"/>
      <c r="C799" s="113">
        <v>782</v>
      </c>
      <c r="D799" s="110"/>
      <c r="E799" s="110"/>
      <c r="F799" s="19" t="str">
        <f t="shared" si="12"/>
        <v/>
      </c>
      <c r="G799" s="2"/>
    </row>
    <row r="800" spans="2:7" ht="15" customHeight="1" x14ac:dyDescent="0.25">
      <c r="B800" s="1"/>
      <c r="C800" s="113">
        <v>783</v>
      </c>
      <c r="D800" s="110"/>
      <c r="E800" s="110"/>
      <c r="F800" s="19" t="str">
        <f t="shared" si="12"/>
        <v/>
      </c>
      <c r="G800" s="2"/>
    </row>
    <row r="801" spans="2:7" ht="15" customHeight="1" x14ac:dyDescent="0.25">
      <c r="B801" s="1"/>
      <c r="C801" s="113">
        <v>784</v>
      </c>
      <c r="D801" s="110"/>
      <c r="E801" s="110"/>
      <c r="F801" s="19" t="str">
        <f t="shared" si="12"/>
        <v/>
      </c>
      <c r="G801" s="2"/>
    </row>
    <row r="802" spans="2:7" ht="15" customHeight="1" x14ac:dyDescent="0.25">
      <c r="B802" s="1"/>
      <c r="C802" s="113">
        <v>785</v>
      </c>
      <c r="D802" s="110"/>
      <c r="E802" s="110"/>
      <c r="F802" s="19" t="str">
        <f t="shared" si="12"/>
        <v/>
      </c>
      <c r="G802" s="2"/>
    </row>
    <row r="803" spans="2:7" ht="15" customHeight="1" x14ac:dyDescent="0.25">
      <c r="B803" s="1"/>
      <c r="C803" s="113">
        <v>786</v>
      </c>
      <c r="D803" s="110"/>
      <c r="E803" s="110"/>
      <c r="F803" s="19" t="str">
        <f t="shared" si="12"/>
        <v/>
      </c>
      <c r="G803" s="2"/>
    </row>
    <row r="804" spans="2:7" ht="15" customHeight="1" x14ac:dyDescent="0.25">
      <c r="B804" s="1"/>
      <c r="C804" s="113">
        <v>787</v>
      </c>
      <c r="D804" s="110"/>
      <c r="E804" s="110"/>
      <c r="F804" s="19" t="str">
        <f t="shared" si="12"/>
        <v/>
      </c>
      <c r="G804" s="2"/>
    </row>
    <row r="805" spans="2:7" ht="15" customHeight="1" x14ac:dyDescent="0.25">
      <c r="B805" s="1"/>
      <c r="C805" s="113">
        <v>788</v>
      </c>
      <c r="D805" s="110"/>
      <c r="E805" s="110"/>
      <c r="F805" s="19" t="str">
        <f t="shared" si="12"/>
        <v/>
      </c>
      <c r="G805" s="2"/>
    </row>
    <row r="806" spans="2:7" ht="15" customHeight="1" x14ac:dyDescent="0.25">
      <c r="B806" s="1"/>
      <c r="C806" s="113">
        <v>789</v>
      </c>
      <c r="D806" s="110"/>
      <c r="E806" s="110"/>
      <c r="F806" s="19" t="str">
        <f t="shared" si="12"/>
        <v/>
      </c>
      <c r="G806" s="2"/>
    </row>
    <row r="807" spans="2:7" ht="15" customHeight="1" x14ac:dyDescent="0.25">
      <c r="B807" s="1"/>
      <c r="C807" s="113">
        <v>790</v>
      </c>
      <c r="D807" s="110"/>
      <c r="E807" s="110"/>
      <c r="F807" s="19" t="str">
        <f t="shared" si="12"/>
        <v/>
      </c>
      <c r="G807" s="2"/>
    </row>
    <row r="808" spans="2:7" ht="15" customHeight="1" x14ac:dyDescent="0.25">
      <c r="B808" s="1"/>
      <c r="C808" s="113">
        <v>791</v>
      </c>
      <c r="D808" s="110"/>
      <c r="E808" s="110"/>
      <c r="F808" s="19" t="str">
        <f t="shared" si="12"/>
        <v/>
      </c>
      <c r="G808" s="2"/>
    </row>
    <row r="809" spans="2:7" ht="15" customHeight="1" x14ac:dyDescent="0.25">
      <c r="B809" s="1"/>
      <c r="C809" s="113">
        <v>792</v>
      </c>
      <c r="D809" s="110"/>
      <c r="E809" s="110"/>
      <c r="F809" s="19" t="str">
        <f t="shared" si="12"/>
        <v/>
      </c>
      <c r="G809" s="2"/>
    </row>
    <row r="810" spans="2:7" ht="15" customHeight="1" x14ac:dyDescent="0.25">
      <c r="B810" s="1"/>
      <c r="C810" s="113">
        <v>793</v>
      </c>
      <c r="D810" s="110"/>
      <c r="E810" s="110"/>
      <c r="F810" s="19" t="str">
        <f t="shared" si="12"/>
        <v/>
      </c>
      <c r="G810" s="2"/>
    </row>
    <row r="811" spans="2:7" ht="15" customHeight="1" x14ac:dyDescent="0.25">
      <c r="B811" s="1"/>
      <c r="C811" s="113">
        <v>794</v>
      </c>
      <c r="D811" s="110"/>
      <c r="E811" s="110"/>
      <c r="F811" s="19" t="str">
        <f t="shared" si="12"/>
        <v/>
      </c>
      <c r="G811" s="2"/>
    </row>
    <row r="812" spans="2:7" ht="15" customHeight="1" x14ac:dyDescent="0.25">
      <c r="B812" s="1"/>
      <c r="C812" s="113">
        <v>795</v>
      </c>
      <c r="D812" s="110"/>
      <c r="E812" s="110"/>
      <c r="F812" s="19" t="str">
        <f t="shared" si="12"/>
        <v/>
      </c>
      <c r="G812" s="2"/>
    </row>
    <row r="813" spans="2:7" ht="15" customHeight="1" x14ac:dyDescent="0.25">
      <c r="B813" s="1"/>
      <c r="C813" s="113">
        <v>796</v>
      </c>
      <c r="D813" s="110"/>
      <c r="E813" s="110"/>
      <c r="F813" s="19" t="str">
        <f t="shared" si="12"/>
        <v/>
      </c>
      <c r="G813" s="2"/>
    </row>
    <row r="814" spans="2:7" ht="15" customHeight="1" x14ac:dyDescent="0.25">
      <c r="B814" s="1"/>
      <c r="C814" s="113">
        <v>797</v>
      </c>
      <c r="D814" s="110"/>
      <c r="E814" s="110"/>
      <c r="F814" s="19" t="str">
        <f t="shared" si="12"/>
        <v/>
      </c>
      <c r="G814" s="2"/>
    </row>
    <row r="815" spans="2:7" ht="15" customHeight="1" x14ac:dyDescent="0.25">
      <c r="B815" s="1"/>
      <c r="C815" s="113">
        <v>798</v>
      </c>
      <c r="D815" s="110"/>
      <c r="E815" s="110"/>
      <c r="F815" s="19" t="str">
        <f t="shared" si="12"/>
        <v/>
      </c>
      <c r="G815" s="2"/>
    </row>
    <row r="816" spans="2:7" ht="15" customHeight="1" x14ac:dyDescent="0.25">
      <c r="B816" s="1"/>
      <c r="C816" s="113">
        <v>799</v>
      </c>
      <c r="D816" s="110"/>
      <c r="E816" s="110"/>
      <c r="F816" s="19" t="str">
        <f t="shared" si="12"/>
        <v/>
      </c>
      <c r="G816" s="2"/>
    </row>
    <row r="817" spans="2:7" ht="15" customHeight="1" x14ac:dyDescent="0.25">
      <c r="B817" s="1"/>
      <c r="C817" s="113">
        <v>800</v>
      </c>
      <c r="D817" s="110"/>
      <c r="E817" s="110"/>
      <c r="F817" s="19" t="str">
        <f t="shared" si="12"/>
        <v/>
      </c>
      <c r="G817" s="2"/>
    </row>
    <row r="818" spans="2:7" ht="15" customHeight="1" x14ac:dyDescent="0.25">
      <c r="B818" s="1"/>
      <c r="C818" s="113">
        <v>801</v>
      </c>
      <c r="D818" s="110"/>
      <c r="E818" s="110"/>
      <c r="F818" s="19" t="str">
        <f t="shared" si="12"/>
        <v/>
      </c>
      <c r="G818" s="2"/>
    </row>
    <row r="819" spans="2:7" ht="15" customHeight="1" x14ac:dyDescent="0.25">
      <c r="B819" s="1"/>
      <c r="C819" s="113">
        <v>802</v>
      </c>
      <c r="D819" s="110"/>
      <c r="E819" s="110"/>
      <c r="F819" s="19" t="str">
        <f t="shared" si="12"/>
        <v/>
      </c>
      <c r="G819" s="2"/>
    </row>
    <row r="820" spans="2:7" ht="15" customHeight="1" x14ac:dyDescent="0.25">
      <c r="B820" s="1"/>
      <c r="C820" s="113">
        <v>803</v>
      </c>
      <c r="D820" s="110"/>
      <c r="E820" s="110"/>
      <c r="F820" s="19" t="str">
        <f t="shared" si="12"/>
        <v/>
      </c>
      <c r="G820" s="2"/>
    </row>
    <row r="821" spans="2:7" ht="15" customHeight="1" x14ac:dyDescent="0.25">
      <c r="B821" s="1"/>
      <c r="C821" s="113">
        <v>804</v>
      </c>
      <c r="D821" s="110"/>
      <c r="E821" s="110"/>
      <c r="F821" s="19" t="str">
        <f t="shared" si="12"/>
        <v/>
      </c>
      <c r="G821" s="2"/>
    </row>
    <row r="822" spans="2:7" ht="15" customHeight="1" x14ac:dyDescent="0.25">
      <c r="B822" s="1"/>
      <c r="C822" s="113">
        <v>805</v>
      </c>
      <c r="D822" s="110"/>
      <c r="E822" s="110"/>
      <c r="F822" s="19" t="str">
        <f t="shared" si="12"/>
        <v/>
      </c>
      <c r="G822" s="2"/>
    </row>
    <row r="823" spans="2:7" ht="15" customHeight="1" x14ac:dyDescent="0.25">
      <c r="B823" s="1"/>
      <c r="C823" s="113">
        <v>806</v>
      </c>
      <c r="D823" s="110"/>
      <c r="E823" s="110"/>
      <c r="F823" s="19" t="str">
        <f t="shared" si="12"/>
        <v/>
      </c>
      <c r="G823" s="2"/>
    </row>
    <row r="824" spans="2:7" ht="15" customHeight="1" x14ac:dyDescent="0.25">
      <c r="B824" s="1"/>
      <c r="C824" s="113">
        <v>807</v>
      </c>
      <c r="D824" s="110"/>
      <c r="E824" s="110"/>
      <c r="F824" s="19" t="str">
        <f t="shared" si="12"/>
        <v/>
      </c>
      <c r="G824" s="2"/>
    </row>
    <row r="825" spans="2:7" ht="15" customHeight="1" x14ac:dyDescent="0.25">
      <c r="B825" s="1"/>
      <c r="C825" s="113">
        <v>808</v>
      </c>
      <c r="D825" s="110"/>
      <c r="E825" s="110"/>
      <c r="F825" s="19" t="str">
        <f t="shared" si="12"/>
        <v/>
      </c>
      <c r="G825" s="2"/>
    </row>
    <row r="826" spans="2:7" ht="15" customHeight="1" x14ac:dyDescent="0.25">
      <c r="B826" s="1"/>
      <c r="C826" s="113">
        <v>809</v>
      </c>
      <c r="D826" s="110"/>
      <c r="E826" s="110"/>
      <c r="F826" s="19" t="str">
        <f t="shared" si="12"/>
        <v/>
      </c>
      <c r="G826" s="2"/>
    </row>
    <row r="827" spans="2:7" ht="15" customHeight="1" x14ac:dyDescent="0.25">
      <c r="B827" s="1"/>
      <c r="C827" s="113">
        <v>810</v>
      </c>
      <c r="D827" s="110"/>
      <c r="E827" s="110"/>
      <c r="F827" s="19" t="str">
        <f t="shared" si="12"/>
        <v/>
      </c>
      <c r="G827" s="2"/>
    </row>
    <row r="828" spans="2:7" ht="15" customHeight="1" x14ac:dyDescent="0.25">
      <c r="B828" s="1"/>
      <c r="C828" s="113">
        <v>811</v>
      </c>
      <c r="D828" s="110"/>
      <c r="E828" s="110"/>
      <c r="F828" s="19" t="str">
        <f t="shared" si="12"/>
        <v/>
      </c>
      <c r="G828" s="2"/>
    </row>
    <row r="829" spans="2:7" ht="15" customHeight="1" x14ac:dyDescent="0.25">
      <c r="B829" s="1"/>
      <c r="C829" s="113">
        <v>812</v>
      </c>
      <c r="D829" s="110"/>
      <c r="E829" s="110"/>
      <c r="F829" s="19" t="str">
        <f t="shared" si="12"/>
        <v/>
      </c>
      <c r="G829" s="2"/>
    </row>
    <row r="830" spans="2:7" ht="15" customHeight="1" x14ac:dyDescent="0.25">
      <c r="B830" s="1"/>
      <c r="C830" s="113">
        <v>813</v>
      </c>
      <c r="D830" s="110"/>
      <c r="E830" s="110"/>
      <c r="F830" s="19" t="str">
        <f t="shared" si="12"/>
        <v/>
      </c>
      <c r="G830" s="2"/>
    </row>
    <row r="831" spans="2:7" ht="15" customHeight="1" x14ac:dyDescent="0.25">
      <c r="B831" s="1"/>
      <c r="C831" s="113">
        <v>814</v>
      </c>
      <c r="D831" s="110"/>
      <c r="E831" s="110"/>
      <c r="F831" s="19" t="str">
        <f t="shared" si="12"/>
        <v/>
      </c>
      <c r="G831" s="2"/>
    </row>
    <row r="832" spans="2:7" ht="15" customHeight="1" x14ac:dyDescent="0.25">
      <c r="B832" s="1"/>
      <c r="C832" s="113">
        <v>815</v>
      </c>
      <c r="D832" s="110"/>
      <c r="E832" s="110"/>
      <c r="F832" s="19" t="str">
        <f t="shared" si="12"/>
        <v/>
      </c>
      <c r="G832" s="2"/>
    </row>
    <row r="833" spans="2:7" ht="15" customHeight="1" x14ac:dyDescent="0.25">
      <c r="B833" s="1"/>
      <c r="C833" s="113">
        <v>816</v>
      </c>
      <c r="D833" s="110"/>
      <c r="E833" s="110"/>
      <c r="F833" s="19" t="str">
        <f t="shared" si="12"/>
        <v/>
      </c>
      <c r="G833" s="2"/>
    </row>
    <row r="834" spans="2:7" ht="15" customHeight="1" x14ac:dyDescent="0.25">
      <c r="B834" s="1"/>
      <c r="C834" s="113">
        <v>817</v>
      </c>
      <c r="D834" s="110"/>
      <c r="E834" s="110"/>
      <c r="F834" s="19" t="str">
        <f t="shared" si="12"/>
        <v/>
      </c>
      <c r="G834" s="2"/>
    </row>
    <row r="835" spans="2:7" ht="15" customHeight="1" x14ac:dyDescent="0.25">
      <c r="B835" s="1"/>
      <c r="C835" s="113">
        <v>818</v>
      </c>
      <c r="D835" s="110"/>
      <c r="E835" s="110"/>
      <c r="F835" s="19" t="str">
        <f t="shared" si="12"/>
        <v/>
      </c>
      <c r="G835" s="2"/>
    </row>
    <row r="836" spans="2:7" ht="15" customHeight="1" x14ac:dyDescent="0.25">
      <c r="B836" s="1"/>
      <c r="C836" s="113">
        <v>819</v>
      </c>
      <c r="D836" s="110"/>
      <c r="E836" s="110"/>
      <c r="F836" s="19" t="str">
        <f t="shared" si="12"/>
        <v/>
      </c>
      <c r="G836" s="2"/>
    </row>
    <row r="837" spans="2:7" ht="15" customHeight="1" x14ac:dyDescent="0.25">
      <c r="B837" s="1"/>
      <c r="C837" s="113">
        <v>820</v>
      </c>
      <c r="D837" s="110"/>
      <c r="E837" s="110"/>
      <c r="F837" s="19" t="str">
        <f t="shared" si="12"/>
        <v/>
      </c>
      <c r="G837" s="2"/>
    </row>
    <row r="838" spans="2:7" ht="15" customHeight="1" x14ac:dyDescent="0.25">
      <c r="B838" s="1"/>
      <c r="C838" s="113">
        <v>821</v>
      </c>
      <c r="D838" s="110"/>
      <c r="E838" s="110"/>
      <c r="F838" s="19" t="str">
        <f t="shared" si="12"/>
        <v/>
      </c>
      <c r="G838" s="2"/>
    </row>
    <row r="839" spans="2:7" ht="15" customHeight="1" x14ac:dyDescent="0.25">
      <c r="B839" s="1"/>
      <c r="C839" s="113">
        <v>822</v>
      </c>
      <c r="D839" s="110"/>
      <c r="E839" s="110"/>
      <c r="F839" s="19" t="str">
        <f t="shared" si="12"/>
        <v/>
      </c>
      <c r="G839" s="2"/>
    </row>
    <row r="840" spans="2:7" ht="15" customHeight="1" x14ac:dyDescent="0.25">
      <c r="B840" s="1"/>
      <c r="C840" s="113">
        <v>823</v>
      </c>
      <c r="D840" s="110"/>
      <c r="E840" s="110"/>
      <c r="F840" s="19" t="str">
        <f t="shared" si="12"/>
        <v/>
      </c>
      <c r="G840" s="2"/>
    </row>
    <row r="841" spans="2:7" ht="15" customHeight="1" x14ac:dyDescent="0.25">
      <c r="B841" s="1"/>
      <c r="C841" s="113">
        <v>824</v>
      </c>
      <c r="D841" s="110"/>
      <c r="E841" s="110"/>
      <c r="F841" s="19" t="str">
        <f t="shared" si="12"/>
        <v/>
      </c>
      <c r="G841" s="2"/>
    </row>
    <row r="842" spans="2:7" ht="15" customHeight="1" x14ac:dyDescent="0.25">
      <c r="B842" s="1"/>
      <c r="C842" s="113">
        <v>825</v>
      </c>
      <c r="D842" s="110"/>
      <c r="E842" s="110"/>
      <c r="F842" s="19" t="str">
        <f t="shared" si="12"/>
        <v/>
      </c>
      <c r="G842" s="2"/>
    </row>
    <row r="843" spans="2:7" ht="15" customHeight="1" x14ac:dyDescent="0.25">
      <c r="B843" s="1"/>
      <c r="C843" s="113">
        <v>826</v>
      </c>
      <c r="D843" s="110"/>
      <c r="E843" s="110"/>
      <c r="F843" s="19" t="str">
        <f t="shared" si="12"/>
        <v/>
      </c>
      <c r="G843" s="2"/>
    </row>
    <row r="844" spans="2:7" ht="15" customHeight="1" x14ac:dyDescent="0.25">
      <c r="B844" s="1"/>
      <c r="C844" s="113">
        <v>827</v>
      </c>
      <c r="D844" s="110"/>
      <c r="E844" s="110"/>
      <c r="F844" s="19" t="str">
        <f t="shared" si="12"/>
        <v/>
      </c>
      <c r="G844" s="2"/>
    </row>
    <row r="845" spans="2:7" ht="15" customHeight="1" x14ac:dyDescent="0.25">
      <c r="B845" s="1"/>
      <c r="C845" s="113">
        <v>828</v>
      </c>
      <c r="D845" s="110"/>
      <c r="E845" s="110"/>
      <c r="F845" s="19" t="str">
        <f t="shared" si="12"/>
        <v/>
      </c>
      <c r="G845" s="2"/>
    </row>
    <row r="846" spans="2:7" ht="15" customHeight="1" x14ac:dyDescent="0.25">
      <c r="B846" s="1"/>
      <c r="C846" s="113">
        <v>829</v>
      </c>
      <c r="D846" s="110"/>
      <c r="E846" s="110"/>
      <c r="F846" s="19" t="str">
        <f t="shared" si="12"/>
        <v/>
      </c>
      <c r="G846" s="2"/>
    </row>
    <row r="847" spans="2:7" ht="15" customHeight="1" x14ac:dyDescent="0.25">
      <c r="B847" s="1"/>
      <c r="C847" s="113">
        <v>830</v>
      </c>
      <c r="D847" s="110"/>
      <c r="E847" s="110"/>
      <c r="F847" s="19" t="str">
        <f t="shared" si="12"/>
        <v/>
      </c>
      <c r="G847" s="2"/>
    </row>
    <row r="848" spans="2:7" ht="15" customHeight="1" x14ac:dyDescent="0.25">
      <c r="B848" s="1"/>
      <c r="C848" s="113">
        <v>831</v>
      </c>
      <c r="D848" s="110"/>
      <c r="E848" s="110"/>
      <c r="F848" s="19" t="str">
        <f t="shared" si="12"/>
        <v/>
      </c>
      <c r="G848" s="2"/>
    </row>
    <row r="849" spans="2:7" ht="15" customHeight="1" x14ac:dyDescent="0.25">
      <c r="B849" s="1"/>
      <c r="C849" s="113">
        <v>832</v>
      </c>
      <c r="D849" s="110"/>
      <c r="E849" s="110"/>
      <c r="F849" s="19" t="str">
        <f t="shared" si="12"/>
        <v/>
      </c>
      <c r="G849" s="2"/>
    </row>
    <row r="850" spans="2:7" ht="15" customHeight="1" x14ac:dyDescent="0.25">
      <c r="B850" s="1"/>
      <c r="C850" s="113">
        <v>833</v>
      </c>
      <c r="D850" s="110"/>
      <c r="E850" s="110"/>
      <c r="F850" s="19" t="str">
        <f t="shared" si="12"/>
        <v/>
      </c>
      <c r="G850" s="2"/>
    </row>
    <row r="851" spans="2:7" ht="15" customHeight="1" x14ac:dyDescent="0.25">
      <c r="B851" s="1"/>
      <c r="C851" s="113">
        <v>834</v>
      </c>
      <c r="D851" s="110"/>
      <c r="E851" s="110"/>
      <c r="F851" s="19" t="str">
        <f t="shared" ref="F851:F914" si="13">IFERROR(IF(AND(LEFT(D851,6)=LEFT(E851,6),RIGHT(E851,9)-RIGHT(D851,9)&gt;=0),RIGHT(E851,9)-RIGHT(D851,9)+1,""),"")</f>
        <v/>
      </c>
      <c r="G851" s="2"/>
    </row>
    <row r="852" spans="2:7" ht="15" customHeight="1" x14ac:dyDescent="0.25">
      <c r="B852" s="1"/>
      <c r="C852" s="113">
        <v>835</v>
      </c>
      <c r="D852" s="110"/>
      <c r="E852" s="110"/>
      <c r="F852" s="19" t="str">
        <f t="shared" si="13"/>
        <v/>
      </c>
      <c r="G852" s="2"/>
    </row>
    <row r="853" spans="2:7" ht="15" customHeight="1" x14ac:dyDescent="0.25">
      <c r="B853" s="1"/>
      <c r="C853" s="113">
        <v>836</v>
      </c>
      <c r="D853" s="110"/>
      <c r="E853" s="110"/>
      <c r="F853" s="19" t="str">
        <f t="shared" si="13"/>
        <v/>
      </c>
      <c r="G853" s="2"/>
    </row>
    <row r="854" spans="2:7" ht="15" customHeight="1" x14ac:dyDescent="0.25">
      <c r="B854" s="1"/>
      <c r="C854" s="113">
        <v>837</v>
      </c>
      <c r="D854" s="110"/>
      <c r="E854" s="110"/>
      <c r="F854" s="19" t="str">
        <f t="shared" si="13"/>
        <v/>
      </c>
      <c r="G854" s="2"/>
    </row>
    <row r="855" spans="2:7" ht="15" customHeight="1" x14ac:dyDescent="0.25">
      <c r="B855" s="1"/>
      <c r="C855" s="113">
        <v>838</v>
      </c>
      <c r="D855" s="110"/>
      <c r="E855" s="110"/>
      <c r="F855" s="19" t="str">
        <f t="shared" si="13"/>
        <v/>
      </c>
      <c r="G855" s="2"/>
    </row>
    <row r="856" spans="2:7" ht="15" customHeight="1" x14ac:dyDescent="0.25">
      <c r="B856" s="1"/>
      <c r="C856" s="113">
        <v>839</v>
      </c>
      <c r="D856" s="110"/>
      <c r="E856" s="110"/>
      <c r="F856" s="19" t="str">
        <f t="shared" si="13"/>
        <v/>
      </c>
      <c r="G856" s="2"/>
    </row>
    <row r="857" spans="2:7" ht="15" customHeight="1" x14ac:dyDescent="0.25">
      <c r="B857" s="1"/>
      <c r="C857" s="113">
        <v>840</v>
      </c>
      <c r="D857" s="110"/>
      <c r="E857" s="110"/>
      <c r="F857" s="19" t="str">
        <f t="shared" si="13"/>
        <v/>
      </c>
      <c r="G857" s="2"/>
    </row>
    <row r="858" spans="2:7" ht="15" customHeight="1" x14ac:dyDescent="0.25">
      <c r="B858" s="1"/>
      <c r="C858" s="113">
        <v>841</v>
      </c>
      <c r="D858" s="110"/>
      <c r="E858" s="110"/>
      <c r="F858" s="19" t="str">
        <f t="shared" si="13"/>
        <v/>
      </c>
      <c r="G858" s="2"/>
    </row>
    <row r="859" spans="2:7" ht="15" customHeight="1" x14ac:dyDescent="0.25">
      <c r="B859" s="1"/>
      <c r="C859" s="113">
        <v>842</v>
      </c>
      <c r="D859" s="110"/>
      <c r="E859" s="110"/>
      <c r="F859" s="19" t="str">
        <f t="shared" si="13"/>
        <v/>
      </c>
      <c r="G859" s="2"/>
    </row>
    <row r="860" spans="2:7" ht="15" customHeight="1" x14ac:dyDescent="0.25">
      <c r="B860" s="1"/>
      <c r="C860" s="113">
        <v>843</v>
      </c>
      <c r="D860" s="110"/>
      <c r="E860" s="110"/>
      <c r="F860" s="19" t="str">
        <f t="shared" si="13"/>
        <v/>
      </c>
      <c r="G860" s="2"/>
    </row>
    <row r="861" spans="2:7" ht="15" customHeight="1" x14ac:dyDescent="0.25">
      <c r="B861" s="1"/>
      <c r="C861" s="113">
        <v>844</v>
      </c>
      <c r="D861" s="110"/>
      <c r="E861" s="110"/>
      <c r="F861" s="19" t="str">
        <f t="shared" si="13"/>
        <v/>
      </c>
      <c r="G861" s="2"/>
    </row>
    <row r="862" spans="2:7" ht="15" customHeight="1" x14ac:dyDescent="0.25">
      <c r="B862" s="1"/>
      <c r="C862" s="113">
        <v>845</v>
      </c>
      <c r="D862" s="110"/>
      <c r="E862" s="110"/>
      <c r="F862" s="19" t="str">
        <f t="shared" si="13"/>
        <v/>
      </c>
      <c r="G862" s="2"/>
    </row>
    <row r="863" spans="2:7" ht="15" customHeight="1" x14ac:dyDescent="0.25">
      <c r="B863" s="1"/>
      <c r="C863" s="113">
        <v>846</v>
      </c>
      <c r="D863" s="110"/>
      <c r="E863" s="110"/>
      <c r="F863" s="19" t="str">
        <f t="shared" si="13"/>
        <v/>
      </c>
      <c r="G863" s="2"/>
    </row>
    <row r="864" spans="2:7" ht="15" customHeight="1" x14ac:dyDescent="0.25">
      <c r="B864" s="1"/>
      <c r="C864" s="113">
        <v>847</v>
      </c>
      <c r="D864" s="110"/>
      <c r="E864" s="110"/>
      <c r="F864" s="19" t="str">
        <f t="shared" si="13"/>
        <v/>
      </c>
      <c r="G864" s="2"/>
    </row>
    <row r="865" spans="2:7" ht="15" customHeight="1" x14ac:dyDescent="0.25">
      <c r="B865" s="1"/>
      <c r="C865" s="113">
        <v>848</v>
      </c>
      <c r="D865" s="110"/>
      <c r="E865" s="110"/>
      <c r="F865" s="19" t="str">
        <f t="shared" si="13"/>
        <v/>
      </c>
      <c r="G865" s="2"/>
    </row>
    <row r="866" spans="2:7" ht="15" customHeight="1" x14ac:dyDescent="0.25">
      <c r="B866" s="1"/>
      <c r="C866" s="113">
        <v>849</v>
      </c>
      <c r="D866" s="110"/>
      <c r="E866" s="110"/>
      <c r="F866" s="19" t="str">
        <f t="shared" si="13"/>
        <v/>
      </c>
      <c r="G866" s="2"/>
    </row>
    <row r="867" spans="2:7" ht="15" customHeight="1" x14ac:dyDescent="0.25">
      <c r="B867" s="1"/>
      <c r="C867" s="113">
        <v>850</v>
      </c>
      <c r="D867" s="110"/>
      <c r="E867" s="110"/>
      <c r="F867" s="19" t="str">
        <f t="shared" si="13"/>
        <v/>
      </c>
      <c r="G867" s="2"/>
    </row>
    <row r="868" spans="2:7" ht="15" customHeight="1" x14ac:dyDescent="0.25">
      <c r="B868" s="1"/>
      <c r="C868" s="113">
        <v>851</v>
      </c>
      <c r="D868" s="110"/>
      <c r="E868" s="110"/>
      <c r="F868" s="19" t="str">
        <f t="shared" si="13"/>
        <v/>
      </c>
      <c r="G868" s="2"/>
    </row>
    <row r="869" spans="2:7" ht="15" customHeight="1" x14ac:dyDescent="0.25">
      <c r="B869" s="1"/>
      <c r="C869" s="113">
        <v>852</v>
      </c>
      <c r="D869" s="110"/>
      <c r="E869" s="110"/>
      <c r="F869" s="19" t="str">
        <f t="shared" si="13"/>
        <v/>
      </c>
      <c r="G869" s="2"/>
    </row>
    <row r="870" spans="2:7" ht="15" customHeight="1" x14ac:dyDescent="0.25">
      <c r="B870" s="1"/>
      <c r="C870" s="113">
        <v>853</v>
      </c>
      <c r="D870" s="110"/>
      <c r="E870" s="110"/>
      <c r="F870" s="19" t="str">
        <f t="shared" si="13"/>
        <v/>
      </c>
      <c r="G870" s="2"/>
    </row>
    <row r="871" spans="2:7" ht="15" customHeight="1" x14ac:dyDescent="0.25">
      <c r="B871" s="1"/>
      <c r="C871" s="113">
        <v>854</v>
      </c>
      <c r="D871" s="110"/>
      <c r="E871" s="110"/>
      <c r="F871" s="19" t="str">
        <f t="shared" si="13"/>
        <v/>
      </c>
      <c r="G871" s="2"/>
    </row>
    <row r="872" spans="2:7" ht="15" customHeight="1" x14ac:dyDescent="0.25">
      <c r="B872" s="1"/>
      <c r="C872" s="113">
        <v>855</v>
      </c>
      <c r="D872" s="110"/>
      <c r="E872" s="110"/>
      <c r="F872" s="19" t="str">
        <f t="shared" si="13"/>
        <v/>
      </c>
      <c r="G872" s="2"/>
    </row>
    <row r="873" spans="2:7" ht="15" customHeight="1" x14ac:dyDescent="0.25">
      <c r="B873" s="1"/>
      <c r="C873" s="113">
        <v>856</v>
      </c>
      <c r="D873" s="110"/>
      <c r="E873" s="110"/>
      <c r="F873" s="19" t="str">
        <f t="shared" si="13"/>
        <v/>
      </c>
      <c r="G873" s="2"/>
    </row>
    <row r="874" spans="2:7" ht="15" customHeight="1" x14ac:dyDescent="0.25">
      <c r="B874" s="1"/>
      <c r="C874" s="113">
        <v>857</v>
      </c>
      <c r="D874" s="110"/>
      <c r="E874" s="110"/>
      <c r="F874" s="19" t="str">
        <f t="shared" si="13"/>
        <v/>
      </c>
      <c r="G874" s="2"/>
    </row>
    <row r="875" spans="2:7" ht="15" customHeight="1" x14ac:dyDescent="0.25">
      <c r="B875" s="1"/>
      <c r="C875" s="113">
        <v>858</v>
      </c>
      <c r="D875" s="110"/>
      <c r="E875" s="110"/>
      <c r="F875" s="19" t="str">
        <f t="shared" si="13"/>
        <v/>
      </c>
      <c r="G875" s="2"/>
    </row>
    <row r="876" spans="2:7" ht="15" customHeight="1" x14ac:dyDescent="0.25">
      <c r="B876" s="1"/>
      <c r="C876" s="113">
        <v>859</v>
      </c>
      <c r="D876" s="110"/>
      <c r="E876" s="110"/>
      <c r="F876" s="19" t="str">
        <f t="shared" si="13"/>
        <v/>
      </c>
      <c r="G876" s="2"/>
    </row>
    <row r="877" spans="2:7" ht="15" customHeight="1" x14ac:dyDescent="0.25">
      <c r="B877" s="1"/>
      <c r="C877" s="113">
        <v>860</v>
      </c>
      <c r="D877" s="110"/>
      <c r="E877" s="110"/>
      <c r="F877" s="19" t="str">
        <f t="shared" si="13"/>
        <v/>
      </c>
      <c r="G877" s="2"/>
    </row>
    <row r="878" spans="2:7" ht="15" customHeight="1" x14ac:dyDescent="0.25">
      <c r="B878" s="1"/>
      <c r="C878" s="113">
        <v>861</v>
      </c>
      <c r="D878" s="110"/>
      <c r="E878" s="110"/>
      <c r="F878" s="19" t="str">
        <f t="shared" si="13"/>
        <v/>
      </c>
      <c r="G878" s="2"/>
    </row>
    <row r="879" spans="2:7" ht="15" customHeight="1" x14ac:dyDescent="0.25">
      <c r="B879" s="1"/>
      <c r="C879" s="113">
        <v>862</v>
      </c>
      <c r="D879" s="110"/>
      <c r="E879" s="110"/>
      <c r="F879" s="19" t="str">
        <f t="shared" si="13"/>
        <v/>
      </c>
      <c r="G879" s="2"/>
    </row>
    <row r="880" spans="2:7" ht="15" customHeight="1" x14ac:dyDescent="0.25">
      <c r="B880" s="1"/>
      <c r="C880" s="113">
        <v>863</v>
      </c>
      <c r="D880" s="110"/>
      <c r="E880" s="110"/>
      <c r="F880" s="19" t="str">
        <f t="shared" si="13"/>
        <v/>
      </c>
      <c r="G880" s="2"/>
    </row>
    <row r="881" spans="2:7" ht="15" customHeight="1" x14ac:dyDescent="0.25">
      <c r="B881" s="1"/>
      <c r="C881" s="113">
        <v>864</v>
      </c>
      <c r="D881" s="110"/>
      <c r="E881" s="110"/>
      <c r="F881" s="19" t="str">
        <f t="shared" si="13"/>
        <v/>
      </c>
      <c r="G881" s="2"/>
    </row>
    <row r="882" spans="2:7" ht="15" customHeight="1" x14ac:dyDescent="0.25">
      <c r="B882" s="1"/>
      <c r="C882" s="113">
        <v>865</v>
      </c>
      <c r="D882" s="110"/>
      <c r="E882" s="110"/>
      <c r="F882" s="19" t="str">
        <f t="shared" si="13"/>
        <v/>
      </c>
      <c r="G882" s="2"/>
    </row>
    <row r="883" spans="2:7" ht="15" customHeight="1" x14ac:dyDescent="0.25">
      <c r="B883" s="1"/>
      <c r="C883" s="113">
        <v>866</v>
      </c>
      <c r="D883" s="110"/>
      <c r="E883" s="110"/>
      <c r="F883" s="19" t="str">
        <f t="shared" si="13"/>
        <v/>
      </c>
      <c r="G883" s="2"/>
    </row>
    <row r="884" spans="2:7" ht="15" customHeight="1" x14ac:dyDescent="0.25">
      <c r="B884" s="1"/>
      <c r="C884" s="113">
        <v>867</v>
      </c>
      <c r="D884" s="110"/>
      <c r="E884" s="110"/>
      <c r="F884" s="19" t="str">
        <f t="shared" si="13"/>
        <v/>
      </c>
      <c r="G884" s="2"/>
    </row>
    <row r="885" spans="2:7" ht="15" customHeight="1" x14ac:dyDescent="0.25">
      <c r="B885" s="1"/>
      <c r="C885" s="113">
        <v>868</v>
      </c>
      <c r="D885" s="110"/>
      <c r="E885" s="110"/>
      <c r="F885" s="19" t="str">
        <f t="shared" si="13"/>
        <v/>
      </c>
      <c r="G885" s="2"/>
    </row>
    <row r="886" spans="2:7" ht="15" customHeight="1" x14ac:dyDescent="0.25">
      <c r="B886" s="1"/>
      <c r="C886" s="113">
        <v>869</v>
      </c>
      <c r="D886" s="110"/>
      <c r="E886" s="110"/>
      <c r="F886" s="19" t="str">
        <f t="shared" si="13"/>
        <v/>
      </c>
      <c r="G886" s="2"/>
    </row>
    <row r="887" spans="2:7" ht="15" customHeight="1" x14ac:dyDescent="0.25">
      <c r="B887" s="1"/>
      <c r="C887" s="113">
        <v>870</v>
      </c>
      <c r="D887" s="110"/>
      <c r="E887" s="110"/>
      <c r="F887" s="19" t="str">
        <f t="shared" si="13"/>
        <v/>
      </c>
      <c r="G887" s="2"/>
    </row>
    <row r="888" spans="2:7" ht="15" customHeight="1" x14ac:dyDescent="0.25">
      <c r="B888" s="1"/>
      <c r="C888" s="113">
        <v>871</v>
      </c>
      <c r="D888" s="110"/>
      <c r="E888" s="110"/>
      <c r="F888" s="19" t="str">
        <f t="shared" si="13"/>
        <v/>
      </c>
      <c r="G888" s="2"/>
    </row>
    <row r="889" spans="2:7" ht="15" customHeight="1" x14ac:dyDescent="0.25">
      <c r="B889" s="1"/>
      <c r="C889" s="113">
        <v>872</v>
      </c>
      <c r="D889" s="110"/>
      <c r="E889" s="110"/>
      <c r="F889" s="19" t="str">
        <f t="shared" si="13"/>
        <v/>
      </c>
      <c r="G889" s="2"/>
    </row>
    <row r="890" spans="2:7" ht="15" customHeight="1" x14ac:dyDescent="0.25">
      <c r="B890" s="1"/>
      <c r="C890" s="113">
        <v>873</v>
      </c>
      <c r="D890" s="110"/>
      <c r="E890" s="110"/>
      <c r="F890" s="19" t="str">
        <f t="shared" si="13"/>
        <v/>
      </c>
      <c r="G890" s="2"/>
    </row>
    <row r="891" spans="2:7" ht="15" customHeight="1" x14ac:dyDescent="0.25">
      <c r="B891" s="1"/>
      <c r="C891" s="113">
        <v>874</v>
      </c>
      <c r="D891" s="110"/>
      <c r="E891" s="110"/>
      <c r="F891" s="19" t="str">
        <f t="shared" si="13"/>
        <v/>
      </c>
      <c r="G891" s="2"/>
    </row>
    <row r="892" spans="2:7" ht="15" customHeight="1" x14ac:dyDescent="0.25">
      <c r="B892" s="1"/>
      <c r="C892" s="113">
        <v>875</v>
      </c>
      <c r="D892" s="110"/>
      <c r="E892" s="110"/>
      <c r="F892" s="19" t="str">
        <f t="shared" si="13"/>
        <v/>
      </c>
      <c r="G892" s="2"/>
    </row>
    <row r="893" spans="2:7" ht="15" customHeight="1" x14ac:dyDescent="0.25">
      <c r="B893" s="1"/>
      <c r="C893" s="113">
        <v>876</v>
      </c>
      <c r="D893" s="110"/>
      <c r="E893" s="110"/>
      <c r="F893" s="19" t="str">
        <f t="shared" si="13"/>
        <v/>
      </c>
      <c r="G893" s="2"/>
    </row>
    <row r="894" spans="2:7" ht="15" customHeight="1" x14ac:dyDescent="0.25">
      <c r="B894" s="1"/>
      <c r="C894" s="113">
        <v>877</v>
      </c>
      <c r="D894" s="110"/>
      <c r="E894" s="110"/>
      <c r="F894" s="19" t="str">
        <f t="shared" si="13"/>
        <v/>
      </c>
      <c r="G894" s="2"/>
    </row>
    <row r="895" spans="2:7" ht="15" customHeight="1" x14ac:dyDescent="0.25">
      <c r="B895" s="1"/>
      <c r="C895" s="113">
        <v>878</v>
      </c>
      <c r="D895" s="110"/>
      <c r="E895" s="110"/>
      <c r="F895" s="19" t="str">
        <f t="shared" si="13"/>
        <v/>
      </c>
      <c r="G895" s="2"/>
    </row>
    <row r="896" spans="2:7" ht="15" customHeight="1" x14ac:dyDescent="0.25">
      <c r="B896" s="1"/>
      <c r="C896" s="113">
        <v>879</v>
      </c>
      <c r="D896" s="110"/>
      <c r="E896" s="110"/>
      <c r="F896" s="19" t="str">
        <f t="shared" si="13"/>
        <v/>
      </c>
      <c r="G896" s="2"/>
    </row>
    <row r="897" spans="2:7" ht="15" customHeight="1" x14ac:dyDescent="0.25">
      <c r="B897" s="1"/>
      <c r="C897" s="113">
        <v>880</v>
      </c>
      <c r="D897" s="110"/>
      <c r="E897" s="110"/>
      <c r="F897" s="19" t="str">
        <f t="shared" si="13"/>
        <v/>
      </c>
      <c r="G897" s="2"/>
    </row>
    <row r="898" spans="2:7" ht="15" customHeight="1" x14ac:dyDescent="0.25">
      <c r="B898" s="1"/>
      <c r="C898" s="113">
        <v>881</v>
      </c>
      <c r="D898" s="110"/>
      <c r="E898" s="110"/>
      <c r="F898" s="19" t="str">
        <f t="shared" si="13"/>
        <v/>
      </c>
      <c r="G898" s="2"/>
    </row>
    <row r="899" spans="2:7" ht="15" customHeight="1" x14ac:dyDescent="0.25">
      <c r="B899" s="1"/>
      <c r="C899" s="113">
        <v>882</v>
      </c>
      <c r="D899" s="110"/>
      <c r="E899" s="110"/>
      <c r="F899" s="19" t="str">
        <f t="shared" si="13"/>
        <v/>
      </c>
      <c r="G899" s="2"/>
    </row>
    <row r="900" spans="2:7" ht="15" customHeight="1" x14ac:dyDescent="0.25">
      <c r="B900" s="1"/>
      <c r="C900" s="113">
        <v>883</v>
      </c>
      <c r="D900" s="110"/>
      <c r="E900" s="110"/>
      <c r="F900" s="19" t="str">
        <f t="shared" si="13"/>
        <v/>
      </c>
      <c r="G900" s="2"/>
    </row>
    <row r="901" spans="2:7" ht="15" customHeight="1" x14ac:dyDescent="0.25">
      <c r="B901" s="1"/>
      <c r="C901" s="113">
        <v>884</v>
      </c>
      <c r="D901" s="110"/>
      <c r="E901" s="110"/>
      <c r="F901" s="19" t="str">
        <f t="shared" si="13"/>
        <v/>
      </c>
      <c r="G901" s="2"/>
    </row>
    <row r="902" spans="2:7" ht="15" customHeight="1" x14ac:dyDescent="0.25">
      <c r="B902" s="1"/>
      <c r="C902" s="113">
        <v>885</v>
      </c>
      <c r="D902" s="110"/>
      <c r="E902" s="110"/>
      <c r="F902" s="19" t="str">
        <f t="shared" si="13"/>
        <v/>
      </c>
      <c r="G902" s="2"/>
    </row>
    <row r="903" spans="2:7" ht="15" customHeight="1" x14ac:dyDescent="0.25">
      <c r="B903" s="1"/>
      <c r="C903" s="113">
        <v>886</v>
      </c>
      <c r="D903" s="110"/>
      <c r="E903" s="110"/>
      <c r="F903" s="19" t="str">
        <f t="shared" si="13"/>
        <v/>
      </c>
      <c r="G903" s="2"/>
    </row>
    <row r="904" spans="2:7" ht="15" customHeight="1" x14ac:dyDescent="0.25">
      <c r="B904" s="1"/>
      <c r="C904" s="113">
        <v>887</v>
      </c>
      <c r="D904" s="110"/>
      <c r="E904" s="110"/>
      <c r="F904" s="19" t="str">
        <f t="shared" si="13"/>
        <v/>
      </c>
      <c r="G904" s="2"/>
    </row>
    <row r="905" spans="2:7" ht="15" customHeight="1" x14ac:dyDescent="0.25">
      <c r="B905" s="1"/>
      <c r="C905" s="113">
        <v>888</v>
      </c>
      <c r="D905" s="110"/>
      <c r="E905" s="110"/>
      <c r="F905" s="19" t="str">
        <f t="shared" si="13"/>
        <v/>
      </c>
      <c r="G905" s="2"/>
    </row>
    <row r="906" spans="2:7" ht="15" customHeight="1" x14ac:dyDescent="0.25">
      <c r="B906" s="1"/>
      <c r="C906" s="113">
        <v>889</v>
      </c>
      <c r="D906" s="110"/>
      <c r="E906" s="110"/>
      <c r="F906" s="19" t="str">
        <f t="shared" si="13"/>
        <v/>
      </c>
      <c r="G906" s="2"/>
    </row>
    <row r="907" spans="2:7" ht="15" customHeight="1" x14ac:dyDescent="0.25">
      <c r="B907" s="1"/>
      <c r="C907" s="113">
        <v>890</v>
      </c>
      <c r="D907" s="110"/>
      <c r="E907" s="110"/>
      <c r="F907" s="19" t="str">
        <f t="shared" si="13"/>
        <v/>
      </c>
      <c r="G907" s="2"/>
    </row>
    <row r="908" spans="2:7" ht="15" customHeight="1" x14ac:dyDescent="0.25">
      <c r="B908" s="1"/>
      <c r="C908" s="113">
        <v>891</v>
      </c>
      <c r="D908" s="110"/>
      <c r="E908" s="110"/>
      <c r="F908" s="19" t="str">
        <f t="shared" si="13"/>
        <v/>
      </c>
      <c r="G908" s="2"/>
    </row>
    <row r="909" spans="2:7" ht="15" customHeight="1" x14ac:dyDescent="0.25">
      <c r="B909" s="1"/>
      <c r="C909" s="113">
        <v>892</v>
      </c>
      <c r="D909" s="110"/>
      <c r="E909" s="110"/>
      <c r="F909" s="19" t="str">
        <f t="shared" si="13"/>
        <v/>
      </c>
      <c r="G909" s="2"/>
    </row>
    <row r="910" spans="2:7" ht="15" customHeight="1" x14ac:dyDescent="0.25">
      <c r="B910" s="1"/>
      <c r="C910" s="113">
        <v>893</v>
      </c>
      <c r="D910" s="110"/>
      <c r="E910" s="110"/>
      <c r="F910" s="19" t="str">
        <f t="shared" si="13"/>
        <v/>
      </c>
      <c r="G910" s="2"/>
    </row>
    <row r="911" spans="2:7" ht="15" customHeight="1" x14ac:dyDescent="0.25">
      <c r="B911" s="1"/>
      <c r="C911" s="113">
        <v>894</v>
      </c>
      <c r="D911" s="110"/>
      <c r="E911" s="110"/>
      <c r="F911" s="19" t="str">
        <f t="shared" si="13"/>
        <v/>
      </c>
      <c r="G911" s="2"/>
    </row>
    <row r="912" spans="2:7" ht="15" customHeight="1" x14ac:dyDescent="0.25">
      <c r="B912" s="1"/>
      <c r="C912" s="113">
        <v>895</v>
      </c>
      <c r="D912" s="110"/>
      <c r="E912" s="110"/>
      <c r="F912" s="19" t="str">
        <f t="shared" si="13"/>
        <v/>
      </c>
      <c r="G912" s="2"/>
    </row>
    <row r="913" spans="2:7" ht="15" customHeight="1" x14ac:dyDescent="0.25">
      <c r="B913" s="1"/>
      <c r="C913" s="113">
        <v>896</v>
      </c>
      <c r="D913" s="110"/>
      <c r="E913" s="110"/>
      <c r="F913" s="19" t="str">
        <f t="shared" si="13"/>
        <v/>
      </c>
      <c r="G913" s="2"/>
    </row>
    <row r="914" spans="2:7" ht="15" customHeight="1" x14ac:dyDescent="0.25">
      <c r="B914" s="1"/>
      <c r="C914" s="113">
        <v>897</v>
      </c>
      <c r="D914" s="110"/>
      <c r="E914" s="110"/>
      <c r="F914" s="19" t="str">
        <f t="shared" si="13"/>
        <v/>
      </c>
      <c r="G914" s="2"/>
    </row>
    <row r="915" spans="2:7" ht="15" customHeight="1" x14ac:dyDescent="0.25">
      <c r="B915" s="1"/>
      <c r="C915" s="113">
        <v>898</v>
      </c>
      <c r="D915" s="110"/>
      <c r="E915" s="110"/>
      <c r="F915" s="19" t="str">
        <f t="shared" ref="F915:F978" si="14">IFERROR(IF(AND(LEFT(D915,6)=LEFT(E915,6),RIGHT(E915,9)-RIGHT(D915,9)&gt;=0),RIGHT(E915,9)-RIGHT(D915,9)+1,""),"")</f>
        <v/>
      </c>
      <c r="G915" s="2"/>
    </row>
    <row r="916" spans="2:7" ht="15" customHeight="1" x14ac:dyDescent="0.25">
      <c r="B916" s="1"/>
      <c r="C916" s="113">
        <v>899</v>
      </c>
      <c r="D916" s="110"/>
      <c r="E916" s="110"/>
      <c r="F916" s="19" t="str">
        <f t="shared" si="14"/>
        <v/>
      </c>
      <c r="G916" s="2"/>
    </row>
    <row r="917" spans="2:7" ht="15" customHeight="1" x14ac:dyDescent="0.25">
      <c r="B917" s="1"/>
      <c r="C917" s="113">
        <v>900</v>
      </c>
      <c r="D917" s="110"/>
      <c r="E917" s="110"/>
      <c r="F917" s="19" t="str">
        <f t="shared" si="14"/>
        <v/>
      </c>
      <c r="G917" s="2"/>
    </row>
    <row r="918" spans="2:7" ht="15" customHeight="1" x14ac:dyDescent="0.25">
      <c r="B918" s="1"/>
      <c r="C918" s="113">
        <v>901</v>
      </c>
      <c r="D918" s="110"/>
      <c r="E918" s="110"/>
      <c r="F918" s="19" t="str">
        <f t="shared" si="14"/>
        <v/>
      </c>
      <c r="G918" s="2"/>
    </row>
    <row r="919" spans="2:7" ht="15" customHeight="1" x14ac:dyDescent="0.25">
      <c r="B919" s="1"/>
      <c r="C919" s="113">
        <v>902</v>
      </c>
      <c r="D919" s="110"/>
      <c r="E919" s="110"/>
      <c r="F919" s="19" t="str">
        <f t="shared" si="14"/>
        <v/>
      </c>
      <c r="G919" s="2"/>
    </row>
    <row r="920" spans="2:7" ht="15" customHeight="1" x14ac:dyDescent="0.25">
      <c r="B920" s="1"/>
      <c r="C920" s="113">
        <v>903</v>
      </c>
      <c r="D920" s="110"/>
      <c r="E920" s="110"/>
      <c r="F920" s="19" t="str">
        <f t="shared" si="14"/>
        <v/>
      </c>
      <c r="G920" s="2"/>
    </row>
    <row r="921" spans="2:7" ht="15" customHeight="1" x14ac:dyDescent="0.25">
      <c r="B921" s="1"/>
      <c r="C921" s="113">
        <v>904</v>
      </c>
      <c r="D921" s="110"/>
      <c r="E921" s="110"/>
      <c r="F921" s="19" t="str">
        <f t="shared" si="14"/>
        <v/>
      </c>
      <c r="G921" s="2"/>
    </row>
    <row r="922" spans="2:7" ht="15" customHeight="1" x14ac:dyDescent="0.25">
      <c r="B922" s="1"/>
      <c r="C922" s="113">
        <v>905</v>
      </c>
      <c r="D922" s="110"/>
      <c r="E922" s="110"/>
      <c r="F922" s="19" t="str">
        <f t="shared" si="14"/>
        <v/>
      </c>
      <c r="G922" s="2"/>
    </row>
    <row r="923" spans="2:7" ht="15" customHeight="1" x14ac:dyDescent="0.25">
      <c r="B923" s="1"/>
      <c r="C923" s="113">
        <v>906</v>
      </c>
      <c r="D923" s="110"/>
      <c r="E923" s="110"/>
      <c r="F923" s="19" t="str">
        <f t="shared" si="14"/>
        <v/>
      </c>
      <c r="G923" s="2"/>
    </row>
    <row r="924" spans="2:7" ht="15" customHeight="1" x14ac:dyDescent="0.25">
      <c r="B924" s="1"/>
      <c r="C924" s="113">
        <v>907</v>
      </c>
      <c r="D924" s="110"/>
      <c r="E924" s="110"/>
      <c r="F924" s="19" t="str">
        <f t="shared" si="14"/>
        <v/>
      </c>
      <c r="G924" s="2"/>
    </row>
    <row r="925" spans="2:7" ht="15" customHeight="1" x14ac:dyDescent="0.25">
      <c r="B925" s="1"/>
      <c r="C925" s="113">
        <v>908</v>
      </c>
      <c r="D925" s="110"/>
      <c r="E925" s="110"/>
      <c r="F925" s="19" t="str">
        <f t="shared" si="14"/>
        <v/>
      </c>
      <c r="G925" s="2"/>
    </row>
    <row r="926" spans="2:7" ht="15" customHeight="1" x14ac:dyDescent="0.25">
      <c r="B926" s="1"/>
      <c r="C926" s="113">
        <v>909</v>
      </c>
      <c r="D926" s="110"/>
      <c r="E926" s="110"/>
      <c r="F926" s="19" t="str">
        <f t="shared" si="14"/>
        <v/>
      </c>
      <c r="G926" s="2"/>
    </row>
    <row r="927" spans="2:7" ht="15" customHeight="1" x14ac:dyDescent="0.25">
      <c r="B927" s="1"/>
      <c r="C927" s="113">
        <v>910</v>
      </c>
      <c r="D927" s="110"/>
      <c r="E927" s="110"/>
      <c r="F927" s="19" t="str">
        <f t="shared" si="14"/>
        <v/>
      </c>
      <c r="G927" s="2"/>
    </row>
    <row r="928" spans="2:7" ht="15" customHeight="1" x14ac:dyDescent="0.25">
      <c r="B928" s="1"/>
      <c r="C928" s="113">
        <v>911</v>
      </c>
      <c r="D928" s="110"/>
      <c r="E928" s="110"/>
      <c r="F928" s="19" t="str">
        <f t="shared" si="14"/>
        <v/>
      </c>
      <c r="G928" s="2"/>
    </row>
    <row r="929" spans="2:7" ht="15" customHeight="1" x14ac:dyDescent="0.25">
      <c r="B929" s="1"/>
      <c r="C929" s="113">
        <v>912</v>
      </c>
      <c r="D929" s="110"/>
      <c r="E929" s="110"/>
      <c r="F929" s="19" t="str">
        <f t="shared" si="14"/>
        <v/>
      </c>
      <c r="G929" s="2"/>
    </row>
    <row r="930" spans="2:7" ht="15" customHeight="1" x14ac:dyDescent="0.25">
      <c r="B930" s="1"/>
      <c r="C930" s="113">
        <v>913</v>
      </c>
      <c r="D930" s="110"/>
      <c r="E930" s="110"/>
      <c r="F930" s="19" t="str">
        <f t="shared" si="14"/>
        <v/>
      </c>
      <c r="G930" s="2"/>
    </row>
    <row r="931" spans="2:7" ht="15" customHeight="1" x14ac:dyDescent="0.25">
      <c r="B931" s="1"/>
      <c r="C931" s="113">
        <v>914</v>
      </c>
      <c r="D931" s="110"/>
      <c r="E931" s="110"/>
      <c r="F931" s="19" t="str">
        <f t="shared" si="14"/>
        <v/>
      </c>
      <c r="G931" s="2"/>
    </row>
    <row r="932" spans="2:7" ht="15" customHeight="1" x14ac:dyDescent="0.25">
      <c r="B932" s="1"/>
      <c r="C932" s="113">
        <v>915</v>
      </c>
      <c r="D932" s="110"/>
      <c r="E932" s="110"/>
      <c r="F932" s="19" t="str">
        <f t="shared" si="14"/>
        <v/>
      </c>
      <c r="G932" s="2"/>
    </row>
    <row r="933" spans="2:7" ht="15" customHeight="1" x14ac:dyDescent="0.25">
      <c r="B933" s="1"/>
      <c r="C933" s="113">
        <v>916</v>
      </c>
      <c r="D933" s="110"/>
      <c r="E933" s="110"/>
      <c r="F933" s="19" t="str">
        <f t="shared" si="14"/>
        <v/>
      </c>
      <c r="G933" s="2"/>
    </row>
    <row r="934" spans="2:7" ht="15" customHeight="1" x14ac:dyDescent="0.25">
      <c r="B934" s="1"/>
      <c r="C934" s="113">
        <v>917</v>
      </c>
      <c r="D934" s="110"/>
      <c r="E934" s="110"/>
      <c r="F934" s="19" t="str">
        <f t="shared" si="14"/>
        <v/>
      </c>
      <c r="G934" s="2"/>
    </row>
    <row r="935" spans="2:7" ht="15" customHeight="1" x14ac:dyDescent="0.25">
      <c r="B935" s="1"/>
      <c r="C935" s="113">
        <v>918</v>
      </c>
      <c r="D935" s="110"/>
      <c r="E935" s="110"/>
      <c r="F935" s="19" t="str">
        <f t="shared" si="14"/>
        <v/>
      </c>
      <c r="G935" s="2"/>
    </row>
    <row r="936" spans="2:7" ht="15" customHeight="1" x14ac:dyDescent="0.25">
      <c r="B936" s="1"/>
      <c r="C936" s="113">
        <v>919</v>
      </c>
      <c r="D936" s="110"/>
      <c r="E936" s="110"/>
      <c r="F936" s="19" t="str">
        <f t="shared" si="14"/>
        <v/>
      </c>
      <c r="G936" s="2"/>
    </row>
    <row r="937" spans="2:7" ht="15" customHeight="1" x14ac:dyDescent="0.25">
      <c r="B937" s="1"/>
      <c r="C937" s="113">
        <v>920</v>
      </c>
      <c r="D937" s="110"/>
      <c r="E937" s="110"/>
      <c r="F937" s="19" t="str">
        <f t="shared" si="14"/>
        <v/>
      </c>
      <c r="G937" s="2"/>
    </row>
    <row r="938" spans="2:7" ht="15" customHeight="1" x14ac:dyDescent="0.25">
      <c r="B938" s="1"/>
      <c r="C938" s="113">
        <v>921</v>
      </c>
      <c r="D938" s="110"/>
      <c r="E938" s="110"/>
      <c r="F938" s="19" t="str">
        <f t="shared" si="14"/>
        <v/>
      </c>
      <c r="G938" s="2"/>
    </row>
    <row r="939" spans="2:7" ht="15" customHeight="1" x14ac:dyDescent="0.25">
      <c r="B939" s="1"/>
      <c r="C939" s="113">
        <v>922</v>
      </c>
      <c r="D939" s="110"/>
      <c r="E939" s="110"/>
      <c r="F939" s="19" t="str">
        <f t="shared" si="14"/>
        <v/>
      </c>
      <c r="G939" s="2"/>
    </row>
    <row r="940" spans="2:7" ht="15" customHeight="1" x14ac:dyDescent="0.25">
      <c r="B940" s="1"/>
      <c r="C940" s="113">
        <v>923</v>
      </c>
      <c r="D940" s="110"/>
      <c r="E940" s="110"/>
      <c r="F940" s="19" t="str">
        <f t="shared" si="14"/>
        <v/>
      </c>
      <c r="G940" s="2"/>
    </row>
    <row r="941" spans="2:7" ht="15" customHeight="1" x14ac:dyDescent="0.25">
      <c r="B941" s="1"/>
      <c r="C941" s="113">
        <v>924</v>
      </c>
      <c r="D941" s="110"/>
      <c r="E941" s="110"/>
      <c r="F941" s="19" t="str">
        <f t="shared" si="14"/>
        <v/>
      </c>
      <c r="G941" s="2"/>
    </row>
    <row r="942" spans="2:7" ht="15" customHeight="1" x14ac:dyDescent="0.25">
      <c r="B942" s="1"/>
      <c r="C942" s="113">
        <v>925</v>
      </c>
      <c r="D942" s="110"/>
      <c r="E942" s="110"/>
      <c r="F942" s="19" t="str">
        <f t="shared" si="14"/>
        <v/>
      </c>
      <c r="G942" s="2"/>
    </row>
    <row r="943" spans="2:7" ht="15" customHeight="1" x14ac:dyDescent="0.25">
      <c r="B943" s="1"/>
      <c r="C943" s="113">
        <v>926</v>
      </c>
      <c r="D943" s="110"/>
      <c r="E943" s="110"/>
      <c r="F943" s="19" t="str">
        <f t="shared" si="14"/>
        <v/>
      </c>
      <c r="G943" s="2"/>
    </row>
    <row r="944" spans="2:7" ht="15" customHeight="1" x14ac:dyDescent="0.25">
      <c r="B944" s="1"/>
      <c r="C944" s="113">
        <v>927</v>
      </c>
      <c r="D944" s="110"/>
      <c r="E944" s="110"/>
      <c r="F944" s="19" t="str">
        <f t="shared" si="14"/>
        <v/>
      </c>
      <c r="G944" s="2"/>
    </row>
    <row r="945" spans="2:7" ht="15" customHeight="1" x14ac:dyDescent="0.25">
      <c r="B945" s="1"/>
      <c r="C945" s="113">
        <v>928</v>
      </c>
      <c r="D945" s="110"/>
      <c r="E945" s="110"/>
      <c r="F945" s="19" t="str">
        <f t="shared" si="14"/>
        <v/>
      </c>
      <c r="G945" s="2"/>
    </row>
    <row r="946" spans="2:7" ht="15" customHeight="1" x14ac:dyDescent="0.25">
      <c r="B946" s="1"/>
      <c r="C946" s="113">
        <v>929</v>
      </c>
      <c r="D946" s="110"/>
      <c r="E946" s="110"/>
      <c r="F946" s="19" t="str">
        <f t="shared" si="14"/>
        <v/>
      </c>
      <c r="G946" s="2"/>
    </row>
    <row r="947" spans="2:7" ht="15" customHeight="1" x14ac:dyDescent="0.25">
      <c r="B947" s="1"/>
      <c r="C947" s="113">
        <v>930</v>
      </c>
      <c r="D947" s="110"/>
      <c r="E947" s="110"/>
      <c r="F947" s="19" t="str">
        <f t="shared" si="14"/>
        <v/>
      </c>
      <c r="G947" s="2"/>
    </row>
    <row r="948" spans="2:7" ht="15" customHeight="1" x14ac:dyDescent="0.25">
      <c r="B948" s="1"/>
      <c r="C948" s="113">
        <v>931</v>
      </c>
      <c r="D948" s="110"/>
      <c r="E948" s="110"/>
      <c r="F948" s="19" t="str">
        <f t="shared" si="14"/>
        <v/>
      </c>
      <c r="G948" s="2"/>
    </row>
    <row r="949" spans="2:7" ht="15" customHeight="1" x14ac:dyDescent="0.25">
      <c r="B949" s="1"/>
      <c r="C949" s="113">
        <v>932</v>
      </c>
      <c r="D949" s="110"/>
      <c r="E949" s="110"/>
      <c r="F949" s="19" t="str">
        <f t="shared" si="14"/>
        <v/>
      </c>
      <c r="G949" s="2"/>
    </row>
    <row r="950" spans="2:7" ht="15" customHeight="1" x14ac:dyDescent="0.25">
      <c r="B950" s="1"/>
      <c r="C950" s="113">
        <v>933</v>
      </c>
      <c r="D950" s="110"/>
      <c r="E950" s="110"/>
      <c r="F950" s="19" t="str">
        <f t="shared" si="14"/>
        <v/>
      </c>
      <c r="G950" s="2"/>
    </row>
    <row r="951" spans="2:7" ht="15" customHeight="1" x14ac:dyDescent="0.25">
      <c r="B951" s="1"/>
      <c r="C951" s="113">
        <v>934</v>
      </c>
      <c r="D951" s="110"/>
      <c r="E951" s="110"/>
      <c r="F951" s="19" t="str">
        <f t="shared" si="14"/>
        <v/>
      </c>
      <c r="G951" s="2"/>
    </row>
    <row r="952" spans="2:7" ht="15" customHeight="1" x14ac:dyDescent="0.25">
      <c r="B952" s="1"/>
      <c r="C952" s="113">
        <v>935</v>
      </c>
      <c r="D952" s="110"/>
      <c r="E952" s="110"/>
      <c r="F952" s="19" t="str">
        <f t="shared" si="14"/>
        <v/>
      </c>
      <c r="G952" s="2"/>
    </row>
    <row r="953" spans="2:7" ht="15" customHeight="1" x14ac:dyDescent="0.25">
      <c r="B953" s="1"/>
      <c r="C953" s="113">
        <v>936</v>
      </c>
      <c r="D953" s="110"/>
      <c r="E953" s="110"/>
      <c r="F953" s="19" t="str">
        <f t="shared" si="14"/>
        <v/>
      </c>
      <c r="G953" s="2"/>
    </row>
    <row r="954" spans="2:7" ht="15" customHeight="1" x14ac:dyDescent="0.25">
      <c r="B954" s="1"/>
      <c r="C954" s="113">
        <v>937</v>
      </c>
      <c r="D954" s="110"/>
      <c r="E954" s="110"/>
      <c r="F954" s="19" t="str">
        <f t="shared" si="14"/>
        <v/>
      </c>
      <c r="G954" s="2"/>
    </row>
    <row r="955" spans="2:7" ht="15" customHeight="1" x14ac:dyDescent="0.25">
      <c r="B955" s="1"/>
      <c r="C955" s="113">
        <v>938</v>
      </c>
      <c r="D955" s="110"/>
      <c r="E955" s="110"/>
      <c r="F955" s="19" t="str">
        <f t="shared" si="14"/>
        <v/>
      </c>
      <c r="G955" s="2"/>
    </row>
    <row r="956" spans="2:7" ht="15" customHeight="1" x14ac:dyDescent="0.25">
      <c r="B956" s="1"/>
      <c r="C956" s="113">
        <v>939</v>
      </c>
      <c r="D956" s="110"/>
      <c r="E956" s="110"/>
      <c r="F956" s="19" t="str">
        <f t="shared" si="14"/>
        <v/>
      </c>
      <c r="G956" s="2"/>
    </row>
    <row r="957" spans="2:7" ht="15" customHeight="1" x14ac:dyDescent="0.25">
      <c r="B957" s="1"/>
      <c r="C957" s="113">
        <v>940</v>
      </c>
      <c r="D957" s="110"/>
      <c r="E957" s="110"/>
      <c r="F957" s="19" t="str">
        <f t="shared" si="14"/>
        <v/>
      </c>
      <c r="G957" s="2"/>
    </row>
    <row r="958" spans="2:7" ht="15" customHeight="1" x14ac:dyDescent="0.25">
      <c r="B958" s="1"/>
      <c r="C958" s="113">
        <v>941</v>
      </c>
      <c r="D958" s="110"/>
      <c r="E958" s="110"/>
      <c r="F958" s="19" t="str">
        <f t="shared" si="14"/>
        <v/>
      </c>
      <c r="G958" s="2"/>
    </row>
    <row r="959" spans="2:7" ht="15" customHeight="1" x14ac:dyDescent="0.25">
      <c r="B959" s="1"/>
      <c r="C959" s="113">
        <v>942</v>
      </c>
      <c r="D959" s="110"/>
      <c r="E959" s="110"/>
      <c r="F959" s="19" t="str">
        <f t="shared" si="14"/>
        <v/>
      </c>
      <c r="G959" s="2"/>
    </row>
    <row r="960" spans="2:7" ht="15" customHeight="1" x14ac:dyDescent="0.25">
      <c r="B960" s="1"/>
      <c r="C960" s="113">
        <v>943</v>
      </c>
      <c r="D960" s="110"/>
      <c r="E960" s="110"/>
      <c r="F960" s="19" t="str">
        <f t="shared" si="14"/>
        <v/>
      </c>
      <c r="G960" s="2"/>
    </row>
    <row r="961" spans="2:7" ht="15" customHeight="1" x14ac:dyDescent="0.25">
      <c r="B961" s="1"/>
      <c r="C961" s="113">
        <v>944</v>
      </c>
      <c r="D961" s="110"/>
      <c r="E961" s="110"/>
      <c r="F961" s="19" t="str">
        <f t="shared" si="14"/>
        <v/>
      </c>
      <c r="G961" s="2"/>
    </row>
    <row r="962" spans="2:7" ht="15" customHeight="1" x14ac:dyDescent="0.25">
      <c r="B962" s="1"/>
      <c r="C962" s="113">
        <v>945</v>
      </c>
      <c r="D962" s="110"/>
      <c r="E962" s="110"/>
      <c r="F962" s="19" t="str">
        <f t="shared" si="14"/>
        <v/>
      </c>
      <c r="G962" s="2"/>
    </row>
    <row r="963" spans="2:7" ht="15" customHeight="1" x14ac:dyDescent="0.25">
      <c r="B963" s="1"/>
      <c r="C963" s="113">
        <v>946</v>
      </c>
      <c r="D963" s="110"/>
      <c r="E963" s="110"/>
      <c r="F963" s="19" t="str">
        <f t="shared" si="14"/>
        <v/>
      </c>
      <c r="G963" s="2"/>
    </row>
    <row r="964" spans="2:7" ht="15" customHeight="1" x14ac:dyDescent="0.25">
      <c r="B964" s="1"/>
      <c r="C964" s="113">
        <v>947</v>
      </c>
      <c r="D964" s="110"/>
      <c r="E964" s="110"/>
      <c r="F964" s="19" t="str">
        <f t="shared" si="14"/>
        <v/>
      </c>
      <c r="G964" s="2"/>
    </row>
    <row r="965" spans="2:7" ht="15" customHeight="1" x14ac:dyDescent="0.25">
      <c r="B965" s="1"/>
      <c r="C965" s="113">
        <v>948</v>
      </c>
      <c r="D965" s="110"/>
      <c r="E965" s="110"/>
      <c r="F965" s="19" t="str">
        <f t="shared" si="14"/>
        <v/>
      </c>
      <c r="G965" s="2"/>
    </row>
    <row r="966" spans="2:7" ht="15" customHeight="1" x14ac:dyDescent="0.25">
      <c r="B966" s="1"/>
      <c r="C966" s="113">
        <v>949</v>
      </c>
      <c r="D966" s="110"/>
      <c r="E966" s="110"/>
      <c r="F966" s="19" t="str">
        <f t="shared" si="14"/>
        <v/>
      </c>
      <c r="G966" s="2"/>
    </row>
    <row r="967" spans="2:7" ht="15" customHeight="1" x14ac:dyDescent="0.25">
      <c r="B967" s="1"/>
      <c r="C967" s="113">
        <v>950</v>
      </c>
      <c r="D967" s="110"/>
      <c r="E967" s="110"/>
      <c r="F967" s="19" t="str">
        <f t="shared" si="14"/>
        <v/>
      </c>
      <c r="G967" s="2"/>
    </row>
    <row r="968" spans="2:7" ht="15" customHeight="1" x14ac:dyDescent="0.25">
      <c r="B968" s="1"/>
      <c r="C968" s="113">
        <v>951</v>
      </c>
      <c r="D968" s="110"/>
      <c r="E968" s="110"/>
      <c r="F968" s="19" t="str">
        <f t="shared" si="14"/>
        <v/>
      </c>
      <c r="G968" s="2"/>
    </row>
    <row r="969" spans="2:7" ht="15" customHeight="1" x14ac:dyDescent="0.25">
      <c r="B969" s="1"/>
      <c r="C969" s="113">
        <v>952</v>
      </c>
      <c r="D969" s="110"/>
      <c r="E969" s="110"/>
      <c r="F969" s="19" t="str">
        <f t="shared" si="14"/>
        <v/>
      </c>
      <c r="G969" s="2"/>
    </row>
    <row r="970" spans="2:7" ht="15" customHeight="1" x14ac:dyDescent="0.25">
      <c r="B970" s="1"/>
      <c r="C970" s="113">
        <v>953</v>
      </c>
      <c r="D970" s="110"/>
      <c r="E970" s="110"/>
      <c r="F970" s="19" t="str">
        <f t="shared" si="14"/>
        <v/>
      </c>
      <c r="G970" s="2"/>
    </row>
    <row r="971" spans="2:7" ht="15" customHeight="1" x14ac:dyDescent="0.25">
      <c r="B971" s="1"/>
      <c r="C971" s="113">
        <v>954</v>
      </c>
      <c r="D971" s="110"/>
      <c r="E971" s="110"/>
      <c r="F971" s="19" t="str">
        <f t="shared" si="14"/>
        <v/>
      </c>
      <c r="G971" s="2"/>
    </row>
    <row r="972" spans="2:7" ht="15" customHeight="1" x14ac:dyDescent="0.25">
      <c r="B972" s="1"/>
      <c r="C972" s="113">
        <v>955</v>
      </c>
      <c r="D972" s="110"/>
      <c r="E972" s="110"/>
      <c r="F972" s="19" t="str">
        <f t="shared" si="14"/>
        <v/>
      </c>
      <c r="G972" s="2"/>
    </row>
    <row r="973" spans="2:7" ht="15" customHeight="1" x14ac:dyDescent="0.25">
      <c r="B973" s="1"/>
      <c r="C973" s="113">
        <v>956</v>
      </c>
      <c r="D973" s="110"/>
      <c r="E973" s="110"/>
      <c r="F973" s="19" t="str">
        <f t="shared" si="14"/>
        <v/>
      </c>
      <c r="G973" s="2"/>
    </row>
    <row r="974" spans="2:7" ht="15" customHeight="1" x14ac:dyDescent="0.25">
      <c r="B974" s="1"/>
      <c r="C974" s="113">
        <v>957</v>
      </c>
      <c r="D974" s="110"/>
      <c r="E974" s="110"/>
      <c r="F974" s="19" t="str">
        <f t="shared" si="14"/>
        <v/>
      </c>
      <c r="G974" s="2"/>
    </row>
    <row r="975" spans="2:7" ht="15" customHeight="1" x14ac:dyDescent="0.25">
      <c r="B975" s="1"/>
      <c r="C975" s="113">
        <v>958</v>
      </c>
      <c r="D975" s="110"/>
      <c r="E975" s="110"/>
      <c r="F975" s="19" t="str">
        <f t="shared" si="14"/>
        <v/>
      </c>
      <c r="G975" s="2"/>
    </row>
    <row r="976" spans="2:7" ht="15" customHeight="1" x14ac:dyDescent="0.25">
      <c r="B976" s="1"/>
      <c r="C976" s="113">
        <v>959</v>
      </c>
      <c r="D976" s="110"/>
      <c r="E976" s="110"/>
      <c r="F976" s="19" t="str">
        <f t="shared" si="14"/>
        <v/>
      </c>
      <c r="G976" s="2"/>
    </row>
    <row r="977" spans="2:7" ht="15" customHeight="1" x14ac:dyDescent="0.25">
      <c r="B977" s="1"/>
      <c r="C977" s="113">
        <v>960</v>
      </c>
      <c r="D977" s="110"/>
      <c r="E977" s="110"/>
      <c r="F977" s="19" t="str">
        <f t="shared" si="14"/>
        <v/>
      </c>
      <c r="G977" s="2"/>
    </row>
    <row r="978" spans="2:7" ht="15" customHeight="1" x14ac:dyDescent="0.25">
      <c r="B978" s="1"/>
      <c r="C978" s="113">
        <v>961</v>
      </c>
      <c r="D978" s="110"/>
      <c r="E978" s="110"/>
      <c r="F978" s="19" t="str">
        <f t="shared" si="14"/>
        <v/>
      </c>
      <c r="G978" s="2"/>
    </row>
    <row r="979" spans="2:7" ht="15" customHeight="1" x14ac:dyDescent="0.25">
      <c r="B979" s="1"/>
      <c r="C979" s="113">
        <v>962</v>
      </c>
      <c r="D979" s="110"/>
      <c r="E979" s="110"/>
      <c r="F979" s="19" t="str">
        <f t="shared" ref="F979:F1017" si="15">IFERROR(IF(AND(LEFT(D979,6)=LEFT(E979,6),RIGHT(E979,9)-RIGHT(D979,9)&gt;=0),RIGHT(E979,9)-RIGHT(D979,9)+1,""),"")</f>
        <v/>
      </c>
      <c r="G979" s="2"/>
    </row>
    <row r="980" spans="2:7" ht="15" customHeight="1" x14ac:dyDescent="0.25">
      <c r="B980" s="1"/>
      <c r="C980" s="113">
        <v>963</v>
      </c>
      <c r="D980" s="110"/>
      <c r="E980" s="110"/>
      <c r="F980" s="19" t="str">
        <f t="shared" si="15"/>
        <v/>
      </c>
      <c r="G980" s="2"/>
    </row>
    <row r="981" spans="2:7" ht="15" customHeight="1" x14ac:dyDescent="0.25">
      <c r="B981" s="1"/>
      <c r="C981" s="113">
        <v>964</v>
      </c>
      <c r="D981" s="110"/>
      <c r="E981" s="110"/>
      <c r="F981" s="19" t="str">
        <f t="shared" si="15"/>
        <v/>
      </c>
      <c r="G981" s="2"/>
    </row>
    <row r="982" spans="2:7" ht="15" customHeight="1" x14ac:dyDescent="0.25">
      <c r="B982" s="1"/>
      <c r="C982" s="113">
        <v>965</v>
      </c>
      <c r="D982" s="110"/>
      <c r="E982" s="110"/>
      <c r="F982" s="19" t="str">
        <f t="shared" si="15"/>
        <v/>
      </c>
      <c r="G982" s="2"/>
    </row>
    <row r="983" spans="2:7" ht="15" customHeight="1" x14ac:dyDescent="0.25">
      <c r="B983" s="1"/>
      <c r="C983" s="113">
        <v>966</v>
      </c>
      <c r="D983" s="110"/>
      <c r="E983" s="110"/>
      <c r="F983" s="19" t="str">
        <f t="shared" si="15"/>
        <v/>
      </c>
      <c r="G983" s="2"/>
    </row>
    <row r="984" spans="2:7" ht="15" customHeight="1" x14ac:dyDescent="0.25">
      <c r="B984" s="1"/>
      <c r="C984" s="113">
        <v>967</v>
      </c>
      <c r="D984" s="110"/>
      <c r="E984" s="110"/>
      <c r="F984" s="19" t="str">
        <f t="shared" si="15"/>
        <v/>
      </c>
      <c r="G984" s="2"/>
    </row>
    <row r="985" spans="2:7" ht="15" customHeight="1" x14ac:dyDescent="0.25">
      <c r="B985" s="1"/>
      <c r="C985" s="113">
        <v>968</v>
      </c>
      <c r="D985" s="110"/>
      <c r="E985" s="110"/>
      <c r="F985" s="19" t="str">
        <f t="shared" si="15"/>
        <v/>
      </c>
      <c r="G985" s="2"/>
    </row>
    <row r="986" spans="2:7" ht="15" customHeight="1" x14ac:dyDescent="0.25">
      <c r="B986" s="1"/>
      <c r="C986" s="113">
        <v>969</v>
      </c>
      <c r="D986" s="110"/>
      <c r="E986" s="110"/>
      <c r="F986" s="19" t="str">
        <f t="shared" si="15"/>
        <v/>
      </c>
      <c r="G986" s="2"/>
    </row>
    <row r="987" spans="2:7" ht="15" customHeight="1" x14ac:dyDescent="0.25">
      <c r="B987" s="1"/>
      <c r="C987" s="113">
        <v>970</v>
      </c>
      <c r="D987" s="110"/>
      <c r="E987" s="110"/>
      <c r="F987" s="19" t="str">
        <f t="shared" si="15"/>
        <v/>
      </c>
      <c r="G987" s="2"/>
    </row>
    <row r="988" spans="2:7" ht="15" customHeight="1" x14ac:dyDescent="0.25">
      <c r="B988" s="1"/>
      <c r="C988" s="113">
        <v>971</v>
      </c>
      <c r="D988" s="110"/>
      <c r="E988" s="110"/>
      <c r="F988" s="19" t="str">
        <f t="shared" si="15"/>
        <v/>
      </c>
      <c r="G988" s="2"/>
    </row>
    <row r="989" spans="2:7" ht="15" customHeight="1" x14ac:dyDescent="0.25">
      <c r="B989" s="1"/>
      <c r="C989" s="113">
        <v>972</v>
      </c>
      <c r="D989" s="110"/>
      <c r="E989" s="110"/>
      <c r="F989" s="19" t="str">
        <f t="shared" si="15"/>
        <v/>
      </c>
      <c r="G989" s="2"/>
    </row>
    <row r="990" spans="2:7" ht="15" customHeight="1" x14ac:dyDescent="0.25">
      <c r="B990" s="1"/>
      <c r="C990" s="113">
        <v>973</v>
      </c>
      <c r="D990" s="110"/>
      <c r="E990" s="110"/>
      <c r="F990" s="19" t="str">
        <f t="shared" si="15"/>
        <v/>
      </c>
      <c r="G990" s="2"/>
    </row>
    <row r="991" spans="2:7" ht="15" customHeight="1" x14ac:dyDescent="0.25">
      <c r="B991" s="1"/>
      <c r="C991" s="113">
        <v>974</v>
      </c>
      <c r="D991" s="110"/>
      <c r="E991" s="110"/>
      <c r="F991" s="19" t="str">
        <f t="shared" si="15"/>
        <v/>
      </c>
      <c r="G991" s="2"/>
    </row>
    <row r="992" spans="2:7" ht="15" customHeight="1" x14ac:dyDescent="0.25">
      <c r="B992" s="1"/>
      <c r="C992" s="113">
        <v>975</v>
      </c>
      <c r="D992" s="110"/>
      <c r="E992" s="110"/>
      <c r="F992" s="19" t="str">
        <f t="shared" si="15"/>
        <v/>
      </c>
      <c r="G992" s="2"/>
    </row>
    <row r="993" spans="2:7" ht="15" customHeight="1" x14ac:dyDescent="0.25">
      <c r="B993" s="1"/>
      <c r="C993" s="113">
        <v>976</v>
      </c>
      <c r="D993" s="110"/>
      <c r="E993" s="110"/>
      <c r="F993" s="19" t="str">
        <f t="shared" si="15"/>
        <v/>
      </c>
      <c r="G993" s="2"/>
    </row>
    <row r="994" spans="2:7" ht="15" customHeight="1" x14ac:dyDescent="0.25">
      <c r="B994" s="1"/>
      <c r="C994" s="113">
        <v>977</v>
      </c>
      <c r="D994" s="110"/>
      <c r="E994" s="110"/>
      <c r="F994" s="19" t="str">
        <f t="shared" si="15"/>
        <v/>
      </c>
      <c r="G994" s="2"/>
    </row>
    <row r="995" spans="2:7" ht="15" customHeight="1" x14ac:dyDescent="0.25">
      <c r="B995" s="1"/>
      <c r="C995" s="113">
        <v>978</v>
      </c>
      <c r="D995" s="110"/>
      <c r="E995" s="110"/>
      <c r="F995" s="19" t="str">
        <f t="shared" si="15"/>
        <v/>
      </c>
      <c r="G995" s="2"/>
    </row>
    <row r="996" spans="2:7" ht="15" customHeight="1" x14ac:dyDescent="0.25">
      <c r="B996" s="1"/>
      <c r="C996" s="113">
        <v>979</v>
      </c>
      <c r="D996" s="110"/>
      <c r="E996" s="110"/>
      <c r="F996" s="19" t="str">
        <f t="shared" si="15"/>
        <v/>
      </c>
      <c r="G996" s="2"/>
    </row>
    <row r="997" spans="2:7" ht="15" customHeight="1" x14ac:dyDescent="0.25">
      <c r="B997" s="1"/>
      <c r="C997" s="113">
        <v>980</v>
      </c>
      <c r="D997" s="110"/>
      <c r="E997" s="110"/>
      <c r="F997" s="19" t="str">
        <f t="shared" si="15"/>
        <v/>
      </c>
      <c r="G997" s="2"/>
    </row>
    <row r="998" spans="2:7" ht="15" customHeight="1" x14ac:dyDescent="0.25">
      <c r="B998" s="1"/>
      <c r="C998" s="113">
        <v>981</v>
      </c>
      <c r="D998" s="110"/>
      <c r="E998" s="110"/>
      <c r="F998" s="19" t="str">
        <f t="shared" si="15"/>
        <v/>
      </c>
      <c r="G998" s="2"/>
    </row>
    <row r="999" spans="2:7" ht="15" customHeight="1" x14ac:dyDescent="0.25">
      <c r="B999" s="1"/>
      <c r="C999" s="113">
        <v>982</v>
      </c>
      <c r="D999" s="110"/>
      <c r="E999" s="110"/>
      <c r="F999" s="19" t="str">
        <f t="shared" si="15"/>
        <v/>
      </c>
      <c r="G999" s="2"/>
    </row>
    <row r="1000" spans="2:7" ht="15" customHeight="1" x14ac:dyDescent="0.25">
      <c r="B1000" s="1"/>
      <c r="C1000" s="113">
        <v>983</v>
      </c>
      <c r="D1000" s="110"/>
      <c r="E1000" s="110"/>
      <c r="F1000" s="19" t="str">
        <f t="shared" si="15"/>
        <v/>
      </c>
      <c r="G1000" s="2"/>
    </row>
    <row r="1001" spans="2:7" ht="15" customHeight="1" x14ac:dyDescent="0.25">
      <c r="B1001" s="1"/>
      <c r="C1001" s="113">
        <v>984</v>
      </c>
      <c r="D1001" s="110"/>
      <c r="E1001" s="110"/>
      <c r="F1001" s="19" t="str">
        <f t="shared" si="15"/>
        <v/>
      </c>
      <c r="G1001" s="2"/>
    </row>
    <row r="1002" spans="2:7" ht="15" customHeight="1" x14ac:dyDescent="0.25">
      <c r="B1002" s="1"/>
      <c r="C1002" s="113">
        <v>985</v>
      </c>
      <c r="D1002" s="110"/>
      <c r="E1002" s="110"/>
      <c r="F1002" s="19" t="str">
        <f t="shared" si="15"/>
        <v/>
      </c>
      <c r="G1002" s="2"/>
    </row>
    <row r="1003" spans="2:7" ht="15" customHeight="1" x14ac:dyDescent="0.25">
      <c r="B1003" s="1"/>
      <c r="C1003" s="113">
        <v>986</v>
      </c>
      <c r="D1003" s="110"/>
      <c r="E1003" s="110"/>
      <c r="F1003" s="19" t="str">
        <f t="shared" si="15"/>
        <v/>
      </c>
      <c r="G1003" s="2"/>
    </row>
    <row r="1004" spans="2:7" ht="15" customHeight="1" x14ac:dyDescent="0.25">
      <c r="B1004" s="1"/>
      <c r="C1004" s="113">
        <v>987</v>
      </c>
      <c r="D1004" s="110"/>
      <c r="E1004" s="110"/>
      <c r="F1004" s="19" t="str">
        <f t="shared" si="15"/>
        <v/>
      </c>
      <c r="G1004" s="2"/>
    </row>
    <row r="1005" spans="2:7" ht="15" customHeight="1" x14ac:dyDescent="0.25">
      <c r="B1005" s="1"/>
      <c r="C1005" s="113">
        <v>988</v>
      </c>
      <c r="D1005" s="110"/>
      <c r="E1005" s="110"/>
      <c r="F1005" s="19" t="str">
        <f t="shared" si="15"/>
        <v/>
      </c>
      <c r="G1005" s="2"/>
    </row>
    <row r="1006" spans="2:7" ht="15" customHeight="1" x14ac:dyDescent="0.25">
      <c r="B1006" s="1"/>
      <c r="C1006" s="113">
        <v>989</v>
      </c>
      <c r="D1006" s="110"/>
      <c r="E1006" s="110"/>
      <c r="F1006" s="19" t="str">
        <f t="shared" si="15"/>
        <v/>
      </c>
      <c r="G1006" s="2"/>
    </row>
    <row r="1007" spans="2:7" ht="15" customHeight="1" x14ac:dyDescent="0.25">
      <c r="B1007" s="1"/>
      <c r="C1007" s="113">
        <v>990</v>
      </c>
      <c r="D1007" s="110"/>
      <c r="E1007" s="110"/>
      <c r="F1007" s="19" t="str">
        <f t="shared" si="15"/>
        <v/>
      </c>
      <c r="G1007" s="2"/>
    </row>
    <row r="1008" spans="2:7" ht="15" customHeight="1" x14ac:dyDescent="0.25">
      <c r="B1008" s="1"/>
      <c r="C1008" s="113">
        <v>991</v>
      </c>
      <c r="D1008" s="110"/>
      <c r="E1008" s="110"/>
      <c r="F1008" s="19" t="str">
        <f t="shared" si="15"/>
        <v/>
      </c>
      <c r="G1008" s="2"/>
    </row>
    <row r="1009" spans="2:7" ht="15" customHeight="1" x14ac:dyDescent="0.25">
      <c r="B1009" s="1"/>
      <c r="C1009" s="113">
        <v>992</v>
      </c>
      <c r="D1009" s="110"/>
      <c r="E1009" s="110"/>
      <c r="F1009" s="19" t="str">
        <f t="shared" si="15"/>
        <v/>
      </c>
      <c r="G1009" s="2"/>
    </row>
    <row r="1010" spans="2:7" ht="15" customHeight="1" x14ac:dyDescent="0.25">
      <c r="B1010" s="1"/>
      <c r="C1010" s="113">
        <v>993</v>
      </c>
      <c r="D1010" s="110"/>
      <c r="E1010" s="110"/>
      <c r="F1010" s="19" t="str">
        <f t="shared" si="15"/>
        <v/>
      </c>
      <c r="G1010" s="2"/>
    </row>
    <row r="1011" spans="2:7" ht="15" customHeight="1" x14ac:dyDescent="0.25">
      <c r="B1011" s="1"/>
      <c r="C1011" s="113">
        <v>994</v>
      </c>
      <c r="D1011" s="110"/>
      <c r="E1011" s="110"/>
      <c r="F1011" s="19" t="str">
        <f t="shared" si="15"/>
        <v/>
      </c>
      <c r="G1011" s="2"/>
    </row>
    <row r="1012" spans="2:7" ht="15" customHeight="1" x14ac:dyDescent="0.25">
      <c r="B1012" s="1"/>
      <c r="C1012" s="113">
        <v>995</v>
      </c>
      <c r="D1012" s="110"/>
      <c r="E1012" s="110"/>
      <c r="F1012" s="19" t="str">
        <f t="shared" si="15"/>
        <v/>
      </c>
      <c r="G1012" s="2"/>
    </row>
    <row r="1013" spans="2:7" ht="15" customHeight="1" x14ac:dyDescent="0.25">
      <c r="B1013" s="1"/>
      <c r="C1013" s="113">
        <v>996</v>
      </c>
      <c r="D1013" s="110"/>
      <c r="E1013" s="110"/>
      <c r="F1013" s="19" t="str">
        <f t="shared" si="15"/>
        <v/>
      </c>
      <c r="G1013" s="2"/>
    </row>
    <row r="1014" spans="2:7" ht="15" customHeight="1" x14ac:dyDescent="0.25">
      <c r="B1014" s="1"/>
      <c r="C1014" s="113">
        <v>997</v>
      </c>
      <c r="D1014" s="110"/>
      <c r="E1014" s="110"/>
      <c r="F1014" s="19" t="str">
        <f t="shared" si="15"/>
        <v/>
      </c>
      <c r="G1014" s="2"/>
    </row>
    <row r="1015" spans="2:7" ht="15" customHeight="1" x14ac:dyDescent="0.25">
      <c r="B1015" s="1"/>
      <c r="C1015" s="113">
        <v>998</v>
      </c>
      <c r="D1015" s="110"/>
      <c r="E1015" s="110"/>
      <c r="F1015" s="19" t="str">
        <f t="shared" si="15"/>
        <v/>
      </c>
      <c r="G1015" s="2"/>
    </row>
    <row r="1016" spans="2:7" ht="15" customHeight="1" x14ac:dyDescent="0.25">
      <c r="B1016" s="1"/>
      <c r="C1016" s="113">
        <v>999</v>
      </c>
      <c r="D1016" s="110"/>
      <c r="E1016" s="110"/>
      <c r="F1016" s="19" t="str">
        <f t="shared" si="15"/>
        <v/>
      </c>
      <c r="G1016" s="2"/>
    </row>
    <row r="1017" spans="2:7" ht="15" customHeight="1" x14ac:dyDescent="0.25">
      <c r="B1017" s="1"/>
      <c r="C1017" s="113">
        <v>1000</v>
      </c>
      <c r="D1017" s="110"/>
      <c r="E1017" s="110"/>
      <c r="F1017" s="19" t="str">
        <f t="shared" si="15"/>
        <v/>
      </c>
      <c r="G1017" s="2"/>
    </row>
    <row r="1018" spans="2:7" ht="15" customHeight="1" x14ac:dyDescent="0.25">
      <c r="B1018" s="1"/>
      <c r="C1018" s="111"/>
      <c r="D1018" s="111"/>
      <c r="E1018" s="111"/>
      <c r="F1018" s="111"/>
      <c r="G1018" s="2"/>
    </row>
    <row r="1019" spans="2:7" ht="15" customHeight="1" x14ac:dyDescent="0.25">
      <c r="B1019" s="1"/>
      <c r="C1019" s="111" t="s">
        <v>242</v>
      </c>
      <c r="D1019" s="111"/>
      <c r="E1019" s="111"/>
      <c r="F1019" s="111"/>
      <c r="G1019" s="2"/>
    </row>
    <row r="1020" spans="2:7" ht="15" customHeight="1" x14ac:dyDescent="0.25">
      <c r="B1020" s="1"/>
      <c r="C1020" s="139">
        <f>IFERROR(SUM(R.CCUS.RowCreditCount),"")</f>
        <v>0</v>
      </c>
      <c r="D1020" s="140"/>
      <c r="E1020" s="111"/>
      <c r="F1020" s="111"/>
      <c r="G1020" s="2"/>
    </row>
    <row r="1021" spans="2:7" ht="15" customHeight="1" x14ac:dyDescent="0.25">
      <c r="B1021" s="1"/>
      <c r="C1021" s="111"/>
      <c r="D1021" s="111"/>
      <c r="E1021" s="111"/>
      <c r="F1021" s="111"/>
      <c r="G1021" s="2"/>
    </row>
    <row r="1022" spans="2:7" ht="15" customHeight="1" x14ac:dyDescent="0.25">
      <c r="B1022" s="1"/>
      <c r="C1022" s="138"/>
      <c r="D1022" s="138"/>
      <c r="E1022" s="111"/>
      <c r="F1022" s="111"/>
      <c r="G1022" s="2"/>
    </row>
    <row r="1023" spans="2:7" ht="15" customHeight="1" x14ac:dyDescent="0.25">
      <c r="B1023" s="1"/>
      <c r="C1023" s="111"/>
      <c r="D1023" s="111"/>
      <c r="E1023" s="111"/>
      <c r="F1023" s="111"/>
      <c r="G1023" s="2"/>
    </row>
    <row r="1024" spans="2:7" ht="15" customHeight="1" x14ac:dyDescent="0.25">
      <c r="B1024" s="3"/>
      <c r="C1024" s="137">
        <f>R.Instructions.VersionNumber</f>
        <v>3</v>
      </c>
      <c r="D1024" s="137"/>
      <c r="E1024" s="143">
        <f>R.Instructions.VersionDate</f>
        <v>45693</v>
      </c>
      <c r="F1024" s="143"/>
      <c r="G1024" s="5"/>
    </row>
    <row r="1026" spans="3:6" ht="15" customHeight="1" x14ac:dyDescent="0.25">
      <c r="C1026" s="131" t="str">
        <f>IFERROR(VLOOKUP("Incomplete",Developer!H2072:I4073,2,FALSE),"Sheet complete.")</f>
        <v>Sheet complete.</v>
      </c>
      <c r="D1026" s="131"/>
      <c r="E1026" s="131"/>
      <c r="F1026" s="131"/>
    </row>
    <row r="1027" spans="3:6" ht="15" customHeight="1" x14ac:dyDescent="0.25">
      <c r="C1027" s="131"/>
      <c r="D1027" s="131"/>
      <c r="E1027" s="131"/>
      <c r="F1027" s="131"/>
    </row>
    <row r="1028" spans="3:6" ht="15" customHeight="1" x14ac:dyDescent="0.25">
      <c r="C1028" s="131"/>
      <c r="D1028" s="131"/>
      <c r="E1028" s="131"/>
      <c r="F1028" s="131"/>
    </row>
  </sheetData>
  <sheetProtection algorithmName="SHA-512" hashValue="05I6CHQYqTUZDy3W5zwXRU/4V0Vmskn4mVzYX+ocs8a4ojCvTU6EMOjAB/l39uD9MUhdq/X3ITeQDAGfITDAAQ==" saltValue="d0TCBEKv8vubyWUKtOoWog==" spinCount="100000" sheet="1" objects="1" scenarios="1" selectLockedCells="1"/>
  <mergeCells count="9">
    <mergeCell ref="C4:F4"/>
    <mergeCell ref="C7:D7"/>
    <mergeCell ref="C10:D10"/>
    <mergeCell ref="C12:F16"/>
    <mergeCell ref="C1026:F1028"/>
    <mergeCell ref="C1020:D1020"/>
    <mergeCell ref="C1022:D1022"/>
    <mergeCell ref="C1024:D1024"/>
    <mergeCell ref="E1024:F1024"/>
  </mergeCells>
  <conditionalFormatting sqref="C1026">
    <cfRule type="cellIs" dxfId="2" priority="1" stopIfTrue="1" operator="equal">
      <formula>"Sheet complete."</formula>
    </cfRule>
  </conditionalFormatting>
  <dataValidations count="1">
    <dataValidation type="list" allowBlank="1" showInputMessage="1" showErrorMessage="1" errorTitle="CCUS Credit Information" error="The number of CCUS credit serial number ranges must be between 1 and 1000." sqref="C10" xr:uid="{ED83882C-AFFB-4B9C-B2E5-7C737547B686}">
      <formula1>R.CCUS.RowNumber</formula1>
    </dataValidation>
  </dataValidations>
  <printOptions horizontalCentered="1"/>
  <pageMargins left="0.25" right="0.25" top="0.25" bottom="0.25" header="0" footer="0"/>
  <pageSetup scale="85"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D50E0-6CCE-4E6E-91ED-5C17F95BCBED}">
  <sheetPr codeName="Sheet5">
    <tabColor rgb="FF046A38"/>
    <pageSetUpPr fitToPage="1"/>
  </sheetPr>
  <dimension ref="B1:F80"/>
  <sheetViews>
    <sheetView showGridLines="0" showRowColHeaders="0" zoomScaleNormal="100" workbookViewId="0">
      <selection activeCell="C2" sqref="C2"/>
    </sheetView>
  </sheetViews>
  <sheetFormatPr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32" t="s">
        <v>90</v>
      </c>
      <c r="D4" s="132"/>
      <c r="E4" s="132"/>
      <c r="F4" s="7"/>
    </row>
    <row r="5" spans="2:6" ht="15" customHeight="1" x14ac:dyDescent="0.25">
      <c r="B5" s="1"/>
      <c r="C5" s="111"/>
      <c r="D5" s="111"/>
      <c r="E5" s="111"/>
      <c r="F5" s="2"/>
    </row>
    <row r="6" spans="2:6" ht="15" customHeight="1" x14ac:dyDescent="0.25">
      <c r="B6" s="1"/>
      <c r="C6" s="128" t="s">
        <v>4345</v>
      </c>
      <c r="D6" s="127"/>
      <c r="E6" s="127"/>
      <c r="F6" s="2"/>
    </row>
    <row r="7" spans="2:6" ht="15" customHeight="1" x14ac:dyDescent="0.25">
      <c r="B7" s="1"/>
      <c r="C7" s="127"/>
      <c r="D7" s="127"/>
      <c r="E7" s="127"/>
      <c r="F7" s="2"/>
    </row>
    <row r="8" spans="2:6" ht="15" customHeight="1" x14ac:dyDescent="0.25">
      <c r="B8" s="1"/>
      <c r="C8" s="127"/>
      <c r="D8" s="127"/>
      <c r="E8" s="127"/>
      <c r="F8" s="2"/>
    </row>
    <row r="9" spans="2:6" ht="15" customHeight="1" x14ac:dyDescent="0.25">
      <c r="B9" s="1"/>
      <c r="C9" s="127"/>
      <c r="D9" s="127"/>
      <c r="E9" s="127"/>
      <c r="F9" s="2"/>
    </row>
    <row r="10" spans="2:6" ht="15" customHeight="1" x14ac:dyDescent="0.25">
      <c r="B10" s="1"/>
      <c r="C10" s="127"/>
      <c r="D10" s="127"/>
      <c r="E10" s="127"/>
      <c r="F10" s="2"/>
    </row>
    <row r="11" spans="2:6" ht="15" customHeight="1" x14ac:dyDescent="0.25">
      <c r="B11" s="1"/>
      <c r="C11" s="127"/>
      <c r="D11" s="127"/>
      <c r="E11" s="127"/>
      <c r="F11" s="2"/>
    </row>
    <row r="12" spans="2:6" ht="15" customHeight="1" x14ac:dyDescent="0.25">
      <c r="B12" s="1"/>
      <c r="C12" s="111" t="s">
        <v>88</v>
      </c>
      <c r="D12" s="111"/>
      <c r="E12" s="111"/>
      <c r="F12" s="2"/>
    </row>
    <row r="13" spans="2:6" ht="15" customHeight="1" x14ac:dyDescent="0.35">
      <c r="B13" s="1"/>
      <c r="C13" s="19">
        <f>R.Compliance.FulfilledPayment</f>
        <v>0</v>
      </c>
      <c r="D13" s="111" t="s">
        <v>52</v>
      </c>
      <c r="E13" s="111"/>
      <c r="F13" s="2"/>
    </row>
    <row r="14" spans="2:6" ht="15" customHeight="1" x14ac:dyDescent="0.25">
      <c r="B14" s="1"/>
      <c r="C14" s="111"/>
      <c r="D14" s="111"/>
      <c r="E14" s="111"/>
      <c r="F14" s="2"/>
    </row>
    <row r="15" spans="2:6" ht="15" customHeight="1" x14ac:dyDescent="0.35">
      <c r="B15" s="1"/>
      <c r="C15" s="111" t="s">
        <v>34</v>
      </c>
      <c r="D15" s="111"/>
      <c r="E15" s="111"/>
      <c r="F15" s="2"/>
    </row>
    <row r="16" spans="2:6" ht="15" customHeight="1" x14ac:dyDescent="0.25">
      <c r="B16" s="1"/>
      <c r="C16" s="81" t="str">
        <f>IFERROR(IF(I.Compliance.Year="","",VLOOKUP(I.Compliance.Year,S.Developer.Lookups,2,FALSE)),"")</f>
        <v/>
      </c>
      <c r="D16" s="111"/>
      <c r="E16" s="111"/>
      <c r="F16" s="2"/>
    </row>
    <row r="17" spans="2:6" ht="15" customHeight="1" x14ac:dyDescent="0.25">
      <c r="B17" s="1"/>
      <c r="C17" s="111"/>
      <c r="D17" s="111"/>
      <c r="E17" s="111"/>
      <c r="F17" s="2"/>
    </row>
    <row r="18" spans="2:6" ht="15" customHeight="1" x14ac:dyDescent="0.25">
      <c r="B18" s="1"/>
      <c r="C18" s="111" t="s">
        <v>33</v>
      </c>
      <c r="D18" s="111"/>
      <c r="E18" s="111"/>
      <c r="F18" s="2"/>
    </row>
    <row r="19" spans="2:6" ht="15" customHeight="1" x14ac:dyDescent="0.25">
      <c r="B19" s="1"/>
      <c r="C19" s="81" t="str">
        <f>IFERROR(MAX(R.Payment.FulfilledPayment*R.Payment.Price,0),"")</f>
        <v/>
      </c>
      <c r="D19" s="111"/>
      <c r="E19" s="111"/>
      <c r="F19" s="2"/>
    </row>
    <row r="20" spans="2:6" ht="15" customHeight="1" x14ac:dyDescent="0.25">
      <c r="B20" s="1"/>
      <c r="C20" s="111"/>
      <c r="D20" s="111"/>
      <c r="E20" s="111"/>
      <c r="F20" s="2"/>
    </row>
    <row r="21" spans="2:6" ht="20.100000000000001" hidden="1" customHeight="1" x14ac:dyDescent="0.25">
      <c r="B21" s="16"/>
      <c r="C21" s="129" t="s">
        <v>211</v>
      </c>
      <c r="D21" s="129"/>
      <c r="E21" s="129"/>
      <c r="F21" s="17"/>
    </row>
    <row r="22" spans="2:6" ht="15" hidden="1" customHeight="1" x14ac:dyDescent="0.25">
      <c r="B22" s="1"/>
      <c r="C22" s="111"/>
      <c r="D22" s="111"/>
      <c r="E22" s="111"/>
      <c r="F22" s="2"/>
    </row>
    <row r="23" spans="2:6" ht="15" hidden="1" customHeight="1" x14ac:dyDescent="0.25">
      <c r="B23" s="1"/>
      <c r="C23" s="128" t="s">
        <v>78</v>
      </c>
      <c r="D23" s="127"/>
      <c r="E23" s="127"/>
      <c r="F23" s="2"/>
    </row>
    <row r="24" spans="2:6" ht="15" hidden="1" customHeight="1" x14ac:dyDescent="0.25">
      <c r="B24" s="1"/>
      <c r="C24" s="127"/>
      <c r="D24" s="127"/>
      <c r="E24" s="127"/>
      <c r="F24" s="2"/>
    </row>
    <row r="25" spans="2:6" ht="15" hidden="1" customHeight="1" x14ac:dyDescent="0.25">
      <c r="B25" s="1"/>
      <c r="C25" s="117" t="s">
        <v>71</v>
      </c>
      <c r="D25" s="111"/>
      <c r="E25" s="111"/>
      <c r="F25" s="2"/>
    </row>
    <row r="26" spans="2:6" ht="15" hidden="1" customHeight="1" x14ac:dyDescent="0.25">
      <c r="B26" s="1"/>
      <c r="C26" s="117" t="s">
        <v>79</v>
      </c>
      <c r="D26" s="111"/>
      <c r="E26" s="111"/>
      <c r="F26" s="2"/>
    </row>
    <row r="27" spans="2:6" ht="15" hidden="1" customHeight="1" x14ac:dyDescent="0.25">
      <c r="B27" s="1"/>
      <c r="C27" s="117" t="s">
        <v>76</v>
      </c>
      <c r="D27" s="111"/>
      <c r="E27" s="111"/>
      <c r="F27" s="2"/>
    </row>
    <row r="28" spans="2:6" ht="15" hidden="1" customHeight="1" x14ac:dyDescent="0.25">
      <c r="B28" s="1"/>
      <c r="C28" s="111"/>
      <c r="D28" s="111"/>
      <c r="E28" s="111"/>
      <c r="F28" s="2"/>
    </row>
    <row r="29" spans="2:6" ht="15" hidden="1" customHeight="1" x14ac:dyDescent="0.25">
      <c r="B29" s="1"/>
      <c r="C29" s="117" t="s">
        <v>81</v>
      </c>
      <c r="D29" s="111"/>
      <c r="E29" s="111"/>
      <c r="F29" s="2"/>
    </row>
    <row r="30" spans="2:6" ht="15" hidden="1" customHeight="1" x14ac:dyDescent="0.25">
      <c r="B30" s="1"/>
      <c r="C30" s="117" t="s">
        <v>77</v>
      </c>
      <c r="D30" s="111"/>
      <c r="E30" s="111"/>
      <c r="F30" s="2"/>
    </row>
    <row r="31" spans="2:6" ht="15" hidden="1" customHeight="1" x14ac:dyDescent="0.25">
      <c r="B31" s="1"/>
      <c r="C31" s="117" t="s">
        <v>80</v>
      </c>
      <c r="D31" s="111"/>
      <c r="E31" s="111"/>
      <c r="F31" s="2"/>
    </row>
    <row r="32" spans="2:6" ht="15" hidden="1" customHeight="1" x14ac:dyDescent="0.25">
      <c r="B32" s="1"/>
      <c r="C32" s="117" t="s">
        <v>69</v>
      </c>
      <c r="D32" s="111"/>
      <c r="E32" s="111"/>
      <c r="F32" s="2"/>
    </row>
    <row r="33" spans="2:6" ht="15" hidden="1" customHeight="1" x14ac:dyDescent="0.25">
      <c r="B33" s="1"/>
      <c r="C33" s="111"/>
      <c r="D33" s="111"/>
      <c r="E33" s="111"/>
      <c r="F33" s="2"/>
    </row>
    <row r="34" spans="2:6" ht="15" hidden="1" customHeight="1" x14ac:dyDescent="0.25">
      <c r="B34" s="1"/>
      <c r="C34" s="117" t="s">
        <v>82</v>
      </c>
      <c r="D34" s="111"/>
      <c r="E34" s="111"/>
      <c r="F34" s="2"/>
    </row>
    <row r="35" spans="2:6" ht="15" hidden="1" customHeight="1" x14ac:dyDescent="0.25">
      <c r="B35" s="1"/>
      <c r="C35" s="117" t="s">
        <v>83</v>
      </c>
      <c r="D35" s="111"/>
      <c r="E35" s="111"/>
      <c r="F35" s="2"/>
    </row>
    <row r="36" spans="2:6" ht="15" hidden="1" customHeight="1" x14ac:dyDescent="0.25">
      <c r="B36" s="1"/>
      <c r="C36" s="111"/>
      <c r="D36" s="111"/>
      <c r="E36" s="111"/>
      <c r="F36" s="2"/>
    </row>
    <row r="37" spans="2:6" ht="15" hidden="1" customHeight="1" x14ac:dyDescent="0.25">
      <c r="B37" s="1"/>
      <c r="C37" s="128" t="s">
        <v>87</v>
      </c>
      <c r="D37" s="127"/>
      <c r="E37" s="127"/>
      <c r="F37" s="2"/>
    </row>
    <row r="38" spans="2:6" ht="15" hidden="1" customHeight="1" x14ac:dyDescent="0.25">
      <c r="B38" s="1"/>
      <c r="C38" s="127"/>
      <c r="D38" s="127"/>
      <c r="E38" s="127"/>
      <c r="F38" s="2"/>
    </row>
    <row r="39" spans="2:6" ht="15" hidden="1" customHeight="1" x14ac:dyDescent="0.25">
      <c r="B39" s="1"/>
      <c r="C39" s="127"/>
      <c r="D39" s="127"/>
      <c r="E39" s="127"/>
      <c r="F39" s="2"/>
    </row>
    <row r="40" spans="2:6" ht="15" hidden="1" customHeight="1" x14ac:dyDescent="0.25">
      <c r="B40" s="1"/>
      <c r="C40" s="117" t="s">
        <v>70</v>
      </c>
      <c r="D40" s="111"/>
      <c r="E40" s="111"/>
      <c r="F40" s="2"/>
    </row>
    <row r="41" spans="2:6" ht="15" hidden="1" customHeight="1" x14ac:dyDescent="0.25">
      <c r="B41" s="1"/>
      <c r="C41" s="117" t="s">
        <v>72</v>
      </c>
      <c r="D41" s="111"/>
      <c r="E41" s="111"/>
      <c r="F41" s="2"/>
    </row>
    <row r="42" spans="2:6" ht="15" hidden="1" customHeight="1" x14ac:dyDescent="0.25">
      <c r="B42" s="1"/>
      <c r="C42" s="117" t="s">
        <v>73</v>
      </c>
      <c r="D42" s="111"/>
      <c r="E42" s="111"/>
      <c r="F42" s="2"/>
    </row>
    <row r="43" spans="2:6" ht="15" hidden="1" customHeight="1" x14ac:dyDescent="0.25">
      <c r="B43" s="1"/>
      <c r="C43" s="117" t="s">
        <v>74</v>
      </c>
      <c r="D43" s="111"/>
      <c r="E43" s="111"/>
      <c r="F43" s="2"/>
    </row>
    <row r="44" spans="2:6" ht="15" hidden="1" customHeight="1" x14ac:dyDescent="0.25">
      <c r="B44" s="1"/>
      <c r="C44" s="117" t="s">
        <v>75</v>
      </c>
      <c r="D44" s="111"/>
      <c r="E44" s="111"/>
      <c r="F44" s="2"/>
    </row>
    <row r="45" spans="2:6" ht="15" hidden="1" customHeight="1" x14ac:dyDescent="0.25">
      <c r="B45" s="1"/>
      <c r="C45" s="111"/>
      <c r="D45" s="111"/>
      <c r="E45" s="111"/>
      <c r="F45" s="2"/>
    </row>
    <row r="46" spans="2:6" ht="15" hidden="1" customHeight="1" x14ac:dyDescent="0.25">
      <c r="B46" s="1"/>
      <c r="C46" s="128" t="s">
        <v>84</v>
      </c>
      <c r="D46" s="127"/>
      <c r="E46" s="127"/>
      <c r="F46" s="2"/>
    </row>
    <row r="47" spans="2:6" ht="15" hidden="1" customHeight="1" x14ac:dyDescent="0.25">
      <c r="B47" s="1"/>
      <c r="C47" s="127"/>
      <c r="D47" s="127"/>
      <c r="E47" s="127"/>
      <c r="F47" s="2"/>
    </row>
    <row r="48" spans="2:6" ht="15" hidden="1" customHeight="1" x14ac:dyDescent="0.25">
      <c r="B48" s="1"/>
      <c r="C48" s="130"/>
      <c r="D48" s="130"/>
      <c r="E48" s="130"/>
      <c r="F48" s="2"/>
    </row>
    <row r="49" spans="2:6" ht="20.100000000000001" hidden="1" customHeight="1" x14ac:dyDescent="0.25">
      <c r="B49" s="16"/>
      <c r="C49" s="129" t="s">
        <v>53</v>
      </c>
      <c r="D49" s="129"/>
      <c r="E49" s="129"/>
      <c r="F49" s="17"/>
    </row>
    <row r="50" spans="2:6" ht="15" hidden="1" customHeight="1" x14ac:dyDescent="0.25">
      <c r="B50" s="1"/>
      <c r="C50" s="111"/>
      <c r="D50" s="111"/>
      <c r="E50" s="111"/>
      <c r="F50" s="2"/>
    </row>
    <row r="51" spans="2:6" ht="15" hidden="1" customHeight="1" x14ac:dyDescent="0.25">
      <c r="B51" s="1"/>
      <c r="C51" s="128" t="s">
        <v>54</v>
      </c>
      <c r="D51" s="127"/>
      <c r="E51" s="127"/>
      <c r="F51" s="2"/>
    </row>
    <row r="52" spans="2:6" ht="15" hidden="1" customHeight="1" x14ac:dyDescent="0.25">
      <c r="B52" s="1"/>
      <c r="C52" s="127"/>
      <c r="D52" s="127"/>
      <c r="E52" s="127"/>
      <c r="F52" s="2"/>
    </row>
    <row r="53" spans="2:6" ht="15" hidden="1" customHeight="1" x14ac:dyDescent="0.25">
      <c r="B53" s="1"/>
      <c r="C53" s="111" t="s">
        <v>55</v>
      </c>
      <c r="D53" s="111"/>
      <c r="E53" s="111" t="s">
        <v>56</v>
      </c>
      <c r="F53" s="2"/>
    </row>
    <row r="54" spans="2:6" ht="15" hidden="1" customHeight="1" x14ac:dyDescent="0.25">
      <c r="B54" s="1"/>
      <c r="C54" s="109"/>
      <c r="D54" s="111"/>
      <c r="E54" s="109"/>
      <c r="F54" s="2"/>
    </row>
    <row r="55" spans="2:6" ht="15" hidden="1" customHeight="1" x14ac:dyDescent="0.25">
      <c r="B55" s="1"/>
      <c r="C55" s="111"/>
      <c r="D55" s="111"/>
      <c r="E55" s="111"/>
      <c r="F55" s="2"/>
    </row>
    <row r="56" spans="2:6" ht="15" hidden="1" customHeight="1" x14ac:dyDescent="0.25">
      <c r="B56" s="1"/>
      <c r="C56" s="111" t="s">
        <v>57</v>
      </c>
      <c r="D56" s="111"/>
      <c r="E56" s="111" t="s">
        <v>58</v>
      </c>
      <c r="F56" s="2"/>
    </row>
    <row r="57" spans="2:6" ht="15" hidden="1" customHeight="1" x14ac:dyDescent="0.25">
      <c r="B57" s="1"/>
      <c r="C57" s="109"/>
      <c r="D57" s="111"/>
      <c r="E57" s="109"/>
      <c r="F57" s="2"/>
    </row>
    <row r="58" spans="2:6" ht="15" hidden="1" customHeight="1" x14ac:dyDescent="0.25">
      <c r="B58" s="1"/>
      <c r="C58" s="111"/>
      <c r="D58" s="111"/>
      <c r="E58" s="111"/>
      <c r="F58" s="2"/>
    </row>
    <row r="59" spans="2:6" ht="15" hidden="1" customHeight="1" x14ac:dyDescent="0.25">
      <c r="B59" s="1"/>
      <c r="C59" s="111" t="s">
        <v>59</v>
      </c>
      <c r="D59" s="111"/>
      <c r="E59" s="111" t="s">
        <v>60</v>
      </c>
      <c r="F59" s="2"/>
    </row>
    <row r="60" spans="2:6" ht="15" hidden="1" customHeight="1" x14ac:dyDescent="0.25">
      <c r="B60" s="1"/>
      <c r="C60" s="109"/>
      <c r="D60" s="111"/>
      <c r="E60" s="109"/>
      <c r="F60" s="2"/>
    </row>
    <row r="61" spans="2:6" ht="15" hidden="1" customHeight="1" x14ac:dyDescent="0.25">
      <c r="B61" s="1"/>
      <c r="C61" s="111"/>
      <c r="D61" s="111"/>
      <c r="E61" s="111"/>
      <c r="F61" s="2"/>
    </row>
    <row r="62" spans="2:6" ht="15" hidden="1" customHeight="1" x14ac:dyDescent="0.25">
      <c r="B62" s="1"/>
      <c r="C62" s="111" t="s">
        <v>61</v>
      </c>
      <c r="D62" s="111"/>
      <c r="E62" s="111" t="s">
        <v>62</v>
      </c>
      <c r="F62" s="2"/>
    </row>
    <row r="63" spans="2:6" ht="15" hidden="1" customHeight="1" x14ac:dyDescent="0.25">
      <c r="B63" s="1"/>
      <c r="C63" s="109"/>
      <c r="D63" s="111"/>
      <c r="E63" s="109"/>
      <c r="F63" s="2"/>
    </row>
    <row r="64" spans="2:6" ht="15" hidden="1" customHeight="1" x14ac:dyDescent="0.25">
      <c r="B64" s="1"/>
      <c r="C64" s="111"/>
      <c r="D64" s="111"/>
      <c r="E64" s="111"/>
      <c r="F64" s="2"/>
    </row>
    <row r="65" spans="2:6" ht="15" hidden="1" customHeight="1" x14ac:dyDescent="0.25">
      <c r="B65" s="1"/>
      <c r="C65" s="111" t="s">
        <v>63</v>
      </c>
      <c r="D65" s="111"/>
      <c r="E65" s="111" t="s">
        <v>64</v>
      </c>
      <c r="F65" s="2"/>
    </row>
    <row r="66" spans="2:6" ht="15" hidden="1" customHeight="1" x14ac:dyDescent="0.25">
      <c r="B66" s="1"/>
      <c r="C66" s="109"/>
      <c r="D66" s="111"/>
      <c r="E66" s="109"/>
      <c r="F66" s="2"/>
    </row>
    <row r="67" spans="2:6" ht="15" hidden="1" customHeight="1" x14ac:dyDescent="0.25">
      <c r="B67" s="1"/>
      <c r="C67" s="111"/>
      <c r="D67" s="111"/>
      <c r="E67" s="111"/>
      <c r="F67" s="2"/>
    </row>
    <row r="68" spans="2:6" ht="15" hidden="1" customHeight="1" x14ac:dyDescent="0.25">
      <c r="B68" s="1"/>
      <c r="C68" s="111" t="s">
        <v>65</v>
      </c>
      <c r="D68" s="111"/>
      <c r="E68" s="111" t="s">
        <v>66</v>
      </c>
      <c r="F68" s="2"/>
    </row>
    <row r="69" spans="2:6" ht="15" hidden="1" customHeight="1" x14ac:dyDescent="0.25">
      <c r="B69" s="1"/>
      <c r="C69" s="109"/>
      <c r="D69" s="111"/>
      <c r="E69" s="109"/>
      <c r="F69" s="2"/>
    </row>
    <row r="70" spans="2:6" ht="15" hidden="1" customHeight="1" x14ac:dyDescent="0.25">
      <c r="B70" s="1"/>
      <c r="C70" s="111"/>
      <c r="D70" s="111"/>
      <c r="E70" s="111"/>
      <c r="F70" s="2"/>
    </row>
    <row r="71" spans="2:6" ht="15" hidden="1" customHeight="1" x14ac:dyDescent="0.25">
      <c r="B71" s="1"/>
      <c r="C71" s="111" t="s">
        <v>67</v>
      </c>
      <c r="D71" s="111"/>
      <c r="E71" s="111" t="s">
        <v>68</v>
      </c>
      <c r="F71" s="2"/>
    </row>
    <row r="72" spans="2:6" ht="15" hidden="1" customHeight="1" x14ac:dyDescent="0.25">
      <c r="B72" s="1"/>
      <c r="C72" s="109"/>
      <c r="D72" s="111"/>
      <c r="E72" s="109"/>
      <c r="F72" s="2"/>
    </row>
    <row r="73" spans="2:6" ht="15" hidden="1" customHeight="1" x14ac:dyDescent="0.25">
      <c r="B73" s="1"/>
      <c r="C73" s="111"/>
      <c r="D73" s="111"/>
      <c r="E73" s="111"/>
      <c r="F73" s="2"/>
    </row>
    <row r="74" spans="2:6" ht="15" customHeight="1" x14ac:dyDescent="0.25">
      <c r="B74" s="1"/>
      <c r="C74" s="116"/>
      <c r="D74" s="111"/>
      <c r="E74" s="111"/>
      <c r="F74" s="2"/>
    </row>
    <row r="75" spans="2:6" ht="15" customHeight="1" x14ac:dyDescent="0.25">
      <c r="B75" s="1"/>
      <c r="C75" s="111"/>
      <c r="D75" s="111"/>
      <c r="E75" s="111"/>
      <c r="F75" s="2"/>
    </row>
    <row r="76" spans="2:6" ht="15" customHeight="1" x14ac:dyDescent="0.25">
      <c r="B76" s="3"/>
      <c r="C76" s="8">
        <f>R.Instructions.VersionNumber</f>
        <v>3</v>
      </c>
      <c r="D76" s="4"/>
      <c r="E76" s="9">
        <f>R.Instructions.VersionDate</f>
        <v>45693</v>
      </c>
      <c r="F76" s="5"/>
    </row>
    <row r="78" spans="2:6" ht="15" customHeight="1" x14ac:dyDescent="0.25">
      <c r="C78" s="131" t="str">
        <f>IFERROR(VLOOKUP("Incomplete",Developer!H4074:I4087,2,FALSE),"Sheet complete.")</f>
        <v>Sheet complete.</v>
      </c>
      <c r="D78" s="131"/>
      <c r="E78" s="131"/>
    </row>
    <row r="79" spans="2:6" ht="15" customHeight="1" x14ac:dyDescent="0.25">
      <c r="C79" s="131"/>
      <c r="D79" s="131"/>
      <c r="E79" s="131"/>
    </row>
    <row r="80" spans="2:6" ht="15" customHeight="1" x14ac:dyDescent="0.25">
      <c r="C80" s="131"/>
      <c r="D80" s="131"/>
      <c r="E80" s="131"/>
    </row>
  </sheetData>
  <sheetProtection algorithmName="SHA-512" hashValue="wCyTCc8n+So9pSVXsKuKtQ65Dv2q/lTWa7JzTH5pnOHgm4wcbzyv0Ha80QjIPFAbUilfp0EPvIMPjn7UBEpAFw==" saltValue="0DiGOrScxWYWLE4D9zyf9Q==" spinCount="100000" sheet="1" objects="1" scenarios="1" selectLockedCells="1" selectUnlockedCells="1"/>
  <dataConsolidate/>
  <mergeCells count="9">
    <mergeCell ref="C78:E80"/>
    <mergeCell ref="C4:E4"/>
    <mergeCell ref="C49:E49"/>
    <mergeCell ref="C51:E52"/>
    <mergeCell ref="C23:E24"/>
    <mergeCell ref="C46:E48"/>
    <mergeCell ref="C6:E11"/>
    <mergeCell ref="C37:E39"/>
    <mergeCell ref="C21:E21"/>
  </mergeCells>
  <conditionalFormatting sqref="C78">
    <cfRule type="cellIs" dxfId="1"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72A7D-29F4-43C9-AB27-F9E7C439158E}">
  <sheetPr codeName="Sheet6">
    <tabColor rgb="FF046A38"/>
    <pageSetUpPr fitToPage="1"/>
  </sheetPr>
  <dimension ref="B1:F26"/>
  <sheetViews>
    <sheetView showGridLines="0" showRowColHeaders="0" zoomScaleNormal="100" workbookViewId="0">
      <selection activeCell="C2" sqref="C2"/>
    </sheetView>
  </sheetViews>
  <sheetFormatPr defaultColWidth="8.710937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2"/>
      <c r="C4" s="125" t="s">
        <v>47</v>
      </c>
      <c r="D4" s="125"/>
      <c r="E4" s="125"/>
      <c r="F4" s="13"/>
    </row>
    <row r="5" spans="2:6" ht="20.100000000000001" customHeight="1" x14ac:dyDescent="0.25">
      <c r="B5" s="16"/>
      <c r="C5" s="129" t="s">
        <v>89</v>
      </c>
      <c r="D5" s="129"/>
      <c r="E5" s="129"/>
      <c r="F5" s="17"/>
    </row>
    <row r="6" spans="2:6" ht="15" customHeight="1" x14ac:dyDescent="0.25">
      <c r="B6" s="1"/>
      <c r="C6" s="111"/>
      <c r="D6" s="111"/>
      <c r="E6" s="111"/>
      <c r="F6" s="2"/>
    </row>
    <row r="7" spans="2:6" ht="15" customHeight="1" x14ac:dyDescent="0.25">
      <c r="B7" s="1"/>
      <c r="C7" s="111" t="s">
        <v>86</v>
      </c>
      <c r="D7" s="111"/>
      <c r="E7" s="111"/>
      <c r="F7" s="2"/>
    </row>
    <row r="8" spans="2:6" ht="15" customHeight="1" x14ac:dyDescent="0.35">
      <c r="B8" s="1"/>
      <c r="C8" s="19">
        <f>R.Compliance.Obligation</f>
        <v>0</v>
      </c>
      <c r="D8" s="111" t="s">
        <v>38</v>
      </c>
      <c r="E8" s="111"/>
      <c r="F8" s="2"/>
    </row>
    <row r="9" spans="2:6" ht="15" customHeight="1" x14ac:dyDescent="0.25">
      <c r="B9" s="1"/>
      <c r="C9" s="111"/>
      <c r="D9" s="111"/>
      <c r="E9" s="111"/>
      <c r="F9" s="2"/>
    </row>
    <row r="10" spans="2:6" ht="20.100000000000001" customHeight="1" x14ac:dyDescent="0.25">
      <c r="B10" s="16"/>
      <c r="C10" s="129" t="s">
        <v>51</v>
      </c>
      <c r="D10" s="129"/>
      <c r="E10" s="129"/>
      <c r="F10" s="17"/>
    </row>
    <row r="11" spans="2:6" ht="15" customHeight="1" x14ac:dyDescent="0.25">
      <c r="B11" s="1"/>
      <c r="C11" s="111"/>
      <c r="D11" s="111"/>
      <c r="E11" s="111"/>
      <c r="F11" s="2"/>
    </row>
    <row r="12" spans="2:6" ht="15" customHeight="1" x14ac:dyDescent="0.25">
      <c r="B12" s="1"/>
      <c r="C12" s="111" t="s">
        <v>48</v>
      </c>
      <c r="D12" s="111"/>
      <c r="E12" s="111"/>
      <c r="F12" s="2"/>
    </row>
    <row r="13" spans="2:6" ht="15" customHeight="1" x14ac:dyDescent="0.35">
      <c r="B13" s="1"/>
      <c r="C13" s="19">
        <f>I.Compliance.FulfilledPerformance</f>
        <v>0</v>
      </c>
      <c r="D13" s="111" t="s">
        <v>38</v>
      </c>
      <c r="E13" s="111"/>
      <c r="F13" s="2"/>
    </row>
    <row r="14" spans="2:6" ht="15" customHeight="1" x14ac:dyDescent="0.25">
      <c r="B14" s="1"/>
      <c r="C14" s="111"/>
      <c r="D14" s="111"/>
      <c r="E14" s="111"/>
      <c r="F14" s="2"/>
    </row>
    <row r="15" spans="2:6" ht="15" customHeight="1" x14ac:dyDescent="0.25">
      <c r="B15" s="1"/>
      <c r="C15" s="111" t="s">
        <v>49</v>
      </c>
      <c r="D15" s="111"/>
      <c r="E15" s="111"/>
      <c r="F15" s="2"/>
    </row>
    <row r="16" spans="2:6" ht="15" customHeight="1" x14ac:dyDescent="0.35">
      <c r="B16" s="1"/>
      <c r="C16" s="19">
        <f>I.Compliance.FulfilledCCUS</f>
        <v>0</v>
      </c>
      <c r="D16" s="111" t="s">
        <v>38</v>
      </c>
      <c r="E16" s="111"/>
      <c r="F16" s="2"/>
    </row>
    <row r="17" spans="2:6" ht="15" customHeight="1" x14ac:dyDescent="0.25">
      <c r="B17" s="1"/>
      <c r="C17" s="111"/>
      <c r="D17" s="111"/>
      <c r="E17" s="111"/>
      <c r="F17" s="2"/>
    </row>
    <row r="18" spans="2:6" ht="15" customHeight="1" x14ac:dyDescent="0.25">
      <c r="B18" s="1"/>
      <c r="C18" s="111" t="s">
        <v>88</v>
      </c>
      <c r="D18" s="111"/>
      <c r="E18" s="111"/>
      <c r="F18" s="2"/>
    </row>
    <row r="19" spans="2:6" ht="15" customHeight="1" x14ac:dyDescent="0.35">
      <c r="B19" s="1"/>
      <c r="C19" s="19">
        <f>R.Compliance.FulfilledPayment</f>
        <v>0</v>
      </c>
      <c r="D19" s="111" t="s">
        <v>38</v>
      </c>
      <c r="E19" s="111"/>
      <c r="F19" s="2"/>
    </row>
    <row r="20" spans="2:6" ht="15" customHeight="1" x14ac:dyDescent="0.25">
      <c r="B20" s="1"/>
      <c r="C20" s="111"/>
      <c r="D20" s="111"/>
      <c r="E20" s="111"/>
      <c r="F20" s="2"/>
    </row>
    <row r="21" spans="2:6" ht="20.100000000000001" customHeight="1" x14ac:dyDescent="0.25">
      <c r="B21" s="16"/>
      <c r="C21" s="129" t="s">
        <v>4316</v>
      </c>
      <c r="D21" s="129"/>
      <c r="E21" s="129"/>
      <c r="F21" s="17"/>
    </row>
    <row r="22" spans="2:6" ht="15" customHeight="1" x14ac:dyDescent="0.25">
      <c r="B22" s="1"/>
      <c r="C22" s="111"/>
      <c r="D22" s="111"/>
      <c r="E22" s="111"/>
      <c r="F22" s="2"/>
    </row>
    <row r="23" spans="2:6" ht="15" customHeight="1" x14ac:dyDescent="0.25">
      <c r="B23" s="1"/>
      <c r="C23" s="111" t="s">
        <v>33</v>
      </c>
      <c r="D23" s="111"/>
      <c r="E23" s="111"/>
      <c r="F23" s="2"/>
    </row>
    <row r="24" spans="2:6" ht="15" customHeight="1" x14ac:dyDescent="0.25">
      <c r="B24" s="1"/>
      <c r="C24" s="81" t="str">
        <f>R.Payment.AmountDue</f>
        <v/>
      </c>
      <c r="D24" s="111"/>
      <c r="E24" s="111"/>
      <c r="F24" s="2"/>
    </row>
    <row r="25" spans="2:6" ht="15" customHeight="1" x14ac:dyDescent="0.25">
      <c r="B25" s="1"/>
      <c r="C25" s="111"/>
      <c r="D25" s="111"/>
      <c r="E25" s="111"/>
      <c r="F25" s="2"/>
    </row>
    <row r="26" spans="2:6" ht="15" customHeight="1" x14ac:dyDescent="0.25">
      <c r="B26" s="3"/>
      <c r="C26" s="8">
        <f>R.Instructions.VersionNumber</f>
        <v>3</v>
      </c>
      <c r="D26" s="4"/>
      <c r="E26" s="9">
        <f>R.Instructions.VersionDate</f>
        <v>45693</v>
      </c>
      <c r="F26" s="5"/>
    </row>
  </sheetData>
  <sheetProtection algorithmName="SHA-512" hashValue="S0QFYYf/iOJ/ktWDpYaYcRn1+ZPA0W1CDfl9qVjF5inn+akdaxz222ZxfB05tQl6Tw3kJQolRGNJAfCHFMvrSA==" saltValue="EsErCcOWfXer7iK9kd3J2w==" spinCount="100000" sheet="1" objects="1" scenarios="1" selectLockedCells="1" selectUnlockedCells="1"/>
  <mergeCells count="4">
    <mergeCell ref="C21:E21"/>
    <mergeCell ref="C4:E4"/>
    <mergeCell ref="C5:E5"/>
    <mergeCell ref="C10:E10"/>
  </mergeCells>
  <printOptions horizontalCentered="1"/>
  <pageMargins left="0.25" right="0.25" top="0.25" bottom="0.25" header="0" footer="0"/>
  <pageSetup scale="85" fitToHeight="0"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F306D-6EFC-45DC-8BBF-BDC3B4BCF9B7}">
  <sheetPr codeName="Sheet7">
    <tabColor rgb="FF046A38"/>
    <pageSetUpPr fitToPage="1"/>
  </sheetPr>
  <dimension ref="B1:G38"/>
  <sheetViews>
    <sheetView showGridLines="0" showRowColHeaders="0" zoomScaleNormal="100" workbookViewId="0">
      <selection activeCell="D9" sqref="D9"/>
    </sheetView>
  </sheetViews>
  <sheetFormatPr defaultRowHeight="15" customHeight="1" x14ac:dyDescent="0.25"/>
  <cols>
    <col min="1" max="2" width="5.7109375" customWidth="1"/>
    <col min="3" max="3" width="2.28515625" customWidth="1"/>
    <col min="4" max="4" width="48.4257812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32" t="s">
        <v>11</v>
      </c>
      <c r="D4" s="132"/>
      <c r="E4" s="132"/>
      <c r="F4" s="132"/>
      <c r="G4" s="7"/>
    </row>
    <row r="5" spans="2:7" ht="15" customHeight="1" x14ac:dyDescent="0.25">
      <c r="B5" s="1"/>
      <c r="C5" s="111"/>
      <c r="D5" s="111"/>
      <c r="E5" s="111"/>
      <c r="F5" s="111"/>
      <c r="G5" s="2"/>
    </row>
    <row r="6" spans="2:7" ht="15" customHeight="1" x14ac:dyDescent="0.25">
      <c r="B6" s="1"/>
      <c r="C6" s="111" t="s">
        <v>9</v>
      </c>
      <c r="D6" s="111"/>
      <c r="E6" s="111"/>
      <c r="F6" s="111"/>
      <c r="G6" s="2"/>
    </row>
    <row r="7" spans="2:7" ht="15" customHeight="1" x14ac:dyDescent="0.25">
      <c r="B7" s="1"/>
      <c r="C7" s="150" t="str">
        <f>IF(I.Compliance.EmitterName="","",I.Compliance.EmitterName)</f>
        <v/>
      </c>
      <c r="D7" s="151"/>
      <c r="E7" s="111"/>
      <c r="F7" s="111"/>
      <c r="G7" s="2"/>
    </row>
    <row r="8" spans="2:7" ht="15" customHeight="1" x14ac:dyDescent="0.25">
      <c r="B8" s="1"/>
      <c r="C8" s="111"/>
      <c r="D8" s="111"/>
      <c r="E8" s="111"/>
      <c r="F8" s="111"/>
      <c r="G8" s="2"/>
    </row>
    <row r="9" spans="2:7" ht="15" customHeight="1" x14ac:dyDescent="0.25">
      <c r="B9" s="1"/>
      <c r="C9" s="111" t="s">
        <v>12</v>
      </c>
      <c r="D9" s="10"/>
      <c r="E9" s="127" t="s">
        <v>4272</v>
      </c>
      <c r="F9" s="127"/>
      <c r="G9" s="2"/>
    </row>
    <row r="10" spans="2:7" ht="15" customHeight="1" x14ac:dyDescent="0.25">
      <c r="B10" s="1"/>
      <c r="C10" s="127" t="s">
        <v>4315</v>
      </c>
      <c r="D10" s="127"/>
      <c r="E10" s="127"/>
      <c r="F10" s="127"/>
      <c r="G10" s="2"/>
    </row>
    <row r="11" spans="2:7" ht="15" customHeight="1" x14ac:dyDescent="0.25">
      <c r="B11" s="1"/>
      <c r="C11" s="127"/>
      <c r="D11" s="127"/>
      <c r="E11" s="127"/>
      <c r="F11" s="127"/>
      <c r="G11" s="2"/>
    </row>
    <row r="12" spans="2:7" ht="15" customHeight="1" x14ac:dyDescent="0.25">
      <c r="B12" s="1"/>
      <c r="C12" s="127"/>
      <c r="D12" s="127"/>
      <c r="E12" s="127"/>
      <c r="F12" s="127"/>
      <c r="G12" s="2"/>
    </row>
    <row r="13" spans="2:7" ht="15" customHeight="1" x14ac:dyDescent="0.25">
      <c r="B13" s="1"/>
      <c r="C13" s="127"/>
      <c r="D13" s="127"/>
      <c r="E13" s="127"/>
      <c r="F13" s="127"/>
      <c r="G13" s="2"/>
    </row>
    <row r="14" spans="2:7" ht="15" customHeight="1" x14ac:dyDescent="0.25">
      <c r="B14" s="1"/>
      <c r="C14" s="127"/>
      <c r="D14" s="127"/>
      <c r="E14" s="127"/>
      <c r="F14" s="127"/>
      <c r="G14" s="2"/>
    </row>
    <row r="15" spans="2:7" ht="15" customHeight="1" x14ac:dyDescent="0.25">
      <c r="B15" s="1"/>
      <c r="C15" s="127"/>
      <c r="D15" s="127"/>
      <c r="E15" s="127"/>
      <c r="F15" s="127"/>
      <c r="G15" s="2"/>
    </row>
    <row r="16" spans="2:7" ht="15" customHeight="1" x14ac:dyDescent="0.25">
      <c r="B16" s="1"/>
      <c r="C16" s="128" t="s">
        <v>4273</v>
      </c>
      <c r="D16" s="127"/>
      <c r="E16" s="127"/>
      <c r="F16" s="127"/>
      <c r="G16" s="2"/>
    </row>
    <row r="17" spans="2:7" ht="15" customHeight="1" x14ac:dyDescent="0.25">
      <c r="B17" s="1"/>
      <c r="C17" s="127"/>
      <c r="D17" s="127"/>
      <c r="E17" s="127"/>
      <c r="F17" s="127"/>
      <c r="G17" s="2"/>
    </row>
    <row r="18" spans="2:7" ht="15" customHeight="1" x14ac:dyDescent="0.25">
      <c r="B18" s="1"/>
      <c r="C18" s="127"/>
      <c r="D18" s="127"/>
      <c r="E18" s="127"/>
      <c r="F18" s="127"/>
      <c r="G18" s="2"/>
    </row>
    <row r="19" spans="2:7" ht="15" customHeight="1" x14ac:dyDescent="0.25">
      <c r="B19" s="1"/>
      <c r="C19" s="127"/>
      <c r="D19" s="127"/>
      <c r="E19" s="127"/>
      <c r="F19" s="127"/>
      <c r="G19" s="2"/>
    </row>
    <row r="20" spans="2:7" ht="15" customHeight="1" x14ac:dyDescent="0.25">
      <c r="B20" s="1"/>
      <c r="C20" s="111"/>
      <c r="D20" s="111"/>
      <c r="E20" s="111"/>
      <c r="F20" s="111"/>
      <c r="G20" s="2"/>
    </row>
    <row r="21" spans="2:7" ht="15" customHeight="1" x14ac:dyDescent="0.25">
      <c r="B21" s="1"/>
      <c r="C21" s="111"/>
      <c r="D21" s="111"/>
      <c r="E21" s="111"/>
      <c r="F21" s="111"/>
      <c r="G21" s="2"/>
    </row>
    <row r="22" spans="2:7" ht="15" customHeight="1" x14ac:dyDescent="0.25">
      <c r="B22" s="1"/>
      <c r="C22" s="111"/>
      <c r="D22" s="111"/>
      <c r="E22" s="111"/>
      <c r="F22" s="111"/>
      <c r="G22" s="2"/>
    </row>
    <row r="23" spans="2:7" ht="15" customHeight="1" x14ac:dyDescent="0.25">
      <c r="B23" s="1"/>
      <c r="C23" s="111"/>
      <c r="D23" s="111"/>
      <c r="E23" s="111"/>
      <c r="F23" s="111"/>
      <c r="G23" s="2"/>
    </row>
    <row r="24" spans="2:7" ht="15" customHeight="1" x14ac:dyDescent="0.25">
      <c r="B24" s="1"/>
      <c r="C24" s="111"/>
      <c r="D24" s="111"/>
      <c r="E24" s="111"/>
      <c r="F24" s="111"/>
      <c r="G24" s="2"/>
    </row>
    <row r="25" spans="2:7" ht="15" customHeight="1" x14ac:dyDescent="0.25">
      <c r="B25" s="1"/>
      <c r="C25" s="144"/>
      <c r="D25" s="145"/>
      <c r="E25" s="111"/>
      <c r="F25" s="111"/>
      <c r="G25" s="2"/>
    </row>
    <row r="26" spans="2:7" ht="15" customHeight="1" x14ac:dyDescent="0.25">
      <c r="B26" s="1"/>
      <c r="C26" s="146"/>
      <c r="D26" s="147"/>
      <c r="E26" s="111"/>
      <c r="F26" s="111"/>
      <c r="G26" s="2"/>
    </row>
    <row r="27" spans="2:7" ht="15" customHeight="1" x14ac:dyDescent="0.25">
      <c r="B27" s="1"/>
      <c r="C27" s="146"/>
      <c r="D27" s="147"/>
      <c r="E27" s="111"/>
      <c r="F27" s="111"/>
      <c r="G27" s="2"/>
    </row>
    <row r="28" spans="2:7" ht="15" customHeight="1" x14ac:dyDescent="0.25">
      <c r="B28" s="1"/>
      <c r="C28" s="148"/>
      <c r="D28" s="149"/>
      <c r="E28" s="111"/>
      <c r="F28" s="11"/>
      <c r="G28" s="2"/>
    </row>
    <row r="29" spans="2:7" ht="15" customHeight="1" x14ac:dyDescent="0.25">
      <c r="B29" s="1"/>
      <c r="C29" s="111" t="s">
        <v>13</v>
      </c>
      <c r="D29" s="111"/>
      <c r="E29" s="111"/>
      <c r="F29" s="111" t="s">
        <v>4309</v>
      </c>
      <c r="G29" s="2"/>
    </row>
    <row r="30" spans="2:7" ht="15" customHeight="1" x14ac:dyDescent="0.25">
      <c r="B30" s="1"/>
      <c r="C30" s="111"/>
      <c r="D30" s="111"/>
      <c r="E30" s="111"/>
      <c r="F30" s="111"/>
      <c r="G30" s="2"/>
    </row>
    <row r="31" spans="2:7" ht="15" customHeight="1" x14ac:dyDescent="0.25">
      <c r="B31" s="1"/>
      <c r="C31" s="138"/>
      <c r="D31" s="138"/>
      <c r="E31" s="111"/>
      <c r="F31" s="111"/>
      <c r="G31" s="2"/>
    </row>
    <row r="32" spans="2:7" ht="15" customHeight="1" x14ac:dyDescent="0.25">
      <c r="B32" s="1"/>
      <c r="C32" s="111"/>
      <c r="D32" s="111"/>
      <c r="E32" s="111"/>
      <c r="F32" s="111"/>
      <c r="G32" s="2"/>
    </row>
    <row r="33" spans="2:7" ht="15" customHeight="1" x14ac:dyDescent="0.25">
      <c r="B33" s="1"/>
      <c r="C33" s="152" t="s">
        <v>94</v>
      </c>
      <c r="D33" s="152"/>
      <c r="E33" s="111"/>
      <c r="F33" s="111"/>
      <c r="G33" s="2"/>
    </row>
    <row r="34" spans="2:7" ht="15" customHeight="1" x14ac:dyDescent="0.25">
      <c r="B34" s="3"/>
      <c r="C34" s="137">
        <f>R.Instructions.VersionNumber</f>
        <v>3</v>
      </c>
      <c r="D34" s="137"/>
      <c r="E34" s="4"/>
      <c r="F34" s="9">
        <f>R.Instructions.VersionDate</f>
        <v>45693</v>
      </c>
      <c r="G34" s="5"/>
    </row>
    <row r="36" spans="2:7" ht="15" customHeight="1" x14ac:dyDescent="0.25">
      <c r="C36" s="131" t="str">
        <f>IFERROR(VLOOKUP("Incomplete",Developer!H4088:I4089,2,FALSE),"Sheet complete.")</f>
        <v>Enter the name of the authorized signing officer.</v>
      </c>
      <c r="D36" s="131"/>
      <c r="E36" s="131"/>
      <c r="F36" s="131"/>
    </row>
    <row r="37" spans="2:7" ht="15" customHeight="1" x14ac:dyDescent="0.25">
      <c r="C37" s="131"/>
      <c r="D37" s="131"/>
      <c r="E37" s="131"/>
      <c r="F37" s="131"/>
    </row>
    <row r="38" spans="2:7" ht="15" customHeight="1" x14ac:dyDescent="0.25">
      <c r="C38" s="131"/>
      <c r="D38" s="131"/>
      <c r="E38" s="131"/>
      <c r="F38" s="131"/>
    </row>
  </sheetData>
  <sheetProtection algorithmName="SHA-512" hashValue="Xf79lCaOYlA+WSWovssbt55deFbSCOM0dxTei/FgMzHdVwcTcNhcFNKHCLam/m+22rYCMIYh2YPD3Hzj+wb+cw==" saltValue="1byU+LFXS5PoHyDsqBs2QA==" spinCount="100000" sheet="1" objects="1" scenarios="1" selectLockedCells="1"/>
  <mergeCells count="10">
    <mergeCell ref="C34:D34"/>
    <mergeCell ref="C36:F38"/>
    <mergeCell ref="C25:D28"/>
    <mergeCell ref="C4:F4"/>
    <mergeCell ref="C7:D7"/>
    <mergeCell ref="C10:F15"/>
    <mergeCell ref="C16:F19"/>
    <mergeCell ref="C31:D31"/>
    <mergeCell ref="E9:F9"/>
    <mergeCell ref="C33:D33"/>
  </mergeCells>
  <conditionalFormatting sqref="C36">
    <cfRule type="cellIs" dxfId="0" priority="1" stopIfTrue="1" operator="equal">
      <formula>"Sheet complete."</formula>
    </cfRule>
  </conditionalFormatting>
  <dataValidations xWindow="670" yWindow="797" count="1">
    <dataValidation type="date" allowBlank="1" showInputMessage="1" showErrorMessage="1" errorTitle="Declaration" error="The date of signature cannot be before this form was published and must be in the format: yyyy-mm-dd." prompt="yyyy-mm-dd" sqref="F28" xr:uid="{D43A9626-EFE5-4C6B-AD6B-626380524C30}">
      <formula1>R.Instructions.VersionDate</formula1>
      <formula2>2958465</formula2>
    </dataValidation>
  </dataValidations>
  <printOptions horizontalCentered="1"/>
  <pageMargins left="0.25" right="0.25" top="0.25" bottom="0.25" header="0" footer="0"/>
  <pageSetup scale="81"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PrintForm">
                <anchor moveWithCells="1" sizeWithCells="1">
                  <from>
                    <xdr:col>2</xdr:col>
                    <xdr:colOff>0</xdr:colOff>
                    <xdr:row>19</xdr:row>
                    <xdr:rowOff>0</xdr:rowOff>
                  </from>
                  <to>
                    <xdr:col>3</xdr:col>
                    <xdr:colOff>1400175</xdr:colOff>
                    <xdr:row>23</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B81A7-73DA-4C61-BEC9-B8BBD6805C76}">
  <sheetPr codeName="Sheet8">
    <tabColor rgb="FF2C3136"/>
  </sheetPr>
  <dimension ref="A1:T4089"/>
  <sheetViews>
    <sheetView showGridLines="0" showRowColHeaders="0" zoomScaleNormal="100" workbookViewId="0"/>
  </sheetViews>
  <sheetFormatPr defaultRowHeight="15" customHeight="1" x14ac:dyDescent="0.25"/>
  <cols>
    <col min="1" max="1" width="5.5703125" customWidth="1"/>
    <col min="2" max="2" width="30.7109375" customWidth="1"/>
    <col min="3" max="3" width="10.7109375" customWidth="1"/>
    <col min="4" max="4" width="30.7109375" customWidth="1"/>
    <col min="5" max="8" width="20.7109375" customWidth="1"/>
    <col min="9" max="9" width="30.7109375" customWidth="1"/>
    <col min="10" max="10" width="5.5703125" customWidth="1"/>
    <col min="11" max="12" width="30.7109375" customWidth="1"/>
    <col min="13" max="13" width="5.5703125" customWidth="1"/>
    <col min="14" max="15" width="30.7109375" customWidth="1"/>
    <col min="16" max="17" width="20.7109375" customWidth="1"/>
    <col min="18" max="18" width="5.5703125" customWidth="1"/>
    <col min="19" max="20" width="10.7109375" customWidth="1"/>
  </cols>
  <sheetData>
    <row r="1" spans="1:20" ht="15" customHeight="1" x14ac:dyDescent="0.25">
      <c r="A1" s="20"/>
      <c r="B1" s="21"/>
      <c r="C1" s="21"/>
      <c r="D1" s="21"/>
      <c r="E1" s="21"/>
      <c r="F1" s="21"/>
      <c r="G1" s="21"/>
      <c r="H1" s="21"/>
      <c r="I1" s="21"/>
      <c r="J1" s="22"/>
      <c r="K1" s="22"/>
      <c r="L1" s="22"/>
      <c r="M1" s="21"/>
      <c r="N1" s="22"/>
      <c r="O1" s="22"/>
      <c r="P1" s="22"/>
      <c r="Q1" s="22"/>
      <c r="R1" s="22"/>
      <c r="S1" s="22"/>
      <c r="T1" s="22"/>
    </row>
    <row r="2" spans="1:20" ht="15" customHeight="1" x14ac:dyDescent="0.25">
      <c r="A2" s="20"/>
      <c r="B2" s="23" t="s">
        <v>14</v>
      </c>
      <c r="C2" s="23"/>
      <c r="D2" s="23"/>
      <c r="E2" s="24"/>
      <c r="F2" s="24"/>
      <c r="G2" s="24"/>
      <c r="H2" s="24"/>
      <c r="I2" s="24"/>
      <c r="J2" s="24"/>
      <c r="K2" s="23" t="s">
        <v>15</v>
      </c>
      <c r="L2" s="23"/>
      <c r="M2" s="24"/>
      <c r="N2" s="23" t="s">
        <v>16</v>
      </c>
      <c r="O2" s="23"/>
      <c r="P2" s="24"/>
      <c r="Q2" s="24"/>
      <c r="R2" s="24"/>
      <c r="S2" s="23" t="s">
        <v>17</v>
      </c>
      <c r="T2" s="24"/>
    </row>
    <row r="3" spans="1:20" ht="15" customHeight="1" x14ac:dyDescent="0.25">
      <c r="A3" s="20"/>
      <c r="B3" s="25" t="s">
        <v>18</v>
      </c>
      <c r="C3" s="25" t="s">
        <v>19</v>
      </c>
      <c r="D3" s="25" t="s">
        <v>20</v>
      </c>
      <c r="E3" s="25" t="s">
        <v>21</v>
      </c>
      <c r="F3" s="25" t="s">
        <v>22</v>
      </c>
      <c r="G3" s="25" t="s">
        <v>23</v>
      </c>
      <c r="H3" s="25" t="s">
        <v>24</v>
      </c>
      <c r="I3" s="26" t="s">
        <v>25</v>
      </c>
      <c r="J3" s="24"/>
      <c r="K3" s="27" t="s">
        <v>26</v>
      </c>
      <c r="L3" s="28" t="s">
        <v>20</v>
      </c>
      <c r="M3" s="24"/>
      <c r="N3" s="29" t="s">
        <v>27</v>
      </c>
      <c r="O3" s="25" t="s">
        <v>20</v>
      </c>
      <c r="P3" s="25" t="s">
        <v>22</v>
      </c>
      <c r="Q3" s="26" t="s">
        <v>23</v>
      </c>
      <c r="R3" s="24"/>
      <c r="S3" s="29" t="s">
        <v>28</v>
      </c>
      <c r="T3" s="26" t="s">
        <v>29</v>
      </c>
    </row>
    <row r="4" spans="1:20" ht="15" customHeight="1" x14ac:dyDescent="0.25">
      <c r="B4" s="30" t="s">
        <v>212</v>
      </c>
      <c r="C4" s="31">
        <v>1</v>
      </c>
      <c r="D4" s="32" t="s">
        <v>216</v>
      </c>
      <c r="E4" s="33"/>
      <c r="F4" s="31" t="str">
        <f>IF(INDEX(I.Compliance.EmitterName,1)="","",INDEX(I.Compliance.EmitterName,1))</f>
        <v/>
      </c>
      <c r="G4" s="33"/>
      <c r="H4" s="31" t="str">
        <f>IF(I.Compliance.EmitterName="","Incomplete","Complete")</f>
        <v>Incomplete</v>
      </c>
      <c r="I4" s="34" t="s">
        <v>129</v>
      </c>
      <c r="K4" s="92" t="s">
        <v>4310</v>
      </c>
      <c r="L4" s="93" t="s">
        <v>4311</v>
      </c>
      <c r="N4" s="30" t="s">
        <v>30</v>
      </c>
      <c r="O4" s="32" t="s">
        <v>4322</v>
      </c>
      <c r="P4" s="105"/>
      <c r="Q4" s="34"/>
      <c r="S4" s="35">
        <v>2019</v>
      </c>
      <c r="T4" s="97">
        <v>20</v>
      </c>
    </row>
    <row r="5" spans="1:20" ht="15" customHeight="1" x14ac:dyDescent="0.25">
      <c r="B5" s="36" t="s">
        <v>245</v>
      </c>
      <c r="C5" s="24">
        <v>1</v>
      </c>
      <c r="D5" s="37" t="s">
        <v>217</v>
      </c>
      <c r="E5" s="38"/>
      <c r="F5" s="38" t="str">
        <f>IF(INDEX(I.Compliance.Year,1)="","",INDEX(I.Compliance.Year,1))</f>
        <v/>
      </c>
      <c r="G5" s="38"/>
      <c r="H5" s="24" t="str">
        <f>IF(I.Compliance.Year="","Incomplete","Complete")</f>
        <v>Incomplete</v>
      </c>
      <c r="I5" s="39" t="s">
        <v>130</v>
      </c>
      <c r="K5" s="94" t="s">
        <v>206</v>
      </c>
      <c r="L5" s="95" t="s">
        <v>4331</v>
      </c>
      <c r="N5" s="36" t="s">
        <v>31</v>
      </c>
      <c r="O5" s="37" t="s">
        <v>4323</v>
      </c>
      <c r="P5" s="100">
        <f>IF(R.Instructions.VersionNumber="","",R.Instructions.VersionNumber)</f>
        <v>3</v>
      </c>
      <c r="Q5" s="118"/>
      <c r="S5" s="41">
        <v>2020</v>
      </c>
      <c r="T5" s="98">
        <v>30</v>
      </c>
    </row>
    <row r="6" spans="1:20" ht="15" customHeight="1" x14ac:dyDescent="0.25">
      <c r="B6" s="40" t="s">
        <v>213</v>
      </c>
      <c r="C6" s="42">
        <v>1</v>
      </c>
      <c r="D6" s="43" t="s">
        <v>218</v>
      </c>
      <c r="E6" s="44">
        <v>1</v>
      </c>
      <c r="F6" s="44">
        <f>IF(INDEX(I.Compliance.FacilityCount,1)="","",INDEX(I.Compliance.FacilityCount,1))</f>
        <v>1</v>
      </c>
      <c r="G6" s="44"/>
      <c r="H6" s="42" t="str">
        <f>IF(I.Compliance.FacilityCount="","Incomplete","Complete")</f>
        <v>Complete</v>
      </c>
      <c r="I6" s="45" t="s">
        <v>131</v>
      </c>
      <c r="K6" s="94" t="s">
        <v>207</v>
      </c>
      <c r="L6" s="95" t="s">
        <v>4332</v>
      </c>
      <c r="N6" s="94" t="s">
        <v>32</v>
      </c>
      <c r="O6" s="96" t="s">
        <v>4324</v>
      </c>
      <c r="P6" s="101">
        <f>IF(R.Instructions.VersionDate="","",R.Instructions.VersionDate)</f>
        <v>45693</v>
      </c>
      <c r="Q6" s="119"/>
      <c r="S6" s="41">
        <v>2021</v>
      </c>
      <c r="T6" s="98">
        <v>40</v>
      </c>
    </row>
    <row r="7" spans="1:20" ht="15" customHeight="1" x14ac:dyDescent="0.25">
      <c r="B7" s="36" t="s">
        <v>214</v>
      </c>
      <c r="C7" s="24">
        <v>1</v>
      </c>
      <c r="D7" s="37" t="s">
        <v>219</v>
      </c>
      <c r="E7" s="47"/>
      <c r="F7" s="24" t="str">
        <f>IF(INDEX(I.Compliance.FacilityName,1)="","",INDEX(I.Compliance.FacilityName,1))</f>
        <v/>
      </c>
      <c r="G7" s="47"/>
      <c r="H7" s="24" t="str">
        <f>IF(AND(I.Compliance.FacilityCount&gt;=1,F7=""),"Incomplete","Complete")</f>
        <v>Incomplete</v>
      </c>
      <c r="I7" s="39" t="s">
        <v>132</v>
      </c>
      <c r="K7" s="36" t="s">
        <v>249</v>
      </c>
      <c r="L7" s="46" t="s">
        <v>250</v>
      </c>
      <c r="N7" s="36" t="s">
        <v>234</v>
      </c>
      <c r="O7" s="37" t="s">
        <v>4294</v>
      </c>
      <c r="P7" s="105"/>
      <c r="Q7" s="34"/>
      <c r="S7" s="41">
        <v>2022</v>
      </c>
      <c r="T7" s="98">
        <v>50</v>
      </c>
    </row>
    <row r="8" spans="1:20" ht="15" customHeight="1" x14ac:dyDescent="0.25">
      <c r="B8" s="51" t="s">
        <v>214</v>
      </c>
      <c r="C8" s="52">
        <v>2</v>
      </c>
      <c r="D8" s="53" t="s">
        <v>219</v>
      </c>
      <c r="E8" s="54"/>
      <c r="F8" s="52" t="str">
        <f>IF(INDEX(I.Compliance.FacilityName,2)="","",INDEX(I.Compliance.FacilityName,2))</f>
        <v/>
      </c>
      <c r="G8" s="54"/>
      <c r="H8" s="52" t="str">
        <f>IF(AND(I.Compliance.FacilityCount&gt;=2,F8=""),"Incomplete","Complete")</f>
        <v>Complete</v>
      </c>
      <c r="I8" s="55" t="s">
        <v>133</v>
      </c>
      <c r="K8" s="94" t="s">
        <v>251</v>
      </c>
      <c r="L8" s="95" t="s">
        <v>252</v>
      </c>
      <c r="N8" s="36" t="s">
        <v>4295</v>
      </c>
      <c r="O8" s="37" t="s">
        <v>4296</v>
      </c>
      <c r="P8" s="103"/>
      <c r="Q8" s="39"/>
      <c r="S8" s="41">
        <v>2023</v>
      </c>
      <c r="T8" s="98">
        <v>65</v>
      </c>
    </row>
    <row r="9" spans="1:20" ht="15" customHeight="1" x14ac:dyDescent="0.25">
      <c r="B9" s="51" t="s">
        <v>214</v>
      </c>
      <c r="C9" s="52">
        <v>3</v>
      </c>
      <c r="D9" s="53" t="s">
        <v>219</v>
      </c>
      <c r="E9" s="54"/>
      <c r="F9" s="52" t="str">
        <f>IF(INDEX(I.Compliance.FacilityName,3)="","",INDEX(I.Compliance.FacilityName,3))</f>
        <v/>
      </c>
      <c r="G9" s="54"/>
      <c r="H9" s="52" t="str">
        <f>IF(AND(I.Compliance.FacilityCount&gt;=3,F9=""),"Incomplete","Complete")</f>
        <v>Complete</v>
      </c>
      <c r="I9" s="55" t="s">
        <v>134</v>
      </c>
      <c r="K9" s="36" t="s">
        <v>41</v>
      </c>
      <c r="L9" s="46" t="s">
        <v>4292</v>
      </c>
      <c r="N9" s="36" t="s">
        <v>253</v>
      </c>
      <c r="O9" s="37" t="s">
        <v>254</v>
      </c>
      <c r="P9" s="103">
        <f>IF(R.Compliance.Obligation="","",R.Compliance.Obligation)</f>
        <v>0</v>
      </c>
      <c r="Q9" s="39"/>
      <c r="S9" s="41">
        <v>2024</v>
      </c>
      <c r="T9" s="98">
        <v>80</v>
      </c>
    </row>
    <row r="10" spans="1:20" ht="15" customHeight="1" x14ac:dyDescent="0.25">
      <c r="B10" s="51" t="s">
        <v>214</v>
      </c>
      <c r="C10" s="52">
        <v>4</v>
      </c>
      <c r="D10" s="53" t="s">
        <v>219</v>
      </c>
      <c r="E10" s="54"/>
      <c r="F10" s="52" t="str">
        <f>IF(INDEX(I.Compliance.FacilityName,4)="","",INDEX(I.Compliance.FacilityName,4))</f>
        <v/>
      </c>
      <c r="G10" s="54"/>
      <c r="H10" s="52" t="str">
        <f>IF(AND(I.Compliance.FacilityCount&gt;=4,F10=""),"Incomplete","Complete")</f>
        <v>Complete</v>
      </c>
      <c r="I10" s="55" t="s">
        <v>135</v>
      </c>
      <c r="K10" s="56" t="s">
        <v>205</v>
      </c>
      <c r="L10" s="57" t="s">
        <v>4293</v>
      </c>
      <c r="N10" s="36" t="s">
        <v>4285</v>
      </c>
      <c r="O10" s="37" t="s">
        <v>4288</v>
      </c>
      <c r="P10" s="103">
        <f>IF(R.Compliance.FulfilledPayment="","",R.Compliance.FulfilledPayment)</f>
        <v>0</v>
      </c>
      <c r="Q10" s="39"/>
      <c r="S10" s="41">
        <v>2025</v>
      </c>
      <c r="T10" s="98">
        <v>95</v>
      </c>
    </row>
    <row r="11" spans="1:20" ht="15" customHeight="1" x14ac:dyDescent="0.25">
      <c r="B11" s="51" t="s">
        <v>214</v>
      </c>
      <c r="C11" s="52">
        <v>5</v>
      </c>
      <c r="D11" s="53" t="s">
        <v>219</v>
      </c>
      <c r="E11" s="54"/>
      <c r="F11" s="52" t="str">
        <f>IF(INDEX(I.Compliance.FacilityName,5)="","",INDEX(I.Compliance.FacilityName,5))</f>
        <v/>
      </c>
      <c r="G11" s="54"/>
      <c r="H11" s="52" t="str">
        <f>IF(AND(I.Compliance.FacilityCount&gt;=5,F11=""),"Incomplete","Complete")</f>
        <v>Complete</v>
      </c>
      <c r="I11" s="55" t="s">
        <v>136</v>
      </c>
      <c r="K11" s="56" t="s">
        <v>42</v>
      </c>
      <c r="L11" s="57" t="s">
        <v>4312</v>
      </c>
      <c r="N11" s="36" t="s">
        <v>235</v>
      </c>
      <c r="O11" s="37" t="s">
        <v>4297</v>
      </c>
      <c r="P11" s="102" t="str">
        <f>IF(R.Compliance.Timestamp="","",R.Compliance.Timestamp)</f>
        <v/>
      </c>
      <c r="Q11" s="120"/>
      <c r="S11" s="41">
        <v>2026</v>
      </c>
      <c r="T11" s="98">
        <v>110</v>
      </c>
    </row>
    <row r="12" spans="1:20" ht="15" customHeight="1" x14ac:dyDescent="0.25">
      <c r="B12" s="51" t="s">
        <v>214</v>
      </c>
      <c r="C12" s="52">
        <v>6</v>
      </c>
      <c r="D12" s="53" t="s">
        <v>219</v>
      </c>
      <c r="E12" s="54"/>
      <c r="F12" s="52" t="str">
        <f>IF(INDEX(I.Compliance.FacilityName,6)="","",INDEX(I.Compliance.FacilityName,6))</f>
        <v/>
      </c>
      <c r="G12" s="54"/>
      <c r="H12" s="52" t="str">
        <f>IF(AND(I.Compliance.FacilityCount&gt;=6,F12=""),"Incomplete","Complete")</f>
        <v>Complete</v>
      </c>
      <c r="I12" s="55" t="s">
        <v>137</v>
      </c>
      <c r="K12" s="56" t="s">
        <v>43</v>
      </c>
      <c r="L12" s="57" t="s">
        <v>4347</v>
      </c>
      <c r="N12" s="94" t="s">
        <v>236</v>
      </c>
      <c r="O12" s="96" t="s">
        <v>4286</v>
      </c>
      <c r="P12" s="104" t="str">
        <f>IF(R.Compliance.Notification="","",R.Compliance.Notification)</f>
        <v>Enter the regulated emitter name.</v>
      </c>
      <c r="Q12" s="121"/>
      <c r="S12" s="41">
        <v>2027</v>
      </c>
      <c r="T12" s="98">
        <v>125</v>
      </c>
    </row>
    <row r="13" spans="1:20" ht="15" customHeight="1" x14ac:dyDescent="0.25">
      <c r="B13" s="51" t="s">
        <v>214</v>
      </c>
      <c r="C13" s="52">
        <v>7</v>
      </c>
      <c r="D13" s="53" t="s">
        <v>219</v>
      </c>
      <c r="E13" s="54"/>
      <c r="F13" s="52" t="str">
        <f>IF(INDEX(I.Compliance.FacilityName,7)="","",INDEX(I.Compliance.FacilityName,7))</f>
        <v/>
      </c>
      <c r="G13" s="54"/>
      <c r="H13" s="52" t="str">
        <f>IF(AND(I.Compliance.FacilityCount&gt;=7,F13=""),"Incomplete","Complete")</f>
        <v>Complete</v>
      </c>
      <c r="I13" s="55" t="s">
        <v>138</v>
      </c>
      <c r="K13" s="58" t="s">
        <v>108</v>
      </c>
      <c r="L13" s="59" t="s">
        <v>109</v>
      </c>
      <c r="N13" s="36" t="s">
        <v>99</v>
      </c>
      <c r="O13" s="37" t="s">
        <v>4333</v>
      </c>
      <c r="P13" s="103"/>
      <c r="Q13" s="39"/>
      <c r="S13" s="41">
        <v>2028</v>
      </c>
      <c r="T13" s="98">
        <v>140</v>
      </c>
    </row>
    <row r="14" spans="1:20" ht="15" customHeight="1" x14ac:dyDescent="0.25">
      <c r="B14" s="51" t="s">
        <v>214</v>
      </c>
      <c r="C14" s="52">
        <v>8</v>
      </c>
      <c r="D14" s="53" t="s">
        <v>219</v>
      </c>
      <c r="E14" s="54"/>
      <c r="F14" s="52" t="str">
        <f>IF(INDEX(I.Compliance.FacilityName,8)="","",INDEX(I.Compliance.FacilityName,8))</f>
        <v/>
      </c>
      <c r="G14" s="54"/>
      <c r="H14" s="52" t="str">
        <f>IF(AND(I.Compliance.FacilityCount&gt;=8,F14=""),"Incomplete","Complete")</f>
        <v>Complete</v>
      </c>
      <c r="I14" s="55" t="s">
        <v>139</v>
      </c>
      <c r="N14" s="36" t="s">
        <v>4302</v>
      </c>
      <c r="O14" s="37" t="s">
        <v>4334</v>
      </c>
      <c r="P14" s="103">
        <f>IF(R.Performance.FulfilledPerformance="","",R.Performance.FulfilledPerformance)</f>
        <v>0</v>
      </c>
      <c r="Q14" s="39"/>
      <c r="S14" s="41">
        <v>2029</v>
      </c>
      <c r="T14" s="98">
        <v>155</v>
      </c>
    </row>
    <row r="15" spans="1:20" ht="15" customHeight="1" x14ac:dyDescent="0.25">
      <c r="B15" s="51" t="s">
        <v>214</v>
      </c>
      <c r="C15" s="52">
        <v>9</v>
      </c>
      <c r="D15" s="53" t="s">
        <v>219</v>
      </c>
      <c r="E15" s="54"/>
      <c r="F15" s="52" t="str">
        <f>IF(INDEX(I.Compliance.FacilityName,9)="","",INDEX(I.Compliance.FacilityName,9))</f>
        <v/>
      </c>
      <c r="G15" s="54"/>
      <c r="H15" s="52" t="str">
        <f>IF(AND(I.Compliance.FacilityCount&gt;=9,F15=""),"Incomplete","Complete")</f>
        <v>Complete</v>
      </c>
      <c r="I15" s="55" t="s">
        <v>140</v>
      </c>
      <c r="N15" s="36" t="s">
        <v>4298</v>
      </c>
      <c r="O15" s="37" t="s">
        <v>4335</v>
      </c>
      <c r="P15" s="103"/>
      <c r="Q15" s="39"/>
      <c r="S15" s="60">
        <v>2030</v>
      </c>
      <c r="T15" s="99">
        <v>170</v>
      </c>
    </row>
    <row r="16" spans="1:20" ht="15" customHeight="1" x14ac:dyDescent="0.25">
      <c r="B16" s="51" t="s">
        <v>214</v>
      </c>
      <c r="C16" s="52">
        <v>10</v>
      </c>
      <c r="D16" s="53" t="s">
        <v>219</v>
      </c>
      <c r="E16" s="54"/>
      <c r="F16" s="52" t="str">
        <f>IF(INDEX(I.Compliance.FacilityName,10)="","",INDEX(I.Compliance.FacilityName,10))</f>
        <v/>
      </c>
      <c r="G16" s="54"/>
      <c r="H16" s="52" t="str">
        <f>IF(AND(I.Compliance.FacilityCount&gt;=10,F16=""),"Incomplete","Complete")</f>
        <v>Complete</v>
      </c>
      <c r="I16" s="55" t="s">
        <v>141</v>
      </c>
      <c r="N16" s="36" t="s">
        <v>4270</v>
      </c>
      <c r="O16" s="37" t="s">
        <v>4336</v>
      </c>
      <c r="P16" s="103"/>
      <c r="Q16" s="39"/>
    </row>
    <row r="17" spans="2:17" ht="15" customHeight="1" x14ac:dyDescent="0.25">
      <c r="B17" s="51" t="s">
        <v>214</v>
      </c>
      <c r="C17" s="52">
        <v>11</v>
      </c>
      <c r="D17" s="53" t="s">
        <v>219</v>
      </c>
      <c r="E17" s="54"/>
      <c r="F17" s="52" t="str">
        <f>IF(INDEX(I.Compliance.FacilityName,11)="","",INDEX(I.Compliance.FacilityName,11))</f>
        <v/>
      </c>
      <c r="G17" s="54"/>
      <c r="H17" s="52" t="str">
        <f>IF(AND(I.Compliance.FacilityCount&gt;=11,F17=""),"Incomplete","Complete")</f>
        <v>Complete</v>
      </c>
      <c r="I17" s="55" t="s">
        <v>142</v>
      </c>
      <c r="N17" s="36" t="s">
        <v>256</v>
      </c>
      <c r="O17" s="37" t="s">
        <v>4337</v>
      </c>
      <c r="P17" s="103">
        <f>IF(R.Performance.CreditCount="","",R.Performance.CreditCount)</f>
        <v>0</v>
      </c>
      <c r="Q17" s="39"/>
    </row>
    <row r="18" spans="2:17" ht="15" customHeight="1" x14ac:dyDescent="0.25">
      <c r="B18" s="51" t="s">
        <v>214</v>
      </c>
      <c r="C18" s="52">
        <v>12</v>
      </c>
      <c r="D18" s="53" t="s">
        <v>219</v>
      </c>
      <c r="E18" s="54"/>
      <c r="F18" s="52" t="str">
        <f>IF(INDEX(I.Compliance.FacilityName,12)="","",INDEX(I.Compliance.FacilityName,12))</f>
        <v/>
      </c>
      <c r="G18" s="54"/>
      <c r="H18" s="52" t="str">
        <f>IF(AND(I.Compliance.FacilityCount&gt;=12,F18=""),"Incomplete","Complete")</f>
        <v>Complete</v>
      </c>
      <c r="I18" s="55" t="s">
        <v>143</v>
      </c>
      <c r="N18" s="36" t="s">
        <v>100</v>
      </c>
      <c r="O18" s="37" t="s">
        <v>4338</v>
      </c>
      <c r="P18" s="102" t="str">
        <f>IF(R.Performance.Timestamp="","",R.Performance.Timestamp)</f>
        <v/>
      </c>
      <c r="Q18" s="120"/>
    </row>
    <row r="19" spans="2:17" ht="15" customHeight="1" x14ac:dyDescent="0.25">
      <c r="B19" s="51" t="s">
        <v>214</v>
      </c>
      <c r="C19" s="52">
        <v>13</v>
      </c>
      <c r="D19" s="53" t="s">
        <v>219</v>
      </c>
      <c r="E19" s="54"/>
      <c r="F19" s="52" t="str">
        <f>IF(INDEX(I.Compliance.FacilityName,13)="","",INDEX(I.Compliance.FacilityName,13))</f>
        <v/>
      </c>
      <c r="G19" s="54"/>
      <c r="H19" s="52" t="str">
        <f>IF(AND(I.Compliance.FacilityCount&gt;=13,F19=""),"Incomplete","Complete")</f>
        <v>Complete</v>
      </c>
      <c r="I19" s="55" t="s">
        <v>144</v>
      </c>
      <c r="N19" s="94" t="s">
        <v>105</v>
      </c>
      <c r="O19" s="96" t="s">
        <v>4274</v>
      </c>
      <c r="P19" s="104" t="str">
        <f>IF(R.Performance.Notification="","",R.Performance.Notification)</f>
        <v>Sheet complete.</v>
      </c>
      <c r="Q19" s="121"/>
    </row>
    <row r="20" spans="2:17" ht="15" customHeight="1" x14ac:dyDescent="0.25">
      <c r="B20" s="51" t="s">
        <v>214</v>
      </c>
      <c r="C20" s="52">
        <v>14</v>
      </c>
      <c r="D20" s="53" t="s">
        <v>219</v>
      </c>
      <c r="E20" s="54"/>
      <c r="F20" s="52" t="str">
        <f>IF(INDEX(I.Compliance.FacilityName,14)="","",INDEX(I.Compliance.FacilityName,14))</f>
        <v/>
      </c>
      <c r="G20" s="54"/>
      <c r="H20" s="52" t="str">
        <f>IF(AND(I.Compliance.FacilityCount&gt;=14,F20=""),"Incomplete","Complete")</f>
        <v>Complete</v>
      </c>
      <c r="I20" s="55" t="s">
        <v>145</v>
      </c>
      <c r="N20" s="36" t="s">
        <v>101</v>
      </c>
      <c r="O20" s="37" t="s">
        <v>4339</v>
      </c>
      <c r="P20" s="103"/>
      <c r="Q20" s="39"/>
    </row>
    <row r="21" spans="2:17" ht="15" customHeight="1" x14ac:dyDescent="0.25">
      <c r="B21" s="51" t="s">
        <v>214</v>
      </c>
      <c r="C21" s="52">
        <v>15</v>
      </c>
      <c r="D21" s="53" t="s">
        <v>219</v>
      </c>
      <c r="E21" s="54"/>
      <c r="F21" s="52" t="str">
        <f>IF(INDEX(I.Compliance.FacilityName,15)="","",INDEX(I.Compliance.FacilityName,15))</f>
        <v/>
      </c>
      <c r="G21" s="54"/>
      <c r="H21" s="52" t="str">
        <f>IF(AND(I.Compliance.FacilityCount&gt;=15,F21=""),"Incomplete","Complete")</f>
        <v>Complete</v>
      </c>
      <c r="I21" s="55" t="s">
        <v>146</v>
      </c>
      <c r="N21" s="36" t="s">
        <v>4303</v>
      </c>
      <c r="O21" s="37" t="s">
        <v>4340</v>
      </c>
      <c r="P21" s="103">
        <f>IF(R.CCUS.FulfilledCCUS="","",R.CCUS.FulfilledCCUS)</f>
        <v>0</v>
      </c>
      <c r="Q21" s="39"/>
    </row>
    <row r="22" spans="2:17" ht="15" customHeight="1" x14ac:dyDescent="0.25">
      <c r="B22" s="51" t="s">
        <v>214</v>
      </c>
      <c r="C22" s="52">
        <v>16</v>
      </c>
      <c r="D22" s="53" t="s">
        <v>219</v>
      </c>
      <c r="E22" s="54"/>
      <c r="F22" s="52" t="str">
        <f>IF(INDEX(I.Compliance.FacilityName,16)="","",INDEX(I.Compliance.FacilityName,16))</f>
        <v/>
      </c>
      <c r="G22" s="54"/>
      <c r="H22" s="52" t="str">
        <f>IF(AND(I.Compliance.FacilityCount&gt;=16,F22=""),"Incomplete","Complete")</f>
        <v>Complete</v>
      </c>
      <c r="I22" s="55" t="s">
        <v>147</v>
      </c>
      <c r="N22" s="36" t="s">
        <v>4299</v>
      </c>
      <c r="O22" s="37" t="s">
        <v>4341</v>
      </c>
      <c r="P22" s="103"/>
      <c r="Q22" s="39"/>
    </row>
    <row r="23" spans="2:17" ht="15" customHeight="1" x14ac:dyDescent="0.25">
      <c r="B23" s="51" t="s">
        <v>214</v>
      </c>
      <c r="C23" s="52">
        <v>17</v>
      </c>
      <c r="D23" s="53" t="s">
        <v>219</v>
      </c>
      <c r="E23" s="54"/>
      <c r="F23" s="52" t="str">
        <f>IF(INDEX(I.Compliance.FacilityName,17)="","",INDEX(I.Compliance.FacilityName,17))</f>
        <v/>
      </c>
      <c r="G23" s="54"/>
      <c r="H23" s="52" t="str">
        <f>IF(AND(I.Compliance.FacilityCount&gt;=17,F23=""),"Incomplete","Complete")</f>
        <v>Complete</v>
      </c>
      <c r="I23" s="55" t="s">
        <v>148</v>
      </c>
      <c r="N23" s="36" t="s">
        <v>4271</v>
      </c>
      <c r="O23" s="37" t="s">
        <v>4342</v>
      </c>
      <c r="P23" s="103"/>
      <c r="Q23" s="39"/>
    </row>
    <row r="24" spans="2:17" ht="15" customHeight="1" x14ac:dyDescent="0.25">
      <c r="B24" s="51" t="s">
        <v>214</v>
      </c>
      <c r="C24" s="52">
        <v>18</v>
      </c>
      <c r="D24" s="53" t="s">
        <v>219</v>
      </c>
      <c r="E24" s="54"/>
      <c r="F24" s="52" t="str">
        <f>IF(INDEX(I.Compliance.FacilityName,18)="","",INDEX(I.Compliance.FacilityName,18))</f>
        <v/>
      </c>
      <c r="G24" s="54"/>
      <c r="H24" s="52" t="str">
        <f>IF(AND(I.Compliance.FacilityCount&gt;=18,F24=""),"Incomplete","Complete")</f>
        <v>Complete</v>
      </c>
      <c r="I24" s="55" t="s">
        <v>149</v>
      </c>
      <c r="N24" s="36" t="s">
        <v>257</v>
      </c>
      <c r="O24" s="37" t="s">
        <v>4343</v>
      </c>
      <c r="P24" s="103">
        <f>IF(R.CCUS.CreditCount="","",R.CCUS.CreditCount)</f>
        <v>0</v>
      </c>
      <c r="Q24" s="39"/>
    </row>
    <row r="25" spans="2:17" ht="15" customHeight="1" x14ac:dyDescent="0.25">
      <c r="B25" s="51" t="s">
        <v>214</v>
      </c>
      <c r="C25" s="52">
        <v>19</v>
      </c>
      <c r="D25" s="53" t="s">
        <v>219</v>
      </c>
      <c r="E25" s="54"/>
      <c r="F25" s="52" t="str">
        <f>IF(INDEX(I.Compliance.FacilityName,19)="","",INDEX(I.Compliance.FacilityName,19))</f>
        <v/>
      </c>
      <c r="G25" s="54"/>
      <c r="H25" s="52" t="str">
        <f>IF(AND(I.Compliance.FacilityCount&gt;=19,F25=""),"Incomplete","Complete")</f>
        <v>Complete</v>
      </c>
      <c r="I25" s="55" t="s">
        <v>150</v>
      </c>
      <c r="N25" s="36" t="s">
        <v>102</v>
      </c>
      <c r="O25" s="37" t="s">
        <v>4344</v>
      </c>
      <c r="P25" s="102" t="str">
        <f>IF(R.CCUS.Timestamp="","",R.CCUS.Timestamp)</f>
        <v/>
      </c>
      <c r="Q25" s="120"/>
    </row>
    <row r="26" spans="2:17" ht="15" customHeight="1" x14ac:dyDescent="0.25">
      <c r="B26" s="40" t="s">
        <v>214</v>
      </c>
      <c r="C26" s="42">
        <v>20</v>
      </c>
      <c r="D26" s="43" t="s">
        <v>219</v>
      </c>
      <c r="E26" s="62"/>
      <c r="F26" s="42" t="str">
        <f>IF(INDEX(I.Compliance.FacilityName,20)="","",INDEX(I.Compliance.FacilityName,20))</f>
        <v/>
      </c>
      <c r="G26" s="62"/>
      <c r="H26" s="42" t="str">
        <f>IF(AND(I.Compliance.FacilityCount&gt;=20,F26=""),"Incomplete","Complete")</f>
        <v>Complete</v>
      </c>
      <c r="I26" s="45" t="s">
        <v>151</v>
      </c>
      <c r="N26" s="58" t="s">
        <v>106</v>
      </c>
      <c r="O26" s="85" t="s">
        <v>4275</v>
      </c>
      <c r="P26" s="107" t="str">
        <f>IF(R.CCUS.Notification="","",R.CCUS.Notification)</f>
        <v>Sheet complete.</v>
      </c>
      <c r="Q26" s="122"/>
    </row>
    <row r="27" spans="2:17" ht="15" customHeight="1" x14ac:dyDescent="0.25">
      <c r="B27" s="51" t="s">
        <v>215</v>
      </c>
      <c r="C27" s="52">
        <v>1</v>
      </c>
      <c r="D27" s="53" t="s">
        <v>220</v>
      </c>
      <c r="E27" s="54"/>
      <c r="F27" s="52" t="str">
        <f>IF(INDEX(I.Compliance.OBPSNumber,1)="","",INDEX(I.Compliance.OBPSNumber,1))</f>
        <v/>
      </c>
      <c r="G27" s="54"/>
      <c r="H27" s="52" t="str">
        <f>IF(AND(I.Compliance.FacilityCount&gt;=1,F27=""),"Incomplete","Complete")</f>
        <v>Incomplete</v>
      </c>
      <c r="I27" s="55" t="s">
        <v>152</v>
      </c>
      <c r="N27" s="56" t="s">
        <v>97</v>
      </c>
      <c r="O27" s="61" t="s">
        <v>258</v>
      </c>
      <c r="P27" s="106"/>
      <c r="Q27" s="123"/>
    </row>
    <row r="28" spans="2:17" ht="15" customHeight="1" x14ac:dyDescent="0.25">
      <c r="B28" s="51" t="s">
        <v>215</v>
      </c>
      <c r="C28" s="52">
        <v>2</v>
      </c>
      <c r="D28" s="53" t="s">
        <v>220</v>
      </c>
      <c r="E28" s="54"/>
      <c r="F28" s="52" t="str">
        <f>IF(INDEX(I.Compliance.OBPSNumber,2)="","",INDEX(I.Compliance.OBPSNumber,2))</f>
        <v/>
      </c>
      <c r="G28" s="54"/>
      <c r="H28" s="52" t="str">
        <f>IF(AND(I.Compliance.FacilityCount&gt;=2,F28=""),"Incomplete","Complete")</f>
        <v>Complete</v>
      </c>
      <c r="I28" s="55" t="s">
        <v>153</v>
      </c>
      <c r="N28" s="56" t="s">
        <v>4304</v>
      </c>
      <c r="O28" s="61" t="s">
        <v>259</v>
      </c>
      <c r="P28" s="106">
        <f>IF(R.Payment.FulfilledPayment="","",R.Payment.FulfilledPayment)</f>
        <v>0</v>
      </c>
      <c r="Q28" s="123"/>
    </row>
    <row r="29" spans="2:17" ht="15" customHeight="1" x14ac:dyDescent="0.25">
      <c r="B29" s="51" t="s">
        <v>215</v>
      </c>
      <c r="C29" s="52">
        <v>3</v>
      </c>
      <c r="D29" s="53" t="s">
        <v>220</v>
      </c>
      <c r="E29" s="54"/>
      <c r="F29" s="52" t="str">
        <f>IF(INDEX(I.Compliance.OBPSNumber,3)="","",INDEX(I.Compliance.OBPSNumber,3))</f>
        <v/>
      </c>
      <c r="G29" s="54"/>
      <c r="H29" s="52" t="str">
        <f>IF(AND(I.Compliance.FacilityCount&gt;=3,F29=""),"Incomplete","Complete")</f>
        <v>Complete</v>
      </c>
      <c r="I29" s="55" t="s">
        <v>154</v>
      </c>
      <c r="N29" s="56" t="s">
        <v>260</v>
      </c>
      <c r="O29" s="61" t="s">
        <v>128</v>
      </c>
      <c r="P29" s="106" t="str">
        <f>IF(R.Payment.Price="","",R.Payment.Price)</f>
        <v/>
      </c>
      <c r="Q29" s="123"/>
    </row>
    <row r="30" spans="2:17" ht="15" customHeight="1" x14ac:dyDescent="0.25">
      <c r="B30" s="51" t="s">
        <v>215</v>
      </c>
      <c r="C30" s="52">
        <v>4</v>
      </c>
      <c r="D30" s="53" t="s">
        <v>220</v>
      </c>
      <c r="E30" s="54"/>
      <c r="F30" s="52" t="str">
        <f>IF(INDEX(I.Compliance.OBPSNumber,4)="","",INDEX(I.Compliance.OBPSNumber,4))</f>
        <v/>
      </c>
      <c r="G30" s="54"/>
      <c r="H30" s="52" t="str">
        <f>IF(AND(I.Compliance.FacilityCount&gt;=4,F30=""),"Incomplete","Complete")</f>
        <v>Complete</v>
      </c>
      <c r="I30" s="55" t="s">
        <v>155</v>
      </c>
      <c r="N30" s="56" t="s">
        <v>261</v>
      </c>
      <c r="O30" s="61" t="s">
        <v>262</v>
      </c>
      <c r="P30" s="106" t="str">
        <f>IF(R.Payment.AmountDue="","",R.Payment.AmountDue)</f>
        <v/>
      </c>
      <c r="Q30" s="123"/>
    </row>
    <row r="31" spans="2:17" ht="15" customHeight="1" x14ac:dyDescent="0.25">
      <c r="B31" s="51" t="s">
        <v>215</v>
      </c>
      <c r="C31" s="52">
        <v>5</v>
      </c>
      <c r="D31" s="53" t="s">
        <v>220</v>
      </c>
      <c r="E31" s="54"/>
      <c r="F31" s="52" t="str">
        <f>IF(INDEX(I.Compliance.OBPSNumber,5)="","",INDEX(I.Compliance.OBPSNumber,5))</f>
        <v/>
      </c>
      <c r="G31" s="54"/>
      <c r="H31" s="52" t="str">
        <f>IF(AND(I.Compliance.FacilityCount&gt;=5,F31=""),"Incomplete","Complete")</f>
        <v>Complete</v>
      </c>
      <c r="I31" s="55" t="s">
        <v>156</v>
      </c>
      <c r="N31" s="56" t="s">
        <v>98</v>
      </c>
      <c r="O31" s="61" t="s">
        <v>263</v>
      </c>
      <c r="P31" s="108" t="str">
        <f>IF(R.Payment.Timestamp="","",R.Payment.Timestamp)</f>
        <v/>
      </c>
      <c r="Q31" s="124"/>
    </row>
    <row r="32" spans="2:17" ht="15" customHeight="1" x14ac:dyDescent="0.25">
      <c r="B32" s="51" t="s">
        <v>215</v>
      </c>
      <c r="C32" s="52">
        <v>6</v>
      </c>
      <c r="D32" s="53" t="s">
        <v>220</v>
      </c>
      <c r="E32" s="54"/>
      <c r="F32" s="52" t="str">
        <f>IF(INDEX(I.Compliance.OBPSNumber,6)="","",INDEX(I.Compliance.OBPSNumber,6))</f>
        <v/>
      </c>
      <c r="G32" s="54"/>
      <c r="H32" s="52" t="str">
        <f>IF(AND(I.Compliance.FacilityCount&gt;=6,F32=""),"Incomplete","Complete")</f>
        <v>Complete</v>
      </c>
      <c r="I32" s="55" t="s">
        <v>157</v>
      </c>
      <c r="N32" s="58" t="s">
        <v>104</v>
      </c>
      <c r="O32" s="85" t="s">
        <v>264</v>
      </c>
      <c r="P32" s="107" t="str">
        <f>IF(R.Payment.Notification="","",R.Payment.Notification)</f>
        <v>Sheet complete.</v>
      </c>
      <c r="Q32" s="122"/>
    </row>
    <row r="33" spans="2:17" ht="15" customHeight="1" x14ac:dyDescent="0.25">
      <c r="B33" s="51" t="s">
        <v>215</v>
      </c>
      <c r="C33" s="52">
        <v>7</v>
      </c>
      <c r="D33" s="53" t="s">
        <v>220</v>
      </c>
      <c r="E33" s="54"/>
      <c r="F33" s="52" t="str">
        <f>IF(INDEX(I.Compliance.OBPSNumber,7)="","",INDEX(I.Compliance.OBPSNumber,7))</f>
        <v/>
      </c>
      <c r="G33" s="54"/>
      <c r="H33" s="52" t="str">
        <f>IF(AND(I.Compliance.FacilityCount&gt;=7,F33=""),"Incomplete","Complete")</f>
        <v>Complete</v>
      </c>
      <c r="I33" s="55" t="s">
        <v>158</v>
      </c>
      <c r="N33" s="58" t="s">
        <v>103</v>
      </c>
      <c r="O33" s="85" t="s">
        <v>265</v>
      </c>
      <c r="P33" s="107"/>
      <c r="Q33" s="122"/>
    </row>
    <row r="34" spans="2:17" ht="15" customHeight="1" x14ac:dyDescent="0.25">
      <c r="B34" s="51" t="s">
        <v>215</v>
      </c>
      <c r="C34" s="52">
        <v>8</v>
      </c>
      <c r="D34" s="53" t="s">
        <v>220</v>
      </c>
      <c r="E34" s="54"/>
      <c r="F34" s="52" t="str">
        <f>IF(INDEX(I.Compliance.OBPSNumber,8)="","",INDEX(I.Compliance.OBPSNumber,8))</f>
        <v/>
      </c>
      <c r="G34" s="54"/>
      <c r="H34" s="52" t="str">
        <f>IF(AND(I.Compliance.FacilityCount&gt;=8,F34=""),"Incomplete","Complete")</f>
        <v>Complete</v>
      </c>
      <c r="I34" s="55" t="s">
        <v>159</v>
      </c>
      <c r="N34" s="56" t="s">
        <v>39</v>
      </c>
      <c r="O34" s="61" t="s">
        <v>4276</v>
      </c>
      <c r="P34" s="106"/>
      <c r="Q34" s="123"/>
    </row>
    <row r="35" spans="2:17" ht="15" customHeight="1" x14ac:dyDescent="0.25">
      <c r="B35" s="51" t="s">
        <v>215</v>
      </c>
      <c r="C35" s="52">
        <v>9</v>
      </c>
      <c r="D35" s="53" t="s">
        <v>220</v>
      </c>
      <c r="E35" s="54"/>
      <c r="F35" s="52" t="str">
        <f>IF(INDEX(I.Compliance.OBPSNumber,9)="","",INDEX(I.Compliance.OBPSNumber,9))</f>
        <v/>
      </c>
      <c r="G35" s="54"/>
      <c r="H35" s="52" t="str">
        <f>IF(AND(I.Compliance.FacilityCount&gt;=9,F35=""),"Incomplete","Complete")</f>
        <v>Complete</v>
      </c>
      <c r="I35" s="55" t="s">
        <v>160</v>
      </c>
      <c r="N35" s="56" t="s">
        <v>40</v>
      </c>
      <c r="O35" s="61" t="s">
        <v>4277</v>
      </c>
      <c r="P35" s="108" t="str">
        <f>IF(R.Declaration.Timestamp="","",R.Declaration.Timestamp)</f>
        <v/>
      </c>
      <c r="Q35" s="124"/>
    </row>
    <row r="36" spans="2:17" ht="15" customHeight="1" x14ac:dyDescent="0.25">
      <c r="B36" s="51" t="s">
        <v>215</v>
      </c>
      <c r="C36" s="52">
        <v>10</v>
      </c>
      <c r="D36" s="53" t="s">
        <v>220</v>
      </c>
      <c r="E36" s="54"/>
      <c r="F36" s="52" t="str">
        <f>IF(INDEX(I.Compliance.OBPSNumber,10)="","",INDEX(I.Compliance.OBPSNumber,10))</f>
        <v/>
      </c>
      <c r="G36" s="54"/>
      <c r="H36" s="52" t="str">
        <f>IF(AND(I.Compliance.FacilityCount&gt;=10,F36=""),"Incomplete","Complete")</f>
        <v>Complete</v>
      </c>
      <c r="I36" s="55" t="s">
        <v>161</v>
      </c>
      <c r="N36" s="56" t="s">
        <v>4278</v>
      </c>
      <c r="O36" s="61" t="s">
        <v>4279</v>
      </c>
      <c r="P36" s="106" t="str">
        <f>IF(R.Declaration.FormName="","",R.Declaration.FormName)</f>
        <v>Compliance return form for industrial facilities</v>
      </c>
      <c r="Q36" s="123"/>
    </row>
    <row r="37" spans="2:17" ht="15" customHeight="1" x14ac:dyDescent="0.25">
      <c r="B37" s="51" t="s">
        <v>215</v>
      </c>
      <c r="C37" s="52">
        <v>11</v>
      </c>
      <c r="D37" s="53" t="s">
        <v>220</v>
      </c>
      <c r="E37" s="54"/>
      <c r="F37" s="52" t="str">
        <f>IF(INDEX(I.Compliance.OBPSNumber,11)="","",INDEX(I.Compliance.OBPSNumber,11))</f>
        <v/>
      </c>
      <c r="G37" s="54"/>
      <c r="H37" s="52" t="str">
        <f>IF(AND(I.Compliance.FacilityCount&gt;=11,F37=""),"Incomplete","Complete")</f>
        <v>Complete</v>
      </c>
      <c r="I37" s="55" t="s">
        <v>162</v>
      </c>
      <c r="N37" s="58" t="s">
        <v>107</v>
      </c>
      <c r="O37" s="85" t="s">
        <v>4300</v>
      </c>
      <c r="P37" s="107" t="str">
        <f>IF(R.Declaration.Notification="","",R.Declaration.Notification)</f>
        <v>Enter the name of the authorized signing officer.</v>
      </c>
      <c r="Q37" s="122"/>
    </row>
    <row r="38" spans="2:17" ht="15" customHeight="1" x14ac:dyDescent="0.25">
      <c r="B38" s="51" t="s">
        <v>215</v>
      </c>
      <c r="C38" s="52">
        <v>12</v>
      </c>
      <c r="D38" s="53" t="s">
        <v>220</v>
      </c>
      <c r="E38" s="54"/>
      <c r="F38" s="52" t="str">
        <f>IF(INDEX(I.Compliance.OBPSNumber,12)="","",INDEX(I.Compliance.OBPSNumber,12))</f>
        <v/>
      </c>
      <c r="G38" s="54"/>
      <c r="H38" s="52" t="str">
        <f>IF(AND(I.Compliance.FacilityCount&gt;=12,F38=""),"Incomplete","Complete")</f>
        <v>Complete</v>
      </c>
      <c r="I38" s="55" t="s">
        <v>163</v>
      </c>
    </row>
    <row r="39" spans="2:17" ht="15" customHeight="1" x14ac:dyDescent="0.25">
      <c r="B39" s="51" t="s">
        <v>215</v>
      </c>
      <c r="C39" s="52">
        <v>13</v>
      </c>
      <c r="D39" s="53" t="s">
        <v>220</v>
      </c>
      <c r="E39" s="54"/>
      <c r="F39" s="52" t="str">
        <f>IF(INDEX(I.Compliance.OBPSNumber,13)="","",INDEX(I.Compliance.OBPSNumber,13))</f>
        <v/>
      </c>
      <c r="G39" s="54"/>
      <c r="H39" s="52" t="str">
        <f>IF(AND(I.Compliance.FacilityCount&gt;=13,F39=""),"Incomplete","Complete")</f>
        <v>Complete</v>
      </c>
      <c r="I39" s="55" t="s">
        <v>164</v>
      </c>
    </row>
    <row r="40" spans="2:17" ht="15" customHeight="1" x14ac:dyDescent="0.25">
      <c r="B40" s="51" t="s">
        <v>215</v>
      </c>
      <c r="C40" s="52">
        <v>14</v>
      </c>
      <c r="D40" s="53" t="s">
        <v>220</v>
      </c>
      <c r="E40" s="54"/>
      <c r="F40" s="52" t="str">
        <f>IF(INDEX(I.Compliance.OBPSNumber,14)="","",INDEX(I.Compliance.OBPSNumber,14))</f>
        <v/>
      </c>
      <c r="G40" s="54"/>
      <c r="H40" s="52" t="str">
        <f>IF(AND(I.Compliance.FacilityCount&gt;=14,F40=""),"Incomplete","Complete")</f>
        <v>Complete</v>
      </c>
      <c r="I40" s="55" t="s">
        <v>165</v>
      </c>
    </row>
    <row r="41" spans="2:17" ht="15" customHeight="1" x14ac:dyDescent="0.25">
      <c r="B41" s="51" t="s">
        <v>215</v>
      </c>
      <c r="C41" s="52">
        <v>15</v>
      </c>
      <c r="D41" s="53" t="s">
        <v>220</v>
      </c>
      <c r="E41" s="54"/>
      <c r="F41" s="52" t="str">
        <f>IF(INDEX(I.Compliance.OBPSNumber,15)="","",INDEX(I.Compliance.OBPSNumber,15))</f>
        <v/>
      </c>
      <c r="G41" s="54"/>
      <c r="H41" s="52" t="str">
        <f>IF(AND(I.Compliance.FacilityCount&gt;=15,F41=""),"Incomplete","Complete")</f>
        <v>Complete</v>
      </c>
      <c r="I41" s="55" t="s">
        <v>166</v>
      </c>
    </row>
    <row r="42" spans="2:17" ht="15" customHeight="1" x14ac:dyDescent="0.25">
      <c r="B42" s="51" t="s">
        <v>215</v>
      </c>
      <c r="C42" s="52">
        <v>16</v>
      </c>
      <c r="D42" s="53" t="s">
        <v>220</v>
      </c>
      <c r="E42" s="54"/>
      <c r="F42" s="52" t="str">
        <f>IF(INDEX(I.Compliance.OBPSNumber,16)="","",INDEX(I.Compliance.OBPSNumber,16))</f>
        <v/>
      </c>
      <c r="G42" s="54"/>
      <c r="H42" s="52" t="str">
        <f>IF(AND(I.Compliance.FacilityCount&gt;=16,F42=""),"Incomplete","Complete")</f>
        <v>Complete</v>
      </c>
      <c r="I42" s="55" t="s">
        <v>167</v>
      </c>
    </row>
    <row r="43" spans="2:17" ht="15" customHeight="1" x14ac:dyDescent="0.25">
      <c r="B43" s="51" t="s">
        <v>215</v>
      </c>
      <c r="C43" s="52">
        <v>17</v>
      </c>
      <c r="D43" s="53" t="s">
        <v>220</v>
      </c>
      <c r="E43" s="54"/>
      <c r="F43" s="52" t="str">
        <f>IF(INDEX(I.Compliance.OBPSNumber,17)="","",INDEX(I.Compliance.OBPSNumber,17))</f>
        <v/>
      </c>
      <c r="G43" s="54"/>
      <c r="H43" s="52" t="str">
        <f>IF(AND(I.Compliance.FacilityCount&gt;=17,F43=""),"Incomplete","Complete")</f>
        <v>Complete</v>
      </c>
      <c r="I43" s="55" t="s">
        <v>168</v>
      </c>
    </row>
    <row r="44" spans="2:17" ht="15" customHeight="1" x14ac:dyDescent="0.25">
      <c r="B44" s="51" t="s">
        <v>215</v>
      </c>
      <c r="C44" s="52">
        <v>18</v>
      </c>
      <c r="D44" s="53" t="s">
        <v>220</v>
      </c>
      <c r="E44" s="54"/>
      <c r="F44" s="52" t="str">
        <f>IF(INDEX(I.Compliance.OBPSNumber,18)="","",INDEX(I.Compliance.OBPSNumber,18))</f>
        <v/>
      </c>
      <c r="G44" s="54"/>
      <c r="H44" s="52" t="str">
        <f>IF(AND(I.Compliance.FacilityCount&gt;=18,F44=""),"Incomplete","Complete")</f>
        <v>Complete</v>
      </c>
      <c r="I44" s="55" t="s">
        <v>169</v>
      </c>
    </row>
    <row r="45" spans="2:17" ht="15" customHeight="1" x14ac:dyDescent="0.25">
      <c r="B45" s="51" t="s">
        <v>215</v>
      </c>
      <c r="C45" s="52">
        <v>19</v>
      </c>
      <c r="D45" s="53" t="s">
        <v>220</v>
      </c>
      <c r="E45" s="54"/>
      <c r="F45" s="52" t="str">
        <f>IF(INDEX(I.Compliance.OBPSNumber,19)="","",INDEX(I.Compliance.OBPSNumber,19))</f>
        <v/>
      </c>
      <c r="G45" s="54"/>
      <c r="H45" s="52" t="str">
        <f>IF(AND(I.Compliance.FacilityCount&gt;=19,F45=""),"Incomplete","Complete")</f>
        <v>Complete</v>
      </c>
      <c r="I45" s="55" t="s">
        <v>170</v>
      </c>
    </row>
    <row r="46" spans="2:17" ht="15" customHeight="1" x14ac:dyDescent="0.25">
      <c r="B46" s="40" t="s">
        <v>215</v>
      </c>
      <c r="C46" s="42">
        <v>20</v>
      </c>
      <c r="D46" s="43" t="s">
        <v>220</v>
      </c>
      <c r="E46" s="62"/>
      <c r="F46" s="42" t="str">
        <f>IF(INDEX(I.Compliance.OBPSNumber,20)="","",INDEX(I.Compliance.OBPSNumber,20))</f>
        <v/>
      </c>
      <c r="G46" s="62"/>
      <c r="H46" s="42" t="str">
        <f>IF(AND(I.Compliance.FacilityCount&gt;=20,F46=""),"Incomplete","Complete")</f>
        <v>Complete</v>
      </c>
      <c r="I46" s="45" t="s">
        <v>171</v>
      </c>
    </row>
    <row r="47" spans="2:17" ht="15" customHeight="1" x14ac:dyDescent="0.25">
      <c r="B47" s="48" t="s">
        <v>246</v>
      </c>
      <c r="C47" s="50">
        <v>1</v>
      </c>
      <c r="D47" s="49" t="s">
        <v>221</v>
      </c>
      <c r="E47" s="63"/>
      <c r="F47" s="63" t="str">
        <f>IF(INDEX(I.Compliance.FacilityObligation,1)="","",INDEX(I.Compliance.FacilityObligation,1))</f>
        <v/>
      </c>
      <c r="G47" s="63"/>
      <c r="H47" s="50" t="str">
        <f>IF(AND(I.Compliance.FacilityCount&gt;=1,F47=""),"Incomplete","Complete")</f>
        <v>Incomplete</v>
      </c>
      <c r="I47" s="64" t="s">
        <v>172</v>
      </c>
    </row>
    <row r="48" spans="2:17" ht="15" customHeight="1" x14ac:dyDescent="0.25">
      <c r="B48" s="51" t="s">
        <v>246</v>
      </c>
      <c r="C48" s="52">
        <v>2</v>
      </c>
      <c r="D48" s="53" t="s">
        <v>221</v>
      </c>
      <c r="E48" s="65"/>
      <c r="F48" s="65" t="str">
        <f>IF(INDEX(I.Compliance.FacilityObligation,2)="","",INDEX(I.Compliance.FacilityObligation,2))</f>
        <v/>
      </c>
      <c r="G48" s="65"/>
      <c r="H48" s="52" t="str">
        <f>IF(AND(I.Compliance.FacilityCount&gt;=2,F48=""),"Incomplete","Complete")</f>
        <v>Complete</v>
      </c>
      <c r="I48" s="55" t="s">
        <v>173</v>
      </c>
    </row>
    <row r="49" spans="2:9" ht="15" customHeight="1" x14ac:dyDescent="0.25">
      <c r="B49" s="51" t="s">
        <v>246</v>
      </c>
      <c r="C49" s="52">
        <v>3</v>
      </c>
      <c r="D49" s="53" t="s">
        <v>221</v>
      </c>
      <c r="E49" s="65"/>
      <c r="F49" s="65" t="str">
        <f>IF(INDEX(I.Compliance.FacilityObligation,3)="","",INDEX(I.Compliance.FacilityObligation,3))</f>
        <v/>
      </c>
      <c r="G49" s="65"/>
      <c r="H49" s="52" t="str">
        <f>IF(AND(I.Compliance.FacilityCount&gt;=3,F49=""),"Incomplete","Complete")</f>
        <v>Complete</v>
      </c>
      <c r="I49" s="55" t="s">
        <v>174</v>
      </c>
    </row>
    <row r="50" spans="2:9" ht="15" customHeight="1" x14ac:dyDescent="0.25">
      <c r="B50" s="51" t="s">
        <v>246</v>
      </c>
      <c r="C50" s="52">
        <v>4</v>
      </c>
      <c r="D50" s="53" t="s">
        <v>221</v>
      </c>
      <c r="E50" s="65"/>
      <c r="F50" s="65" t="str">
        <f>IF(INDEX(I.Compliance.FacilityObligation,4)="","",INDEX(I.Compliance.FacilityObligation,4))</f>
        <v/>
      </c>
      <c r="G50" s="65"/>
      <c r="H50" s="52" t="str">
        <f>IF(AND(I.Compliance.FacilityCount&gt;=4,F50=""),"Incomplete","Complete")</f>
        <v>Complete</v>
      </c>
      <c r="I50" s="55" t="s">
        <v>175</v>
      </c>
    </row>
    <row r="51" spans="2:9" ht="15" customHeight="1" x14ac:dyDescent="0.25">
      <c r="B51" s="51" t="s">
        <v>246</v>
      </c>
      <c r="C51" s="52">
        <v>5</v>
      </c>
      <c r="D51" s="53" t="s">
        <v>221</v>
      </c>
      <c r="E51" s="65"/>
      <c r="F51" s="65" t="str">
        <f>IF(INDEX(I.Compliance.FacilityObligation,5)="","",INDEX(I.Compliance.FacilityObligation,5))</f>
        <v/>
      </c>
      <c r="G51" s="65"/>
      <c r="H51" s="52" t="str">
        <f>IF(AND(I.Compliance.FacilityCount&gt;=5,F51=""),"Incomplete","Complete")</f>
        <v>Complete</v>
      </c>
      <c r="I51" s="55" t="s">
        <v>176</v>
      </c>
    </row>
    <row r="52" spans="2:9" ht="15" customHeight="1" x14ac:dyDescent="0.25">
      <c r="B52" s="51" t="s">
        <v>246</v>
      </c>
      <c r="C52" s="52">
        <v>6</v>
      </c>
      <c r="D52" s="53" t="s">
        <v>221</v>
      </c>
      <c r="E52" s="65"/>
      <c r="F52" s="65" t="str">
        <f>IF(INDEX(I.Compliance.FacilityObligation,6)="","",INDEX(I.Compliance.FacilityObligation,6))</f>
        <v/>
      </c>
      <c r="G52" s="65"/>
      <c r="H52" s="52" t="str">
        <f>IF(AND(I.Compliance.FacilityCount&gt;=6,F52=""),"Incomplete","Complete")</f>
        <v>Complete</v>
      </c>
      <c r="I52" s="55" t="s">
        <v>177</v>
      </c>
    </row>
    <row r="53" spans="2:9" ht="15" customHeight="1" x14ac:dyDescent="0.25">
      <c r="B53" s="51" t="s">
        <v>246</v>
      </c>
      <c r="C53" s="52">
        <v>7</v>
      </c>
      <c r="D53" s="53" t="s">
        <v>221</v>
      </c>
      <c r="E53" s="65"/>
      <c r="F53" s="65" t="str">
        <f>IF(INDEX(I.Compliance.FacilityObligation,7)="","",INDEX(I.Compliance.FacilityObligation,7))</f>
        <v/>
      </c>
      <c r="G53" s="65"/>
      <c r="H53" s="52" t="str">
        <f>IF(AND(I.Compliance.FacilityCount&gt;=7,F53=""),"Incomplete","Complete")</f>
        <v>Complete</v>
      </c>
      <c r="I53" s="55" t="s">
        <v>178</v>
      </c>
    </row>
    <row r="54" spans="2:9" ht="15" customHeight="1" x14ac:dyDescent="0.25">
      <c r="B54" s="51" t="s">
        <v>246</v>
      </c>
      <c r="C54" s="52">
        <v>8</v>
      </c>
      <c r="D54" s="53" t="s">
        <v>221</v>
      </c>
      <c r="E54" s="65"/>
      <c r="F54" s="65" t="str">
        <f>IF(INDEX(I.Compliance.FacilityObligation,8)="","",INDEX(I.Compliance.FacilityObligation,8))</f>
        <v/>
      </c>
      <c r="G54" s="65"/>
      <c r="H54" s="52" t="str">
        <f>IF(AND(I.Compliance.FacilityCount&gt;=8,F54=""),"Incomplete","Complete")</f>
        <v>Complete</v>
      </c>
      <c r="I54" s="55" t="s">
        <v>179</v>
      </c>
    </row>
    <row r="55" spans="2:9" ht="15" customHeight="1" x14ac:dyDescent="0.25">
      <c r="B55" s="51" t="s">
        <v>246</v>
      </c>
      <c r="C55" s="52">
        <v>9</v>
      </c>
      <c r="D55" s="53" t="s">
        <v>221</v>
      </c>
      <c r="E55" s="65"/>
      <c r="F55" s="65" t="str">
        <f>IF(INDEX(I.Compliance.FacilityObligation,9)="","",INDEX(I.Compliance.FacilityObligation,9))</f>
        <v/>
      </c>
      <c r="G55" s="65"/>
      <c r="H55" s="52" t="str">
        <f>IF(AND(I.Compliance.FacilityCount&gt;=9,F55=""),"Incomplete","Complete")</f>
        <v>Complete</v>
      </c>
      <c r="I55" s="55" t="s">
        <v>180</v>
      </c>
    </row>
    <row r="56" spans="2:9" ht="15" customHeight="1" x14ac:dyDescent="0.25">
      <c r="B56" s="51" t="s">
        <v>246</v>
      </c>
      <c r="C56" s="52">
        <v>10</v>
      </c>
      <c r="D56" s="53" t="s">
        <v>221</v>
      </c>
      <c r="E56" s="65"/>
      <c r="F56" s="65" t="str">
        <f>IF(INDEX(I.Compliance.FacilityObligation,10)="","",INDEX(I.Compliance.FacilityObligation,10))</f>
        <v/>
      </c>
      <c r="G56" s="65"/>
      <c r="H56" s="52" t="str">
        <f>IF(AND(I.Compliance.FacilityCount&gt;=10,F56=""),"Incomplete","Complete")</f>
        <v>Complete</v>
      </c>
      <c r="I56" s="55" t="s">
        <v>181</v>
      </c>
    </row>
    <row r="57" spans="2:9" ht="15" customHeight="1" x14ac:dyDescent="0.25">
      <c r="B57" s="51" t="s">
        <v>246</v>
      </c>
      <c r="C57" s="52">
        <v>11</v>
      </c>
      <c r="D57" s="53" t="s">
        <v>221</v>
      </c>
      <c r="E57" s="65"/>
      <c r="F57" s="65" t="str">
        <f>IF(INDEX(I.Compliance.FacilityObligation,11)="","",INDEX(I.Compliance.FacilityObligation,11))</f>
        <v/>
      </c>
      <c r="G57" s="65"/>
      <c r="H57" s="52" t="str">
        <f>IF(AND(I.Compliance.FacilityCount&gt;=11,F57=""),"Incomplete","Complete")</f>
        <v>Complete</v>
      </c>
      <c r="I57" s="55" t="s">
        <v>182</v>
      </c>
    </row>
    <row r="58" spans="2:9" ht="15" customHeight="1" x14ac:dyDescent="0.25">
      <c r="B58" s="51" t="s">
        <v>246</v>
      </c>
      <c r="C58" s="52">
        <v>12</v>
      </c>
      <c r="D58" s="53" t="s">
        <v>221</v>
      </c>
      <c r="E58" s="65"/>
      <c r="F58" s="65" t="str">
        <f>IF(INDEX(I.Compliance.FacilityObligation,12)="","",INDEX(I.Compliance.FacilityObligation,12))</f>
        <v/>
      </c>
      <c r="G58" s="65"/>
      <c r="H58" s="52" t="str">
        <f>IF(AND(I.Compliance.FacilityCount&gt;=12,F58=""),"Incomplete","Complete")</f>
        <v>Complete</v>
      </c>
      <c r="I58" s="55" t="s">
        <v>183</v>
      </c>
    </row>
    <row r="59" spans="2:9" ht="15" customHeight="1" x14ac:dyDescent="0.25">
      <c r="B59" s="51" t="s">
        <v>246</v>
      </c>
      <c r="C59" s="52">
        <v>13</v>
      </c>
      <c r="D59" s="53" t="s">
        <v>221</v>
      </c>
      <c r="E59" s="65"/>
      <c r="F59" s="65" t="str">
        <f>IF(INDEX(I.Compliance.FacilityObligation,13)="","",INDEX(I.Compliance.FacilityObligation,13))</f>
        <v/>
      </c>
      <c r="G59" s="65"/>
      <c r="H59" s="52" t="str">
        <f>IF(AND(I.Compliance.FacilityCount&gt;=13,F59=""),"Incomplete","Complete")</f>
        <v>Complete</v>
      </c>
      <c r="I59" s="55" t="s">
        <v>184</v>
      </c>
    </row>
    <row r="60" spans="2:9" ht="15" customHeight="1" x14ac:dyDescent="0.25">
      <c r="B60" s="51" t="s">
        <v>246</v>
      </c>
      <c r="C60" s="52">
        <v>14</v>
      </c>
      <c r="D60" s="53" t="s">
        <v>221</v>
      </c>
      <c r="E60" s="65"/>
      <c r="F60" s="65" t="str">
        <f>IF(INDEX(I.Compliance.FacilityObligation,14)="","",INDEX(I.Compliance.FacilityObligation,14))</f>
        <v/>
      </c>
      <c r="G60" s="65"/>
      <c r="H60" s="52" t="str">
        <f>IF(AND(I.Compliance.FacilityCount&gt;=14,F60=""),"Incomplete","Complete")</f>
        <v>Complete</v>
      </c>
      <c r="I60" s="55" t="s">
        <v>185</v>
      </c>
    </row>
    <row r="61" spans="2:9" ht="15" customHeight="1" x14ac:dyDescent="0.25">
      <c r="B61" s="51" t="s">
        <v>246</v>
      </c>
      <c r="C61" s="52">
        <v>15</v>
      </c>
      <c r="D61" s="53" t="s">
        <v>221</v>
      </c>
      <c r="E61" s="65"/>
      <c r="F61" s="65" t="str">
        <f>IF(INDEX(I.Compliance.FacilityObligation,15)="","",INDEX(I.Compliance.FacilityObligation,15))</f>
        <v/>
      </c>
      <c r="G61" s="65"/>
      <c r="H61" s="52" t="str">
        <f>IF(AND(I.Compliance.FacilityCount&gt;=15,F61=""),"Incomplete","Complete")</f>
        <v>Complete</v>
      </c>
      <c r="I61" s="55" t="s">
        <v>186</v>
      </c>
    </row>
    <row r="62" spans="2:9" ht="15" customHeight="1" x14ac:dyDescent="0.25">
      <c r="B62" s="51" t="s">
        <v>246</v>
      </c>
      <c r="C62" s="52">
        <v>16</v>
      </c>
      <c r="D62" s="53" t="s">
        <v>221</v>
      </c>
      <c r="E62" s="65"/>
      <c r="F62" s="65" t="str">
        <f>IF(INDEX(I.Compliance.FacilityObligation,16)="","",INDEX(I.Compliance.FacilityObligation,16))</f>
        <v/>
      </c>
      <c r="G62" s="65"/>
      <c r="H62" s="52" t="str">
        <f>IF(AND(I.Compliance.FacilityCount&gt;=16,F62=""),"Incomplete","Complete")</f>
        <v>Complete</v>
      </c>
      <c r="I62" s="55" t="s">
        <v>187</v>
      </c>
    </row>
    <row r="63" spans="2:9" ht="15" customHeight="1" x14ac:dyDescent="0.25">
      <c r="B63" s="51" t="s">
        <v>246</v>
      </c>
      <c r="C63" s="52">
        <v>17</v>
      </c>
      <c r="D63" s="53" t="s">
        <v>221</v>
      </c>
      <c r="E63" s="65"/>
      <c r="F63" s="65" t="str">
        <f>IF(INDEX(I.Compliance.FacilityObligation,17)="","",INDEX(I.Compliance.FacilityObligation,17))</f>
        <v/>
      </c>
      <c r="G63" s="65"/>
      <c r="H63" s="52" t="str">
        <f>IF(AND(I.Compliance.FacilityCount&gt;=17,F63=""),"Incomplete","Complete")</f>
        <v>Complete</v>
      </c>
      <c r="I63" s="55" t="s">
        <v>188</v>
      </c>
    </row>
    <row r="64" spans="2:9" ht="15" customHeight="1" x14ac:dyDescent="0.25">
      <c r="B64" s="51" t="s">
        <v>246</v>
      </c>
      <c r="C64" s="52">
        <v>18</v>
      </c>
      <c r="D64" s="53" t="s">
        <v>221</v>
      </c>
      <c r="E64" s="65"/>
      <c r="F64" s="65" t="str">
        <f>IF(INDEX(I.Compliance.FacilityObligation,18)="","",INDEX(I.Compliance.FacilityObligation,18))</f>
        <v/>
      </c>
      <c r="G64" s="65"/>
      <c r="H64" s="52" t="str">
        <f>IF(AND(I.Compliance.FacilityCount&gt;=18,F64=""),"Incomplete","Complete")</f>
        <v>Complete</v>
      </c>
      <c r="I64" s="55" t="s">
        <v>189</v>
      </c>
    </row>
    <row r="65" spans="2:9" ht="15" customHeight="1" x14ac:dyDescent="0.25">
      <c r="B65" s="51" t="s">
        <v>246</v>
      </c>
      <c r="C65" s="52">
        <v>19</v>
      </c>
      <c r="D65" s="53" t="s">
        <v>221</v>
      </c>
      <c r="E65" s="65"/>
      <c r="F65" s="65" t="str">
        <f>IF(INDEX(I.Compliance.FacilityObligation,19)="","",INDEX(I.Compliance.FacilityObligation,19))</f>
        <v/>
      </c>
      <c r="G65" s="65"/>
      <c r="H65" s="52" t="str">
        <f>IF(AND(I.Compliance.FacilityCount&gt;=19,F65=""),"Incomplete","Complete")</f>
        <v>Complete</v>
      </c>
      <c r="I65" s="55" t="s">
        <v>190</v>
      </c>
    </row>
    <row r="66" spans="2:9" ht="15" customHeight="1" x14ac:dyDescent="0.25">
      <c r="B66" s="40" t="s">
        <v>246</v>
      </c>
      <c r="C66" s="42">
        <v>20</v>
      </c>
      <c r="D66" s="43" t="s">
        <v>221</v>
      </c>
      <c r="E66" s="66"/>
      <c r="F66" s="66" t="str">
        <f>IF(INDEX(I.Compliance.FacilityObligation,20)="","",INDEX(I.Compliance.FacilityObligation,20))</f>
        <v/>
      </c>
      <c r="G66" s="66"/>
      <c r="H66" s="42" t="str">
        <f>IF(AND(I.Compliance.FacilityCount&gt;=20,F66=""),"Incomplete","Complete")</f>
        <v>Complete</v>
      </c>
      <c r="I66" s="45" t="s">
        <v>191</v>
      </c>
    </row>
    <row r="67" spans="2:9" ht="15" customHeight="1" x14ac:dyDescent="0.25">
      <c r="B67" s="51" t="s">
        <v>4283</v>
      </c>
      <c r="C67" s="52">
        <v>1</v>
      </c>
      <c r="D67" s="53" t="s">
        <v>4287</v>
      </c>
      <c r="E67" s="65"/>
      <c r="F67" s="65" t="str">
        <f>IF(INDEX(I.Compliance.FulfilledPerformance,1)="","",INDEX(I.Compliance.FulfilledPerformance,1))</f>
        <v/>
      </c>
      <c r="G67" s="65"/>
      <c r="H67" s="52" t="str">
        <f>IF(I.Compliance.FulfilledPerformance="","Incomplete","Complete")</f>
        <v>Incomplete</v>
      </c>
      <c r="I67" s="55" t="s">
        <v>192</v>
      </c>
    </row>
    <row r="68" spans="2:9" ht="15" customHeight="1" x14ac:dyDescent="0.25">
      <c r="B68" s="67" t="s">
        <v>4284</v>
      </c>
      <c r="C68" s="68">
        <v>1</v>
      </c>
      <c r="D68" s="69" t="s">
        <v>255</v>
      </c>
      <c r="E68" s="82"/>
      <c r="F68" s="82" t="str">
        <f>IF(INDEX(I.Compliance.FulfilledCCUS,1)="","",INDEX(I.Compliance.FulfilledCCUS,1))</f>
        <v/>
      </c>
      <c r="G68" s="82"/>
      <c r="H68" s="68" t="str">
        <f>IF(I.Compliance.FulfilledCCUS="","Incomplete","Complete")</f>
        <v>Incomplete</v>
      </c>
      <c r="I68" s="71" t="s">
        <v>4289</v>
      </c>
    </row>
    <row r="69" spans="2:9" ht="15" customHeight="1" x14ac:dyDescent="0.25">
      <c r="B69" s="87"/>
      <c r="C69" s="88"/>
      <c r="D69" s="89"/>
      <c r="E69" s="88"/>
      <c r="F69" s="88"/>
      <c r="G69" s="88"/>
      <c r="H69" s="88" t="str">
        <f>IF(I.Compliance.FulfilledPerformance+I.Compliance.FulfilledCCUS&gt;R.Compliance.Obligation,"Incomplete","Complete")</f>
        <v>Complete</v>
      </c>
      <c r="I69" s="90" t="s">
        <v>4290</v>
      </c>
    </row>
    <row r="70" spans="2:9" ht="15" customHeight="1" x14ac:dyDescent="0.25">
      <c r="B70" s="67" t="s">
        <v>247</v>
      </c>
      <c r="C70" s="68">
        <v>1</v>
      </c>
      <c r="D70" s="69" t="s">
        <v>4325</v>
      </c>
      <c r="E70" s="82">
        <v>1</v>
      </c>
      <c r="F70" s="82" t="str">
        <f>IF(INDEX(I.Performance.RangeCount,1)="","",INDEX(I.Performance.RangeCount,1))</f>
        <v/>
      </c>
      <c r="G70" s="82"/>
      <c r="H70" s="68" t="str">
        <f>IF(AND(I.Compliance.FulfilledPerformance&gt;0,I.Performance.RangeCount=""),"Incomplete","Complete")</f>
        <v>Complete</v>
      </c>
      <c r="I70" s="71" t="s">
        <v>268</v>
      </c>
    </row>
    <row r="71" spans="2:9" ht="15" customHeight="1" x14ac:dyDescent="0.25">
      <c r="B71" s="72" t="s">
        <v>124</v>
      </c>
      <c r="C71" s="73">
        <v>1</v>
      </c>
      <c r="D71" s="74" t="s">
        <v>4326</v>
      </c>
      <c r="E71" s="76"/>
      <c r="F71" s="73" t="str">
        <f>IF(INDEX(I.Performance.StartRange,1)="","",INDEX(I.Performance.StartRange,1))</f>
        <v/>
      </c>
      <c r="G71" s="76"/>
      <c r="H71" s="73" t="str">
        <f>IF(AND(I.Compliance.FulfilledPerformance&gt;0,I.Performance.RangeCount&gt;=1,F71=""),"Incomplete","Complete")</f>
        <v>Complete</v>
      </c>
      <c r="I71" s="75" t="s">
        <v>269</v>
      </c>
    </row>
    <row r="72" spans="2:9" ht="15" customHeight="1" x14ac:dyDescent="0.25">
      <c r="B72" s="51" t="s">
        <v>124</v>
      </c>
      <c r="C72" s="52">
        <v>2</v>
      </c>
      <c r="D72" s="53" t="s">
        <v>4326</v>
      </c>
      <c r="E72" s="54"/>
      <c r="F72" s="52" t="str">
        <f>IF(INDEX(I.Performance.StartRange,2)="","",INDEX(I.Performance.StartRange,2))</f>
        <v/>
      </c>
      <c r="G72" s="54"/>
      <c r="H72" s="52" t="str">
        <f>IF(AND(I.Compliance.FulfilledPerformance&gt;0,I.Performance.RangeCount&gt;=2,F72=""),"Incomplete","Complete")</f>
        <v>Complete</v>
      </c>
      <c r="I72" s="55" t="s">
        <v>270</v>
      </c>
    </row>
    <row r="73" spans="2:9" ht="15" customHeight="1" x14ac:dyDescent="0.25">
      <c r="B73" s="51" t="s">
        <v>124</v>
      </c>
      <c r="C73" s="52">
        <v>3</v>
      </c>
      <c r="D73" s="53" t="s">
        <v>4326</v>
      </c>
      <c r="E73" s="54"/>
      <c r="F73" s="52" t="str">
        <f>IF(INDEX(I.Performance.StartRange,3)="","",INDEX(I.Performance.StartRange,3))</f>
        <v/>
      </c>
      <c r="G73" s="54"/>
      <c r="H73" s="52" t="str">
        <f>IF(AND(I.Compliance.FulfilledPerformance&gt;0,I.Performance.RangeCount&gt;=3,F73=""),"Incomplete","Complete")</f>
        <v>Complete</v>
      </c>
      <c r="I73" s="55" t="s">
        <v>271</v>
      </c>
    </row>
    <row r="74" spans="2:9" ht="15" customHeight="1" x14ac:dyDescent="0.25">
      <c r="B74" s="51" t="s">
        <v>124</v>
      </c>
      <c r="C74" s="52">
        <v>4</v>
      </c>
      <c r="D74" s="53" t="s">
        <v>4326</v>
      </c>
      <c r="E74" s="54"/>
      <c r="F74" s="52" t="str">
        <f>IF(INDEX(I.Performance.StartRange,4)="","",INDEX(I.Performance.StartRange,4))</f>
        <v/>
      </c>
      <c r="G74" s="54"/>
      <c r="H74" s="52" t="str">
        <f>IF(AND(I.Compliance.FulfilledPerformance&gt;0,I.Performance.RangeCount&gt;=4,F74=""),"Incomplete","Complete")</f>
        <v>Complete</v>
      </c>
      <c r="I74" s="55" t="s">
        <v>272</v>
      </c>
    </row>
    <row r="75" spans="2:9" ht="15" customHeight="1" x14ac:dyDescent="0.25">
      <c r="B75" s="51" t="s">
        <v>124</v>
      </c>
      <c r="C75" s="52">
        <v>5</v>
      </c>
      <c r="D75" s="53" t="s">
        <v>4326</v>
      </c>
      <c r="E75" s="54"/>
      <c r="F75" s="52" t="str">
        <f>IF(INDEX(I.Performance.StartRange,5)="","",INDEX(I.Performance.StartRange,5))</f>
        <v/>
      </c>
      <c r="G75" s="54"/>
      <c r="H75" s="52" t="str">
        <f>IF(AND(I.Compliance.FulfilledPerformance&gt;0,I.Performance.RangeCount&gt;=5,F75=""),"Incomplete","Complete")</f>
        <v>Complete</v>
      </c>
      <c r="I75" s="55" t="s">
        <v>273</v>
      </c>
    </row>
    <row r="76" spans="2:9" ht="15" customHeight="1" x14ac:dyDescent="0.25">
      <c r="B76" s="51" t="s">
        <v>124</v>
      </c>
      <c r="C76" s="52">
        <v>6</v>
      </c>
      <c r="D76" s="53" t="s">
        <v>4326</v>
      </c>
      <c r="E76" s="54"/>
      <c r="F76" s="52" t="str">
        <f>IF(INDEX(I.Performance.StartRange,6)="","",INDEX(I.Performance.StartRange,6))</f>
        <v/>
      </c>
      <c r="G76" s="54"/>
      <c r="H76" s="52" t="str">
        <f>IF(AND(I.Compliance.FulfilledPerformance&gt;0,I.Performance.RangeCount&gt;=6,F76=""),"Incomplete","Complete")</f>
        <v>Complete</v>
      </c>
      <c r="I76" s="55" t="s">
        <v>274</v>
      </c>
    </row>
    <row r="77" spans="2:9" ht="15" customHeight="1" x14ac:dyDescent="0.25">
      <c r="B77" s="51" t="s">
        <v>124</v>
      </c>
      <c r="C77" s="52">
        <v>7</v>
      </c>
      <c r="D77" s="53" t="s">
        <v>4326</v>
      </c>
      <c r="E77" s="54"/>
      <c r="F77" s="52" t="str">
        <f>IF(INDEX(I.Performance.StartRange,7)="","",INDEX(I.Performance.StartRange,7))</f>
        <v/>
      </c>
      <c r="G77" s="54"/>
      <c r="H77" s="52" t="str">
        <f>IF(AND(I.Compliance.FulfilledPerformance&gt;0,I.Performance.RangeCount&gt;=7,F77=""),"Incomplete","Complete")</f>
        <v>Complete</v>
      </c>
      <c r="I77" s="55" t="s">
        <v>275</v>
      </c>
    </row>
    <row r="78" spans="2:9" ht="15" customHeight="1" x14ac:dyDescent="0.25">
      <c r="B78" s="51" t="s">
        <v>124</v>
      </c>
      <c r="C78" s="52">
        <v>8</v>
      </c>
      <c r="D78" s="53" t="s">
        <v>4326</v>
      </c>
      <c r="E78" s="54"/>
      <c r="F78" s="52" t="str">
        <f>IF(INDEX(I.Performance.StartRange,8)="","",INDEX(I.Performance.StartRange,8))</f>
        <v/>
      </c>
      <c r="G78" s="54"/>
      <c r="H78" s="52" t="str">
        <f>IF(AND(I.Compliance.FulfilledPerformance&gt;0,I.Performance.RangeCount&gt;=8,F78=""),"Incomplete","Complete")</f>
        <v>Complete</v>
      </c>
      <c r="I78" s="55" t="s">
        <v>276</v>
      </c>
    </row>
    <row r="79" spans="2:9" ht="15" customHeight="1" x14ac:dyDescent="0.25">
      <c r="B79" s="51" t="s">
        <v>124</v>
      </c>
      <c r="C79" s="52">
        <v>9</v>
      </c>
      <c r="D79" s="53" t="s">
        <v>4326</v>
      </c>
      <c r="E79" s="54"/>
      <c r="F79" s="52" t="str">
        <f>IF(INDEX(I.Performance.StartRange,9)="","",INDEX(I.Performance.StartRange,9))</f>
        <v/>
      </c>
      <c r="G79" s="54"/>
      <c r="H79" s="52" t="str">
        <f>IF(AND(I.Compliance.FulfilledPerformance&gt;0,I.Performance.RangeCount&gt;=9,F79=""),"Incomplete","Complete")</f>
        <v>Complete</v>
      </c>
      <c r="I79" s="55" t="s">
        <v>277</v>
      </c>
    </row>
    <row r="80" spans="2:9" ht="15" customHeight="1" x14ac:dyDescent="0.25">
      <c r="B80" s="51" t="s">
        <v>124</v>
      </c>
      <c r="C80" s="52">
        <v>10</v>
      </c>
      <c r="D80" s="53" t="s">
        <v>4326</v>
      </c>
      <c r="E80" s="54"/>
      <c r="F80" s="52" t="str">
        <f>IF(INDEX(I.Performance.StartRange,10)="","",INDEX(I.Performance.StartRange,10))</f>
        <v/>
      </c>
      <c r="G80" s="54"/>
      <c r="H80" s="52" t="str">
        <f>IF(AND(I.Compliance.FulfilledPerformance&gt;0,I.Performance.RangeCount&gt;=10,F80=""),"Incomplete","Complete")</f>
        <v>Complete</v>
      </c>
      <c r="I80" s="55" t="s">
        <v>278</v>
      </c>
    </row>
    <row r="81" spans="2:9" ht="15" customHeight="1" x14ac:dyDescent="0.25">
      <c r="B81" s="36" t="s">
        <v>124</v>
      </c>
      <c r="C81" s="24">
        <v>11</v>
      </c>
      <c r="D81" s="37" t="s">
        <v>4326</v>
      </c>
      <c r="E81" s="47"/>
      <c r="F81" s="24" t="str">
        <f>IF(INDEX(I.Performance.StartRange,11)="","",INDEX(I.Performance.StartRange,11))</f>
        <v/>
      </c>
      <c r="G81" s="47"/>
      <c r="H81" s="24" t="str">
        <f>IF(AND(I.Compliance.FulfilledPerformance&gt;0,I.Performance.RangeCount&gt;=11,F81=""),"Incomplete","Complete")</f>
        <v>Complete</v>
      </c>
      <c r="I81" s="39" t="s">
        <v>279</v>
      </c>
    </row>
    <row r="82" spans="2:9" ht="15" customHeight="1" x14ac:dyDescent="0.25">
      <c r="B82" s="51" t="s">
        <v>124</v>
      </c>
      <c r="C82" s="52">
        <v>12</v>
      </c>
      <c r="D82" s="53" t="s">
        <v>4326</v>
      </c>
      <c r="E82" s="54"/>
      <c r="F82" s="52" t="str">
        <f>IF(INDEX(I.Performance.StartRange,12)="","",INDEX(I.Performance.StartRange,12))</f>
        <v/>
      </c>
      <c r="G82" s="54"/>
      <c r="H82" s="52" t="str">
        <f>IF(AND(I.Compliance.FulfilledPerformance&gt;0,I.Performance.RangeCount&gt;=12,F82=""),"Incomplete","Complete")</f>
        <v>Complete</v>
      </c>
      <c r="I82" s="55" t="s">
        <v>280</v>
      </c>
    </row>
    <row r="83" spans="2:9" ht="15" customHeight="1" x14ac:dyDescent="0.25">
      <c r="B83" s="36" t="s">
        <v>124</v>
      </c>
      <c r="C83" s="24">
        <v>13</v>
      </c>
      <c r="D83" s="37" t="s">
        <v>4326</v>
      </c>
      <c r="E83" s="47"/>
      <c r="F83" s="24" t="str">
        <f>IF(INDEX(I.Performance.StartRange,13)="","",INDEX(I.Performance.StartRange,13))</f>
        <v/>
      </c>
      <c r="G83" s="47"/>
      <c r="H83" s="24" t="str">
        <f>IF(AND(I.Compliance.FulfilledPerformance&gt;0,I.Performance.RangeCount&gt;=13,F83=""),"Incomplete","Complete")</f>
        <v>Complete</v>
      </c>
      <c r="I83" s="39" t="s">
        <v>281</v>
      </c>
    </row>
    <row r="84" spans="2:9" ht="15" customHeight="1" x14ac:dyDescent="0.25">
      <c r="B84" s="51" t="s">
        <v>124</v>
      </c>
      <c r="C84" s="52">
        <v>14</v>
      </c>
      <c r="D84" s="53" t="s">
        <v>4326</v>
      </c>
      <c r="E84" s="54"/>
      <c r="F84" s="52" t="str">
        <f>IF(INDEX(I.Performance.StartRange,14)="","",INDEX(I.Performance.StartRange,14))</f>
        <v/>
      </c>
      <c r="G84" s="54"/>
      <c r="H84" s="52" t="str">
        <f>IF(AND(I.Compliance.FulfilledPerformance&gt;0,I.Performance.RangeCount&gt;=14,F84=""),"Incomplete","Complete")</f>
        <v>Complete</v>
      </c>
      <c r="I84" s="55" t="s">
        <v>282</v>
      </c>
    </row>
    <row r="85" spans="2:9" ht="15" customHeight="1" x14ac:dyDescent="0.25">
      <c r="B85" s="51" t="s">
        <v>124</v>
      </c>
      <c r="C85" s="52">
        <v>15</v>
      </c>
      <c r="D85" s="53" t="s">
        <v>4326</v>
      </c>
      <c r="E85" s="54"/>
      <c r="F85" s="52" t="str">
        <f>IF(INDEX(I.Performance.StartRange,15)="","",INDEX(I.Performance.StartRange,15))</f>
        <v/>
      </c>
      <c r="G85" s="54"/>
      <c r="H85" s="52" t="str">
        <f>IF(AND(I.Compliance.FulfilledPerformance&gt;0,I.Performance.RangeCount&gt;=15,F85=""),"Incomplete","Complete")</f>
        <v>Complete</v>
      </c>
      <c r="I85" s="55" t="s">
        <v>283</v>
      </c>
    </row>
    <row r="86" spans="2:9" ht="15" customHeight="1" x14ac:dyDescent="0.25">
      <c r="B86" s="51" t="s">
        <v>124</v>
      </c>
      <c r="C86" s="52">
        <v>16</v>
      </c>
      <c r="D86" s="53" t="s">
        <v>4326</v>
      </c>
      <c r="E86" s="54"/>
      <c r="F86" s="52" t="str">
        <f>IF(INDEX(I.Performance.StartRange,16)="","",INDEX(I.Performance.StartRange,16))</f>
        <v/>
      </c>
      <c r="G86" s="54"/>
      <c r="H86" s="52" t="str">
        <f>IF(AND(I.Compliance.FulfilledPerformance&gt;0,I.Performance.RangeCount&gt;=16,F86=""),"Incomplete","Complete")</f>
        <v>Complete</v>
      </c>
      <c r="I86" s="55" t="s">
        <v>284</v>
      </c>
    </row>
    <row r="87" spans="2:9" ht="15" customHeight="1" x14ac:dyDescent="0.25">
      <c r="B87" s="51" t="s">
        <v>124</v>
      </c>
      <c r="C87" s="52">
        <v>17</v>
      </c>
      <c r="D87" s="53" t="s">
        <v>4326</v>
      </c>
      <c r="E87" s="54"/>
      <c r="F87" s="52" t="str">
        <f>IF(INDEX(I.Performance.StartRange,17)="","",INDEX(I.Performance.StartRange,17))</f>
        <v/>
      </c>
      <c r="G87" s="54"/>
      <c r="H87" s="52" t="str">
        <f>IF(AND(I.Compliance.FulfilledPerformance&gt;0,I.Performance.RangeCount&gt;=17,F87=""),"Incomplete","Complete")</f>
        <v>Complete</v>
      </c>
      <c r="I87" s="55" t="s">
        <v>285</v>
      </c>
    </row>
    <row r="88" spans="2:9" ht="15" customHeight="1" x14ac:dyDescent="0.25">
      <c r="B88" s="51" t="s">
        <v>124</v>
      </c>
      <c r="C88" s="52">
        <v>18</v>
      </c>
      <c r="D88" s="53" t="s">
        <v>4326</v>
      </c>
      <c r="E88" s="54"/>
      <c r="F88" s="52" t="str">
        <f>IF(INDEX(I.Performance.StartRange,18)="","",INDEX(I.Performance.StartRange,18))</f>
        <v/>
      </c>
      <c r="G88" s="54"/>
      <c r="H88" s="52" t="str">
        <f>IF(AND(I.Compliance.FulfilledPerformance&gt;0,I.Performance.RangeCount&gt;=18,F88=""),"Incomplete","Complete")</f>
        <v>Complete</v>
      </c>
      <c r="I88" s="55" t="s">
        <v>286</v>
      </c>
    </row>
    <row r="89" spans="2:9" ht="15" customHeight="1" x14ac:dyDescent="0.25">
      <c r="B89" s="51" t="s">
        <v>124</v>
      </c>
      <c r="C89" s="52">
        <v>19</v>
      </c>
      <c r="D89" s="53" t="s">
        <v>4326</v>
      </c>
      <c r="E89" s="54"/>
      <c r="F89" s="52" t="str">
        <f>IF(INDEX(I.Performance.StartRange,19)="","",INDEX(I.Performance.StartRange,19))</f>
        <v/>
      </c>
      <c r="G89" s="54"/>
      <c r="H89" s="52" t="str">
        <f>IF(AND(I.Compliance.FulfilledPerformance&gt;0,I.Performance.RangeCount&gt;=19,F89=""),"Incomplete","Complete")</f>
        <v>Complete</v>
      </c>
      <c r="I89" s="55" t="s">
        <v>287</v>
      </c>
    </row>
    <row r="90" spans="2:9" ht="15" customHeight="1" x14ac:dyDescent="0.25">
      <c r="B90" s="51" t="s">
        <v>124</v>
      </c>
      <c r="C90" s="52">
        <v>20</v>
      </c>
      <c r="D90" s="53" t="s">
        <v>4326</v>
      </c>
      <c r="E90" s="54"/>
      <c r="F90" s="52" t="str">
        <f>IF(INDEX(I.Performance.StartRange,20)="","",INDEX(I.Performance.StartRange,20))</f>
        <v/>
      </c>
      <c r="G90" s="54"/>
      <c r="H90" s="52" t="str">
        <f>IF(AND(I.Compliance.FulfilledPerformance&gt;0,I.Performance.RangeCount&gt;=20,F90=""),"Incomplete","Complete")</f>
        <v>Complete</v>
      </c>
      <c r="I90" s="55" t="s">
        <v>288</v>
      </c>
    </row>
    <row r="91" spans="2:9" ht="15" customHeight="1" x14ac:dyDescent="0.25">
      <c r="B91" s="51" t="s">
        <v>124</v>
      </c>
      <c r="C91" s="52">
        <v>21</v>
      </c>
      <c r="D91" s="53" t="s">
        <v>4326</v>
      </c>
      <c r="E91" s="54"/>
      <c r="F91" s="52" t="str">
        <f>IF(INDEX(I.Performance.StartRange,21)="","",INDEX(I.Performance.StartRange,21))</f>
        <v/>
      </c>
      <c r="G91" s="54"/>
      <c r="H91" s="52" t="str">
        <f>IF(AND(I.Compliance.FulfilledPerformance&gt;0,I.Performance.RangeCount&gt;=21,F91=""),"Incomplete","Complete")</f>
        <v>Complete</v>
      </c>
      <c r="I91" s="55" t="s">
        <v>289</v>
      </c>
    </row>
    <row r="92" spans="2:9" ht="15" customHeight="1" x14ac:dyDescent="0.25">
      <c r="B92" s="51" t="s">
        <v>124</v>
      </c>
      <c r="C92" s="52">
        <v>22</v>
      </c>
      <c r="D92" s="53" t="s">
        <v>4326</v>
      </c>
      <c r="E92" s="54"/>
      <c r="F92" s="52" t="str">
        <f>IF(INDEX(I.Performance.StartRange,22)="","",INDEX(I.Performance.StartRange,22))</f>
        <v/>
      </c>
      <c r="G92" s="54"/>
      <c r="H92" s="52" t="str">
        <f>IF(AND(I.Compliance.FulfilledPerformance&gt;0,I.Performance.RangeCount&gt;=22,F92=""),"Incomplete","Complete")</f>
        <v>Complete</v>
      </c>
      <c r="I92" s="55" t="s">
        <v>290</v>
      </c>
    </row>
    <row r="93" spans="2:9" ht="15" customHeight="1" x14ac:dyDescent="0.25">
      <c r="B93" s="51" t="s">
        <v>124</v>
      </c>
      <c r="C93" s="52">
        <v>23</v>
      </c>
      <c r="D93" s="53" t="s">
        <v>4326</v>
      </c>
      <c r="E93" s="54"/>
      <c r="F93" s="52" t="str">
        <f>IF(INDEX(I.Performance.StartRange,23)="","",INDEX(I.Performance.StartRange,23))</f>
        <v/>
      </c>
      <c r="G93" s="54"/>
      <c r="H93" s="52" t="str">
        <f>IF(AND(I.Compliance.FulfilledPerformance&gt;0,I.Performance.RangeCount&gt;=23,F93=""),"Incomplete","Complete")</f>
        <v>Complete</v>
      </c>
      <c r="I93" s="55" t="s">
        <v>291</v>
      </c>
    </row>
    <row r="94" spans="2:9" ht="15" customHeight="1" x14ac:dyDescent="0.25">
      <c r="B94" s="51" t="s">
        <v>124</v>
      </c>
      <c r="C94" s="52">
        <v>24</v>
      </c>
      <c r="D94" s="53" t="s">
        <v>4326</v>
      </c>
      <c r="E94" s="54"/>
      <c r="F94" s="52" t="str">
        <f>IF(INDEX(I.Performance.StartRange,24)="","",INDEX(I.Performance.StartRange,24))</f>
        <v/>
      </c>
      <c r="G94" s="54"/>
      <c r="H94" s="52" t="str">
        <f>IF(AND(I.Compliance.FulfilledPerformance&gt;0,I.Performance.RangeCount&gt;=24,F94=""),"Incomplete","Complete")</f>
        <v>Complete</v>
      </c>
      <c r="I94" s="55" t="s">
        <v>292</v>
      </c>
    </row>
    <row r="95" spans="2:9" ht="15" customHeight="1" x14ac:dyDescent="0.25">
      <c r="B95" s="51" t="s">
        <v>124</v>
      </c>
      <c r="C95" s="52">
        <v>25</v>
      </c>
      <c r="D95" s="53" t="s">
        <v>4326</v>
      </c>
      <c r="E95" s="54"/>
      <c r="F95" s="52" t="str">
        <f>IF(INDEX(I.Performance.StartRange,25)="","",INDEX(I.Performance.StartRange,25))</f>
        <v/>
      </c>
      <c r="G95" s="54"/>
      <c r="H95" s="52" t="str">
        <f>IF(AND(I.Compliance.FulfilledPerformance&gt;0,I.Performance.RangeCount&gt;=25,F95=""),"Incomplete","Complete")</f>
        <v>Complete</v>
      </c>
      <c r="I95" s="55" t="s">
        <v>293</v>
      </c>
    </row>
    <row r="96" spans="2:9" ht="15" customHeight="1" x14ac:dyDescent="0.25">
      <c r="B96" s="51" t="s">
        <v>124</v>
      </c>
      <c r="C96" s="52">
        <v>26</v>
      </c>
      <c r="D96" s="53" t="s">
        <v>4326</v>
      </c>
      <c r="E96" s="54"/>
      <c r="F96" s="52" t="str">
        <f>IF(INDEX(I.Performance.StartRange,26)="","",INDEX(I.Performance.StartRange,26))</f>
        <v/>
      </c>
      <c r="G96" s="54"/>
      <c r="H96" s="52" t="str">
        <f>IF(AND(I.Compliance.FulfilledPerformance&gt;0,I.Performance.RangeCount&gt;=26,F96=""),"Incomplete","Complete")</f>
        <v>Complete</v>
      </c>
      <c r="I96" s="55" t="s">
        <v>294</v>
      </c>
    </row>
    <row r="97" spans="2:9" ht="15" customHeight="1" x14ac:dyDescent="0.25">
      <c r="B97" s="51" t="s">
        <v>124</v>
      </c>
      <c r="C97" s="52">
        <v>27</v>
      </c>
      <c r="D97" s="53" t="s">
        <v>4326</v>
      </c>
      <c r="E97" s="54"/>
      <c r="F97" s="52" t="str">
        <f>IF(INDEX(I.Performance.StartRange,27)="","",INDEX(I.Performance.StartRange,27))</f>
        <v/>
      </c>
      <c r="G97" s="54"/>
      <c r="H97" s="52" t="str">
        <f>IF(AND(I.Compliance.FulfilledPerformance&gt;0,I.Performance.RangeCount&gt;=27,F97=""),"Incomplete","Complete")</f>
        <v>Complete</v>
      </c>
      <c r="I97" s="55" t="s">
        <v>295</v>
      </c>
    </row>
    <row r="98" spans="2:9" ht="15" customHeight="1" x14ac:dyDescent="0.25">
      <c r="B98" s="51" t="s">
        <v>124</v>
      </c>
      <c r="C98" s="52">
        <v>28</v>
      </c>
      <c r="D98" s="53" t="s">
        <v>4326</v>
      </c>
      <c r="E98" s="54"/>
      <c r="F98" s="52" t="str">
        <f>IF(INDEX(I.Performance.StartRange,28)="","",INDEX(I.Performance.StartRange,28))</f>
        <v/>
      </c>
      <c r="G98" s="54"/>
      <c r="H98" s="52" t="str">
        <f>IF(AND(I.Compliance.FulfilledPerformance&gt;0,I.Performance.RangeCount&gt;=28,F98=""),"Incomplete","Complete")</f>
        <v>Complete</v>
      </c>
      <c r="I98" s="55" t="s">
        <v>296</v>
      </c>
    </row>
    <row r="99" spans="2:9" ht="15" customHeight="1" x14ac:dyDescent="0.25">
      <c r="B99" s="51" t="s">
        <v>124</v>
      </c>
      <c r="C99" s="52">
        <v>29</v>
      </c>
      <c r="D99" s="53" t="s">
        <v>4326</v>
      </c>
      <c r="E99" s="54"/>
      <c r="F99" s="52" t="str">
        <f>IF(INDEX(I.Performance.StartRange,29)="","",INDEX(I.Performance.StartRange,29))</f>
        <v/>
      </c>
      <c r="G99" s="54"/>
      <c r="H99" s="52" t="str">
        <f>IF(AND(I.Compliance.FulfilledPerformance&gt;0,I.Performance.RangeCount&gt;=29,F99=""),"Incomplete","Complete")</f>
        <v>Complete</v>
      </c>
      <c r="I99" s="55" t="s">
        <v>297</v>
      </c>
    </row>
    <row r="100" spans="2:9" ht="15" customHeight="1" x14ac:dyDescent="0.25">
      <c r="B100" s="51" t="s">
        <v>124</v>
      </c>
      <c r="C100" s="52">
        <v>30</v>
      </c>
      <c r="D100" s="53" t="s">
        <v>4326</v>
      </c>
      <c r="E100" s="54"/>
      <c r="F100" s="52" t="str">
        <f>IF(INDEX(I.Performance.StartRange,30)="","",INDEX(I.Performance.StartRange,30))</f>
        <v/>
      </c>
      <c r="G100" s="54"/>
      <c r="H100" s="52" t="str">
        <f>IF(AND(I.Compliance.FulfilledPerformance&gt;0,I.Performance.RangeCount&gt;=30,F100=""),"Incomplete","Complete")</f>
        <v>Complete</v>
      </c>
      <c r="I100" s="55" t="s">
        <v>298</v>
      </c>
    </row>
    <row r="101" spans="2:9" ht="15" customHeight="1" x14ac:dyDescent="0.25">
      <c r="B101" s="51" t="s">
        <v>124</v>
      </c>
      <c r="C101" s="52">
        <v>31</v>
      </c>
      <c r="D101" s="53" t="s">
        <v>4326</v>
      </c>
      <c r="E101" s="54"/>
      <c r="F101" s="52" t="str">
        <f>IF(INDEX(I.Performance.StartRange,31)="","",INDEX(I.Performance.StartRange,31))</f>
        <v/>
      </c>
      <c r="G101" s="54"/>
      <c r="H101" s="52" t="str">
        <f>IF(AND(I.Compliance.FulfilledPerformance&gt;0,I.Performance.RangeCount&gt;=31,F101=""),"Incomplete","Complete")</f>
        <v>Complete</v>
      </c>
      <c r="I101" s="55" t="s">
        <v>299</v>
      </c>
    </row>
    <row r="102" spans="2:9" ht="15" customHeight="1" x14ac:dyDescent="0.25">
      <c r="B102" s="51" t="s">
        <v>124</v>
      </c>
      <c r="C102" s="52">
        <v>32</v>
      </c>
      <c r="D102" s="53" t="s">
        <v>4326</v>
      </c>
      <c r="E102" s="54"/>
      <c r="F102" s="52" t="str">
        <f>IF(INDEX(I.Performance.StartRange,32)="","",INDEX(I.Performance.StartRange,32))</f>
        <v/>
      </c>
      <c r="G102" s="54"/>
      <c r="H102" s="52" t="str">
        <f>IF(AND(I.Compliance.FulfilledPerformance&gt;0,I.Performance.RangeCount&gt;=32,F102=""),"Incomplete","Complete")</f>
        <v>Complete</v>
      </c>
      <c r="I102" s="55" t="s">
        <v>300</v>
      </c>
    </row>
    <row r="103" spans="2:9" ht="15" customHeight="1" x14ac:dyDescent="0.25">
      <c r="B103" s="51" t="s">
        <v>124</v>
      </c>
      <c r="C103" s="52">
        <v>33</v>
      </c>
      <c r="D103" s="53" t="s">
        <v>4326</v>
      </c>
      <c r="E103" s="54"/>
      <c r="F103" s="52" t="str">
        <f>IF(INDEX(I.Performance.StartRange,33)="","",INDEX(I.Performance.StartRange,33))</f>
        <v/>
      </c>
      <c r="G103" s="54"/>
      <c r="H103" s="52" t="str">
        <f>IF(AND(I.Compliance.FulfilledPerformance&gt;0,I.Performance.RangeCount&gt;=33,F103=""),"Incomplete","Complete")</f>
        <v>Complete</v>
      </c>
      <c r="I103" s="55" t="s">
        <v>301</v>
      </c>
    </row>
    <row r="104" spans="2:9" ht="15" customHeight="1" x14ac:dyDescent="0.25">
      <c r="B104" s="51" t="s">
        <v>124</v>
      </c>
      <c r="C104" s="52">
        <v>34</v>
      </c>
      <c r="D104" s="53" t="s">
        <v>4326</v>
      </c>
      <c r="E104" s="54"/>
      <c r="F104" s="52" t="str">
        <f>IF(INDEX(I.Performance.StartRange,34)="","",INDEX(I.Performance.StartRange,34))</f>
        <v/>
      </c>
      <c r="G104" s="54"/>
      <c r="H104" s="52" t="str">
        <f>IF(AND(I.Compliance.FulfilledPerformance&gt;0,I.Performance.RangeCount&gt;=34,F104=""),"Incomplete","Complete")</f>
        <v>Complete</v>
      </c>
      <c r="I104" s="55" t="s">
        <v>302</v>
      </c>
    </row>
    <row r="105" spans="2:9" ht="15" customHeight="1" x14ac:dyDescent="0.25">
      <c r="B105" s="51" t="s">
        <v>124</v>
      </c>
      <c r="C105" s="52">
        <v>35</v>
      </c>
      <c r="D105" s="53" t="s">
        <v>4326</v>
      </c>
      <c r="E105" s="54"/>
      <c r="F105" s="52" t="str">
        <f>IF(INDEX(I.Performance.StartRange,35)="","",INDEX(I.Performance.StartRange,35))</f>
        <v/>
      </c>
      <c r="G105" s="54"/>
      <c r="H105" s="52" t="str">
        <f>IF(AND(I.Compliance.FulfilledPerformance&gt;0,I.Performance.RangeCount&gt;=35,F105=""),"Incomplete","Complete")</f>
        <v>Complete</v>
      </c>
      <c r="I105" s="55" t="s">
        <v>303</v>
      </c>
    </row>
    <row r="106" spans="2:9" ht="15" customHeight="1" x14ac:dyDescent="0.25">
      <c r="B106" s="51" t="s">
        <v>124</v>
      </c>
      <c r="C106" s="52">
        <v>36</v>
      </c>
      <c r="D106" s="53" t="s">
        <v>4326</v>
      </c>
      <c r="E106" s="54"/>
      <c r="F106" s="52" t="str">
        <f>IF(INDEX(I.Performance.StartRange,36)="","",INDEX(I.Performance.StartRange,36))</f>
        <v/>
      </c>
      <c r="G106" s="54"/>
      <c r="H106" s="52" t="str">
        <f>IF(AND(I.Compliance.FulfilledPerformance&gt;0,I.Performance.RangeCount&gt;=36,F106=""),"Incomplete","Complete")</f>
        <v>Complete</v>
      </c>
      <c r="I106" s="55" t="s">
        <v>304</v>
      </c>
    </row>
    <row r="107" spans="2:9" ht="15" customHeight="1" x14ac:dyDescent="0.25">
      <c r="B107" s="51" t="s">
        <v>124</v>
      </c>
      <c r="C107" s="52">
        <v>37</v>
      </c>
      <c r="D107" s="53" t="s">
        <v>4326</v>
      </c>
      <c r="E107" s="54"/>
      <c r="F107" s="52" t="str">
        <f>IF(INDEX(I.Performance.StartRange,37)="","",INDEX(I.Performance.StartRange,37))</f>
        <v/>
      </c>
      <c r="G107" s="54"/>
      <c r="H107" s="52" t="str">
        <f>IF(AND(I.Compliance.FulfilledPerformance&gt;0,I.Performance.RangeCount&gt;=37,F107=""),"Incomplete","Complete")</f>
        <v>Complete</v>
      </c>
      <c r="I107" s="55" t="s">
        <v>305</v>
      </c>
    </row>
    <row r="108" spans="2:9" ht="15" customHeight="1" x14ac:dyDescent="0.25">
      <c r="B108" s="51" t="s">
        <v>124</v>
      </c>
      <c r="C108" s="52">
        <v>38</v>
      </c>
      <c r="D108" s="53" t="s">
        <v>4326</v>
      </c>
      <c r="E108" s="54"/>
      <c r="F108" s="52" t="str">
        <f>IF(INDEX(I.Performance.StartRange,38)="","",INDEX(I.Performance.StartRange,38))</f>
        <v/>
      </c>
      <c r="G108" s="54"/>
      <c r="H108" s="52" t="str">
        <f>IF(AND(I.Compliance.FulfilledPerformance&gt;0,I.Performance.RangeCount&gt;=38,F108=""),"Incomplete","Complete")</f>
        <v>Complete</v>
      </c>
      <c r="I108" s="55" t="s">
        <v>306</v>
      </c>
    </row>
    <row r="109" spans="2:9" ht="15" customHeight="1" x14ac:dyDescent="0.25">
      <c r="B109" s="51" t="s">
        <v>124</v>
      </c>
      <c r="C109" s="52">
        <v>39</v>
      </c>
      <c r="D109" s="53" t="s">
        <v>4326</v>
      </c>
      <c r="E109" s="54"/>
      <c r="F109" s="52" t="str">
        <f>IF(INDEX(I.Performance.StartRange,39)="","",INDEX(I.Performance.StartRange,39))</f>
        <v/>
      </c>
      <c r="G109" s="54"/>
      <c r="H109" s="52" t="str">
        <f>IF(AND(I.Compliance.FulfilledPerformance&gt;0,I.Performance.RangeCount&gt;=39,F109=""),"Incomplete","Complete")</f>
        <v>Complete</v>
      </c>
      <c r="I109" s="55" t="s">
        <v>307</v>
      </c>
    </row>
    <row r="110" spans="2:9" ht="15" customHeight="1" x14ac:dyDescent="0.25">
      <c r="B110" s="51" t="s">
        <v>124</v>
      </c>
      <c r="C110" s="52">
        <v>40</v>
      </c>
      <c r="D110" s="53" t="s">
        <v>4326</v>
      </c>
      <c r="E110" s="54"/>
      <c r="F110" s="52" t="str">
        <f>IF(INDEX(I.Performance.StartRange,40)="","",INDEX(I.Performance.StartRange,40))</f>
        <v/>
      </c>
      <c r="G110" s="54"/>
      <c r="H110" s="52" t="str">
        <f>IF(AND(I.Compliance.FulfilledPerformance&gt;0,I.Performance.RangeCount&gt;=40,F110=""),"Incomplete","Complete")</f>
        <v>Complete</v>
      </c>
      <c r="I110" s="55" t="s">
        <v>308</v>
      </c>
    </row>
    <row r="111" spans="2:9" ht="15" customHeight="1" x14ac:dyDescent="0.25">
      <c r="B111" s="51" t="s">
        <v>124</v>
      </c>
      <c r="C111" s="52">
        <v>41</v>
      </c>
      <c r="D111" s="53" t="s">
        <v>4326</v>
      </c>
      <c r="E111" s="54"/>
      <c r="F111" s="52" t="str">
        <f>IF(INDEX(I.Performance.StartRange,41)="","",INDEX(I.Performance.StartRange,41))</f>
        <v/>
      </c>
      <c r="G111" s="54"/>
      <c r="H111" s="52" t="str">
        <f>IF(AND(I.Compliance.FulfilledPerformance&gt;0,I.Performance.RangeCount&gt;=41,F111=""),"Incomplete","Complete")</f>
        <v>Complete</v>
      </c>
      <c r="I111" s="55" t="s">
        <v>309</v>
      </c>
    </row>
    <row r="112" spans="2:9" ht="15" customHeight="1" x14ac:dyDescent="0.25">
      <c r="B112" s="51" t="s">
        <v>124</v>
      </c>
      <c r="C112" s="52">
        <v>42</v>
      </c>
      <c r="D112" s="53" t="s">
        <v>4326</v>
      </c>
      <c r="E112" s="54"/>
      <c r="F112" s="52" t="str">
        <f>IF(INDEX(I.Performance.StartRange,42)="","",INDEX(I.Performance.StartRange,42))</f>
        <v/>
      </c>
      <c r="G112" s="54"/>
      <c r="H112" s="52" t="str">
        <f>IF(AND(I.Compliance.FulfilledPerformance&gt;0,I.Performance.RangeCount&gt;=42,F112=""),"Incomplete","Complete")</f>
        <v>Complete</v>
      </c>
      <c r="I112" s="55" t="s">
        <v>310</v>
      </c>
    </row>
    <row r="113" spans="2:9" ht="15" customHeight="1" x14ac:dyDescent="0.25">
      <c r="B113" s="51" t="s">
        <v>124</v>
      </c>
      <c r="C113" s="52">
        <v>43</v>
      </c>
      <c r="D113" s="53" t="s">
        <v>4326</v>
      </c>
      <c r="E113" s="54"/>
      <c r="F113" s="52" t="str">
        <f>IF(INDEX(I.Performance.StartRange,43)="","",INDEX(I.Performance.StartRange,43))</f>
        <v/>
      </c>
      <c r="G113" s="54"/>
      <c r="H113" s="52" t="str">
        <f>IF(AND(I.Compliance.FulfilledPerformance&gt;0,I.Performance.RangeCount&gt;=43,F113=""),"Incomplete","Complete")</f>
        <v>Complete</v>
      </c>
      <c r="I113" s="55" t="s">
        <v>311</v>
      </c>
    </row>
    <row r="114" spans="2:9" ht="15" customHeight="1" x14ac:dyDescent="0.25">
      <c r="B114" s="51" t="s">
        <v>124</v>
      </c>
      <c r="C114" s="52">
        <v>44</v>
      </c>
      <c r="D114" s="53" t="s">
        <v>4326</v>
      </c>
      <c r="E114" s="54"/>
      <c r="F114" s="52" t="str">
        <f>IF(INDEX(I.Performance.StartRange,44)="","",INDEX(I.Performance.StartRange,44))</f>
        <v/>
      </c>
      <c r="G114" s="54"/>
      <c r="H114" s="52" t="str">
        <f>IF(AND(I.Compliance.FulfilledPerformance&gt;0,I.Performance.RangeCount&gt;=44,F114=""),"Incomplete","Complete")</f>
        <v>Complete</v>
      </c>
      <c r="I114" s="55" t="s">
        <v>312</v>
      </c>
    </row>
    <row r="115" spans="2:9" ht="15" customHeight="1" x14ac:dyDescent="0.25">
      <c r="B115" s="51" t="s">
        <v>124</v>
      </c>
      <c r="C115" s="52">
        <v>45</v>
      </c>
      <c r="D115" s="53" t="s">
        <v>4326</v>
      </c>
      <c r="E115" s="54"/>
      <c r="F115" s="52" t="str">
        <f>IF(INDEX(I.Performance.StartRange,45)="","",INDEX(I.Performance.StartRange,45))</f>
        <v/>
      </c>
      <c r="G115" s="54"/>
      <c r="H115" s="52" t="str">
        <f>IF(AND(I.Compliance.FulfilledPerformance&gt;0,I.Performance.RangeCount&gt;=45,F115=""),"Incomplete","Complete")</f>
        <v>Complete</v>
      </c>
      <c r="I115" s="55" t="s">
        <v>313</v>
      </c>
    </row>
    <row r="116" spans="2:9" ht="15" customHeight="1" x14ac:dyDescent="0.25">
      <c r="B116" s="51" t="s">
        <v>124</v>
      </c>
      <c r="C116" s="52">
        <v>46</v>
      </c>
      <c r="D116" s="53" t="s">
        <v>4326</v>
      </c>
      <c r="E116" s="54"/>
      <c r="F116" s="52" t="str">
        <f>IF(INDEX(I.Performance.StartRange,46)="","",INDEX(I.Performance.StartRange,46))</f>
        <v/>
      </c>
      <c r="G116" s="54"/>
      <c r="H116" s="52" t="str">
        <f>IF(AND(I.Compliance.FulfilledPerformance&gt;0,I.Performance.RangeCount&gt;=46,F116=""),"Incomplete","Complete")</f>
        <v>Complete</v>
      </c>
      <c r="I116" s="55" t="s">
        <v>314</v>
      </c>
    </row>
    <row r="117" spans="2:9" ht="15" customHeight="1" x14ac:dyDescent="0.25">
      <c r="B117" s="51" t="s">
        <v>124</v>
      </c>
      <c r="C117" s="52">
        <v>47</v>
      </c>
      <c r="D117" s="53" t="s">
        <v>4326</v>
      </c>
      <c r="E117" s="54"/>
      <c r="F117" s="52" t="str">
        <f>IF(INDEX(I.Performance.StartRange,47)="","",INDEX(I.Performance.StartRange,47))</f>
        <v/>
      </c>
      <c r="G117" s="54"/>
      <c r="H117" s="52" t="str">
        <f>IF(AND(I.Compliance.FulfilledPerformance&gt;0,I.Performance.RangeCount&gt;=47,F117=""),"Incomplete","Complete")</f>
        <v>Complete</v>
      </c>
      <c r="I117" s="55" t="s">
        <v>315</v>
      </c>
    </row>
    <row r="118" spans="2:9" ht="15" customHeight="1" x14ac:dyDescent="0.25">
      <c r="B118" s="51" t="s">
        <v>124</v>
      </c>
      <c r="C118" s="52">
        <v>48</v>
      </c>
      <c r="D118" s="53" t="s">
        <v>4326</v>
      </c>
      <c r="E118" s="54"/>
      <c r="F118" s="52" t="str">
        <f>IF(INDEX(I.Performance.StartRange,48)="","",INDEX(I.Performance.StartRange,48))</f>
        <v/>
      </c>
      <c r="G118" s="54"/>
      <c r="H118" s="52" t="str">
        <f>IF(AND(I.Compliance.FulfilledPerformance&gt;0,I.Performance.RangeCount&gt;=48,F118=""),"Incomplete","Complete")</f>
        <v>Complete</v>
      </c>
      <c r="I118" s="55" t="s">
        <v>316</v>
      </c>
    </row>
    <row r="119" spans="2:9" ht="15" customHeight="1" x14ac:dyDescent="0.25">
      <c r="B119" s="51" t="s">
        <v>124</v>
      </c>
      <c r="C119" s="52">
        <v>49</v>
      </c>
      <c r="D119" s="53" t="s">
        <v>4326</v>
      </c>
      <c r="E119" s="54"/>
      <c r="F119" s="52" t="str">
        <f>IF(INDEX(I.Performance.StartRange,49)="","",INDEX(I.Performance.StartRange,49))</f>
        <v/>
      </c>
      <c r="G119" s="54"/>
      <c r="H119" s="52" t="str">
        <f>IF(AND(I.Compliance.FulfilledPerformance&gt;0,I.Performance.RangeCount&gt;=49,F119=""),"Incomplete","Complete")</f>
        <v>Complete</v>
      </c>
      <c r="I119" s="55" t="s">
        <v>317</v>
      </c>
    </row>
    <row r="120" spans="2:9" ht="15" customHeight="1" x14ac:dyDescent="0.25">
      <c r="B120" s="51" t="s">
        <v>124</v>
      </c>
      <c r="C120" s="52">
        <v>50</v>
      </c>
      <c r="D120" s="53" t="s">
        <v>4326</v>
      </c>
      <c r="E120" s="54"/>
      <c r="F120" s="52" t="str">
        <f>IF(INDEX(I.Performance.StartRange,50)="","",INDEX(I.Performance.StartRange,50))</f>
        <v/>
      </c>
      <c r="G120" s="54"/>
      <c r="H120" s="52" t="str">
        <f>IF(AND(I.Compliance.FulfilledPerformance&gt;0,I.Performance.RangeCount&gt;=50,F120=""),"Incomplete","Complete")</f>
        <v>Complete</v>
      </c>
      <c r="I120" s="55" t="s">
        <v>318</v>
      </c>
    </row>
    <row r="121" spans="2:9" ht="15" customHeight="1" x14ac:dyDescent="0.25">
      <c r="B121" s="51" t="s">
        <v>124</v>
      </c>
      <c r="C121" s="52">
        <v>51</v>
      </c>
      <c r="D121" s="53" t="s">
        <v>4326</v>
      </c>
      <c r="E121" s="54"/>
      <c r="F121" s="52" t="str">
        <f>IF(INDEX(I.Performance.StartRange,51)="","",INDEX(I.Performance.StartRange,51))</f>
        <v/>
      </c>
      <c r="G121" s="54"/>
      <c r="H121" s="52" t="str">
        <f>IF(AND(I.Compliance.FulfilledPerformance&gt;0,I.Performance.RangeCount&gt;=51,F121=""),"Incomplete","Complete")</f>
        <v>Complete</v>
      </c>
      <c r="I121" s="55" t="s">
        <v>319</v>
      </c>
    </row>
    <row r="122" spans="2:9" ht="15" customHeight="1" x14ac:dyDescent="0.25">
      <c r="B122" s="51" t="s">
        <v>124</v>
      </c>
      <c r="C122" s="52">
        <v>52</v>
      </c>
      <c r="D122" s="53" t="s">
        <v>4326</v>
      </c>
      <c r="E122" s="54"/>
      <c r="F122" s="52" t="str">
        <f>IF(INDEX(I.Performance.StartRange,52)="","",INDEX(I.Performance.StartRange,52))</f>
        <v/>
      </c>
      <c r="G122" s="54"/>
      <c r="H122" s="52" t="str">
        <f>IF(AND(I.Compliance.FulfilledPerformance&gt;0,I.Performance.RangeCount&gt;=52,F122=""),"Incomplete","Complete")</f>
        <v>Complete</v>
      </c>
      <c r="I122" s="55" t="s">
        <v>320</v>
      </c>
    </row>
    <row r="123" spans="2:9" ht="15" customHeight="1" x14ac:dyDescent="0.25">
      <c r="B123" s="51" t="s">
        <v>124</v>
      </c>
      <c r="C123" s="52">
        <v>53</v>
      </c>
      <c r="D123" s="53" t="s">
        <v>4326</v>
      </c>
      <c r="E123" s="54"/>
      <c r="F123" s="52" t="str">
        <f>IF(INDEX(I.Performance.StartRange,53)="","",INDEX(I.Performance.StartRange,53))</f>
        <v/>
      </c>
      <c r="G123" s="54"/>
      <c r="H123" s="52" t="str">
        <f>IF(AND(I.Compliance.FulfilledPerformance&gt;0,I.Performance.RangeCount&gt;=53,F123=""),"Incomplete","Complete")</f>
        <v>Complete</v>
      </c>
      <c r="I123" s="55" t="s">
        <v>321</v>
      </c>
    </row>
    <row r="124" spans="2:9" ht="15" customHeight="1" x14ac:dyDescent="0.25">
      <c r="B124" s="51" t="s">
        <v>124</v>
      </c>
      <c r="C124" s="52">
        <v>54</v>
      </c>
      <c r="D124" s="53" t="s">
        <v>4326</v>
      </c>
      <c r="E124" s="54"/>
      <c r="F124" s="52" t="str">
        <f>IF(INDEX(I.Performance.StartRange,54)="","",INDEX(I.Performance.StartRange,54))</f>
        <v/>
      </c>
      <c r="G124" s="54"/>
      <c r="H124" s="52" t="str">
        <f>IF(AND(I.Compliance.FulfilledPerformance&gt;0,I.Performance.RangeCount&gt;=54,F124=""),"Incomplete","Complete")</f>
        <v>Complete</v>
      </c>
      <c r="I124" s="55" t="s">
        <v>322</v>
      </c>
    </row>
    <row r="125" spans="2:9" ht="15" customHeight="1" x14ac:dyDescent="0.25">
      <c r="B125" s="51" t="s">
        <v>124</v>
      </c>
      <c r="C125" s="52">
        <v>55</v>
      </c>
      <c r="D125" s="53" t="s">
        <v>4326</v>
      </c>
      <c r="E125" s="54"/>
      <c r="F125" s="52" t="str">
        <f>IF(INDEX(I.Performance.StartRange,55)="","",INDEX(I.Performance.StartRange,55))</f>
        <v/>
      </c>
      <c r="G125" s="54"/>
      <c r="H125" s="52" t="str">
        <f>IF(AND(I.Compliance.FulfilledPerformance&gt;0,I.Performance.RangeCount&gt;=55,F125=""),"Incomplete","Complete")</f>
        <v>Complete</v>
      </c>
      <c r="I125" s="55" t="s">
        <v>323</v>
      </c>
    </row>
    <row r="126" spans="2:9" ht="15" customHeight="1" x14ac:dyDescent="0.25">
      <c r="B126" s="51" t="s">
        <v>124</v>
      </c>
      <c r="C126" s="52">
        <v>56</v>
      </c>
      <c r="D126" s="53" t="s">
        <v>4326</v>
      </c>
      <c r="E126" s="54"/>
      <c r="F126" s="52" t="str">
        <f>IF(INDEX(I.Performance.StartRange,56)="","",INDEX(I.Performance.StartRange,56))</f>
        <v/>
      </c>
      <c r="G126" s="54"/>
      <c r="H126" s="52" t="str">
        <f>IF(AND(I.Compliance.FulfilledPerformance&gt;0,I.Performance.RangeCount&gt;=56,F126=""),"Incomplete","Complete")</f>
        <v>Complete</v>
      </c>
      <c r="I126" s="55" t="s">
        <v>324</v>
      </c>
    </row>
    <row r="127" spans="2:9" ht="15" customHeight="1" x14ac:dyDescent="0.25">
      <c r="B127" s="51" t="s">
        <v>124</v>
      </c>
      <c r="C127" s="52">
        <v>57</v>
      </c>
      <c r="D127" s="53" t="s">
        <v>4326</v>
      </c>
      <c r="E127" s="54"/>
      <c r="F127" s="52" t="str">
        <f>IF(INDEX(I.Performance.StartRange,57)="","",INDEX(I.Performance.StartRange,57))</f>
        <v/>
      </c>
      <c r="G127" s="54"/>
      <c r="H127" s="52" t="str">
        <f>IF(AND(I.Compliance.FulfilledPerformance&gt;0,I.Performance.RangeCount&gt;=57,F127=""),"Incomplete","Complete")</f>
        <v>Complete</v>
      </c>
      <c r="I127" s="55" t="s">
        <v>325</v>
      </c>
    </row>
    <row r="128" spans="2:9" ht="15" customHeight="1" x14ac:dyDescent="0.25">
      <c r="B128" s="51" t="s">
        <v>124</v>
      </c>
      <c r="C128" s="52">
        <v>58</v>
      </c>
      <c r="D128" s="53" t="s">
        <v>4326</v>
      </c>
      <c r="E128" s="54"/>
      <c r="F128" s="52" t="str">
        <f>IF(INDEX(I.Performance.StartRange,58)="","",INDEX(I.Performance.StartRange,58))</f>
        <v/>
      </c>
      <c r="G128" s="54"/>
      <c r="H128" s="52" t="str">
        <f>IF(AND(I.Compliance.FulfilledPerformance&gt;0,I.Performance.RangeCount&gt;=58,F128=""),"Incomplete","Complete")</f>
        <v>Complete</v>
      </c>
      <c r="I128" s="55" t="s">
        <v>326</v>
      </c>
    </row>
    <row r="129" spans="2:9" ht="15" customHeight="1" x14ac:dyDescent="0.25">
      <c r="B129" s="51" t="s">
        <v>124</v>
      </c>
      <c r="C129" s="52">
        <v>59</v>
      </c>
      <c r="D129" s="53" t="s">
        <v>4326</v>
      </c>
      <c r="E129" s="54"/>
      <c r="F129" s="52" t="str">
        <f>IF(INDEX(I.Performance.StartRange,59)="","",INDEX(I.Performance.StartRange,59))</f>
        <v/>
      </c>
      <c r="G129" s="54"/>
      <c r="H129" s="52" t="str">
        <f>IF(AND(I.Compliance.FulfilledPerformance&gt;0,I.Performance.RangeCount&gt;=59,F129=""),"Incomplete","Complete")</f>
        <v>Complete</v>
      </c>
      <c r="I129" s="55" t="s">
        <v>327</v>
      </c>
    </row>
    <row r="130" spans="2:9" ht="15" customHeight="1" x14ac:dyDescent="0.25">
      <c r="B130" s="51" t="s">
        <v>124</v>
      </c>
      <c r="C130" s="52">
        <v>60</v>
      </c>
      <c r="D130" s="53" t="s">
        <v>4326</v>
      </c>
      <c r="E130" s="54"/>
      <c r="F130" s="52" t="str">
        <f>IF(INDEX(I.Performance.StartRange,60)="","",INDEX(I.Performance.StartRange,60))</f>
        <v/>
      </c>
      <c r="G130" s="54"/>
      <c r="H130" s="52" t="str">
        <f>IF(AND(I.Compliance.FulfilledPerformance&gt;0,I.Performance.RangeCount&gt;=60,F130=""),"Incomplete","Complete")</f>
        <v>Complete</v>
      </c>
      <c r="I130" s="55" t="s">
        <v>328</v>
      </c>
    </row>
    <row r="131" spans="2:9" ht="15" customHeight="1" x14ac:dyDescent="0.25">
      <c r="B131" s="51" t="s">
        <v>124</v>
      </c>
      <c r="C131" s="52">
        <v>61</v>
      </c>
      <c r="D131" s="53" t="s">
        <v>4326</v>
      </c>
      <c r="E131" s="54"/>
      <c r="F131" s="52" t="str">
        <f>IF(INDEX(I.Performance.StartRange,61)="","",INDEX(I.Performance.StartRange,61))</f>
        <v/>
      </c>
      <c r="G131" s="54"/>
      <c r="H131" s="52" t="str">
        <f>IF(AND(I.Compliance.FulfilledPerformance&gt;0,I.Performance.RangeCount&gt;=61,F131=""),"Incomplete","Complete")</f>
        <v>Complete</v>
      </c>
      <c r="I131" s="55" t="s">
        <v>329</v>
      </c>
    </row>
    <row r="132" spans="2:9" ht="15" customHeight="1" x14ac:dyDescent="0.25">
      <c r="B132" s="51" t="s">
        <v>124</v>
      </c>
      <c r="C132" s="52">
        <v>62</v>
      </c>
      <c r="D132" s="53" t="s">
        <v>4326</v>
      </c>
      <c r="E132" s="54"/>
      <c r="F132" s="52" t="str">
        <f>IF(INDEX(I.Performance.StartRange,62)="","",INDEX(I.Performance.StartRange,62))</f>
        <v/>
      </c>
      <c r="G132" s="54"/>
      <c r="H132" s="52" t="str">
        <f>IF(AND(I.Compliance.FulfilledPerformance&gt;0,I.Performance.RangeCount&gt;=62,F132=""),"Incomplete","Complete")</f>
        <v>Complete</v>
      </c>
      <c r="I132" s="55" t="s">
        <v>330</v>
      </c>
    </row>
    <row r="133" spans="2:9" ht="15" customHeight="1" x14ac:dyDescent="0.25">
      <c r="B133" s="51" t="s">
        <v>124</v>
      </c>
      <c r="C133" s="52">
        <v>63</v>
      </c>
      <c r="D133" s="53" t="s">
        <v>4326</v>
      </c>
      <c r="E133" s="54"/>
      <c r="F133" s="52" t="str">
        <f>IF(INDEX(I.Performance.StartRange,63)="","",INDEX(I.Performance.StartRange,63))</f>
        <v/>
      </c>
      <c r="G133" s="54"/>
      <c r="H133" s="52" t="str">
        <f>IF(AND(I.Compliance.FulfilledPerformance&gt;0,I.Performance.RangeCount&gt;=63,F133=""),"Incomplete","Complete")</f>
        <v>Complete</v>
      </c>
      <c r="I133" s="55" t="s">
        <v>331</v>
      </c>
    </row>
    <row r="134" spans="2:9" ht="15" customHeight="1" x14ac:dyDescent="0.25">
      <c r="B134" s="51" t="s">
        <v>124</v>
      </c>
      <c r="C134" s="52">
        <v>64</v>
      </c>
      <c r="D134" s="53" t="s">
        <v>4326</v>
      </c>
      <c r="E134" s="54"/>
      <c r="F134" s="52" t="str">
        <f>IF(INDEX(I.Performance.StartRange,64)="","",INDEX(I.Performance.StartRange,64))</f>
        <v/>
      </c>
      <c r="G134" s="54"/>
      <c r="H134" s="52" t="str">
        <f>IF(AND(I.Compliance.FulfilledPerformance&gt;0,I.Performance.RangeCount&gt;=64,F134=""),"Incomplete","Complete")</f>
        <v>Complete</v>
      </c>
      <c r="I134" s="55" t="s">
        <v>332</v>
      </c>
    </row>
    <row r="135" spans="2:9" ht="15" customHeight="1" x14ac:dyDescent="0.25">
      <c r="B135" s="51" t="s">
        <v>124</v>
      </c>
      <c r="C135" s="52">
        <v>65</v>
      </c>
      <c r="D135" s="53" t="s">
        <v>4326</v>
      </c>
      <c r="E135" s="54"/>
      <c r="F135" s="52" t="str">
        <f>IF(INDEX(I.Performance.StartRange,65)="","",INDEX(I.Performance.StartRange,65))</f>
        <v/>
      </c>
      <c r="G135" s="54"/>
      <c r="H135" s="52" t="str">
        <f>IF(AND(I.Compliance.FulfilledPerformance&gt;0,I.Performance.RangeCount&gt;=65,F135=""),"Incomplete","Complete")</f>
        <v>Complete</v>
      </c>
      <c r="I135" s="55" t="s">
        <v>333</v>
      </c>
    </row>
    <row r="136" spans="2:9" ht="15" customHeight="1" x14ac:dyDescent="0.25">
      <c r="B136" s="51" t="s">
        <v>124</v>
      </c>
      <c r="C136" s="52">
        <v>66</v>
      </c>
      <c r="D136" s="53" t="s">
        <v>4326</v>
      </c>
      <c r="E136" s="54"/>
      <c r="F136" s="52" t="str">
        <f>IF(INDEX(I.Performance.StartRange,66)="","",INDEX(I.Performance.StartRange,66))</f>
        <v/>
      </c>
      <c r="G136" s="54"/>
      <c r="H136" s="52" t="str">
        <f>IF(AND(I.Compliance.FulfilledPerformance&gt;0,I.Performance.RangeCount&gt;=66,F136=""),"Incomplete","Complete")</f>
        <v>Complete</v>
      </c>
      <c r="I136" s="55" t="s">
        <v>334</v>
      </c>
    </row>
    <row r="137" spans="2:9" ht="15" customHeight="1" x14ac:dyDescent="0.25">
      <c r="B137" s="51" t="s">
        <v>124</v>
      </c>
      <c r="C137" s="52">
        <v>67</v>
      </c>
      <c r="D137" s="53" t="s">
        <v>4326</v>
      </c>
      <c r="E137" s="54"/>
      <c r="F137" s="52" t="str">
        <f>IF(INDEX(I.Performance.StartRange,67)="","",INDEX(I.Performance.StartRange,67))</f>
        <v/>
      </c>
      <c r="G137" s="54"/>
      <c r="H137" s="52" t="str">
        <f>IF(AND(I.Compliance.FulfilledPerformance&gt;0,I.Performance.RangeCount&gt;=67,F137=""),"Incomplete","Complete")</f>
        <v>Complete</v>
      </c>
      <c r="I137" s="55" t="s">
        <v>335</v>
      </c>
    </row>
    <row r="138" spans="2:9" ht="15" customHeight="1" x14ac:dyDescent="0.25">
      <c r="B138" s="51" t="s">
        <v>124</v>
      </c>
      <c r="C138" s="52">
        <v>68</v>
      </c>
      <c r="D138" s="53" t="s">
        <v>4326</v>
      </c>
      <c r="E138" s="54"/>
      <c r="F138" s="52" t="str">
        <f>IF(INDEX(I.Performance.StartRange,68)="","",INDEX(I.Performance.StartRange,68))</f>
        <v/>
      </c>
      <c r="G138" s="54"/>
      <c r="H138" s="52" t="str">
        <f>IF(AND(I.Compliance.FulfilledPerformance&gt;0,I.Performance.RangeCount&gt;=68,F138=""),"Incomplete","Complete")</f>
        <v>Complete</v>
      </c>
      <c r="I138" s="55" t="s">
        <v>336</v>
      </c>
    </row>
    <row r="139" spans="2:9" ht="15" customHeight="1" x14ac:dyDescent="0.25">
      <c r="B139" s="51" t="s">
        <v>124</v>
      </c>
      <c r="C139" s="52">
        <v>69</v>
      </c>
      <c r="D139" s="53" t="s">
        <v>4326</v>
      </c>
      <c r="E139" s="54"/>
      <c r="F139" s="52" t="str">
        <f>IF(INDEX(I.Performance.StartRange,69)="","",INDEX(I.Performance.StartRange,69))</f>
        <v/>
      </c>
      <c r="G139" s="54"/>
      <c r="H139" s="52" t="str">
        <f>IF(AND(I.Compliance.FulfilledPerformance&gt;0,I.Performance.RangeCount&gt;=69,F139=""),"Incomplete","Complete")</f>
        <v>Complete</v>
      </c>
      <c r="I139" s="55" t="s">
        <v>337</v>
      </c>
    </row>
    <row r="140" spans="2:9" ht="15" customHeight="1" x14ac:dyDescent="0.25">
      <c r="B140" s="51" t="s">
        <v>124</v>
      </c>
      <c r="C140" s="52">
        <v>70</v>
      </c>
      <c r="D140" s="53" t="s">
        <v>4326</v>
      </c>
      <c r="E140" s="54"/>
      <c r="F140" s="52" t="str">
        <f>IF(INDEX(I.Performance.StartRange,70)="","",INDEX(I.Performance.StartRange,70))</f>
        <v/>
      </c>
      <c r="G140" s="54"/>
      <c r="H140" s="52" t="str">
        <f>IF(AND(I.Compliance.FulfilledPerformance&gt;0,I.Performance.RangeCount&gt;=70,F140=""),"Incomplete","Complete")</f>
        <v>Complete</v>
      </c>
      <c r="I140" s="55" t="s">
        <v>338</v>
      </c>
    </row>
    <row r="141" spans="2:9" ht="15" customHeight="1" x14ac:dyDescent="0.25">
      <c r="B141" s="51" t="s">
        <v>124</v>
      </c>
      <c r="C141" s="52">
        <v>71</v>
      </c>
      <c r="D141" s="53" t="s">
        <v>4326</v>
      </c>
      <c r="E141" s="54"/>
      <c r="F141" s="52" t="str">
        <f>IF(INDEX(I.Performance.StartRange,71)="","",INDEX(I.Performance.StartRange,71))</f>
        <v/>
      </c>
      <c r="G141" s="54"/>
      <c r="H141" s="52" t="str">
        <f>IF(AND(I.Compliance.FulfilledPerformance&gt;0,I.Performance.RangeCount&gt;=71,F141=""),"Incomplete","Complete")</f>
        <v>Complete</v>
      </c>
      <c r="I141" s="55" t="s">
        <v>339</v>
      </c>
    </row>
    <row r="142" spans="2:9" ht="15" customHeight="1" x14ac:dyDescent="0.25">
      <c r="B142" s="51" t="s">
        <v>124</v>
      </c>
      <c r="C142" s="52">
        <v>72</v>
      </c>
      <c r="D142" s="53" t="s">
        <v>4326</v>
      </c>
      <c r="E142" s="54"/>
      <c r="F142" s="52" t="str">
        <f>IF(INDEX(I.Performance.StartRange,72)="","",INDEX(I.Performance.StartRange,72))</f>
        <v/>
      </c>
      <c r="G142" s="54"/>
      <c r="H142" s="52" t="str">
        <f>IF(AND(I.Compliance.FulfilledPerformance&gt;0,I.Performance.RangeCount&gt;=72,F142=""),"Incomplete","Complete")</f>
        <v>Complete</v>
      </c>
      <c r="I142" s="55" t="s">
        <v>340</v>
      </c>
    </row>
    <row r="143" spans="2:9" ht="15" customHeight="1" x14ac:dyDescent="0.25">
      <c r="B143" s="51" t="s">
        <v>124</v>
      </c>
      <c r="C143" s="52">
        <v>73</v>
      </c>
      <c r="D143" s="53" t="s">
        <v>4326</v>
      </c>
      <c r="E143" s="54"/>
      <c r="F143" s="52" t="str">
        <f>IF(INDEX(I.Performance.StartRange,73)="","",INDEX(I.Performance.StartRange,73))</f>
        <v/>
      </c>
      <c r="G143" s="54"/>
      <c r="H143" s="52" t="str">
        <f>IF(AND(I.Compliance.FulfilledPerformance&gt;0,I.Performance.RangeCount&gt;=73,F143=""),"Incomplete","Complete")</f>
        <v>Complete</v>
      </c>
      <c r="I143" s="55" t="s">
        <v>341</v>
      </c>
    </row>
    <row r="144" spans="2:9" ht="15" customHeight="1" x14ac:dyDescent="0.25">
      <c r="B144" s="51" t="s">
        <v>124</v>
      </c>
      <c r="C144" s="52">
        <v>74</v>
      </c>
      <c r="D144" s="53" t="s">
        <v>4326</v>
      </c>
      <c r="E144" s="54"/>
      <c r="F144" s="52" t="str">
        <f>IF(INDEX(I.Performance.StartRange,74)="","",INDEX(I.Performance.StartRange,74))</f>
        <v/>
      </c>
      <c r="G144" s="54"/>
      <c r="H144" s="52" t="str">
        <f>IF(AND(I.Compliance.FulfilledPerformance&gt;0,I.Performance.RangeCount&gt;=74,F144=""),"Incomplete","Complete")</f>
        <v>Complete</v>
      </c>
      <c r="I144" s="55" t="s">
        <v>342</v>
      </c>
    </row>
    <row r="145" spans="2:9" ht="15" customHeight="1" x14ac:dyDescent="0.25">
      <c r="B145" s="51" t="s">
        <v>124</v>
      </c>
      <c r="C145" s="52">
        <v>75</v>
      </c>
      <c r="D145" s="53" t="s">
        <v>4326</v>
      </c>
      <c r="E145" s="54"/>
      <c r="F145" s="52" t="str">
        <f>IF(INDEX(I.Performance.StartRange,75)="","",INDEX(I.Performance.StartRange,75))</f>
        <v/>
      </c>
      <c r="G145" s="54"/>
      <c r="H145" s="52" t="str">
        <f>IF(AND(I.Compliance.FulfilledPerformance&gt;0,I.Performance.RangeCount&gt;=75,F145=""),"Incomplete","Complete")</f>
        <v>Complete</v>
      </c>
      <c r="I145" s="55" t="s">
        <v>343</v>
      </c>
    </row>
    <row r="146" spans="2:9" ht="15" customHeight="1" x14ac:dyDescent="0.25">
      <c r="B146" s="51" t="s">
        <v>124</v>
      </c>
      <c r="C146" s="52">
        <v>76</v>
      </c>
      <c r="D146" s="53" t="s">
        <v>4326</v>
      </c>
      <c r="E146" s="54"/>
      <c r="F146" s="52" t="str">
        <f>IF(INDEX(I.Performance.StartRange,76)="","",INDEX(I.Performance.StartRange,76))</f>
        <v/>
      </c>
      <c r="G146" s="54"/>
      <c r="H146" s="52" t="str">
        <f>IF(AND(I.Compliance.FulfilledPerformance&gt;0,I.Performance.RangeCount&gt;=76,F146=""),"Incomplete","Complete")</f>
        <v>Complete</v>
      </c>
      <c r="I146" s="55" t="s">
        <v>344</v>
      </c>
    </row>
    <row r="147" spans="2:9" ht="15" customHeight="1" x14ac:dyDescent="0.25">
      <c r="B147" s="51" t="s">
        <v>124</v>
      </c>
      <c r="C147" s="52">
        <v>77</v>
      </c>
      <c r="D147" s="53" t="s">
        <v>4326</v>
      </c>
      <c r="E147" s="54"/>
      <c r="F147" s="52" t="str">
        <f>IF(INDEX(I.Performance.StartRange,77)="","",INDEX(I.Performance.StartRange,77))</f>
        <v/>
      </c>
      <c r="G147" s="54"/>
      <c r="H147" s="52" t="str">
        <f>IF(AND(I.Compliance.FulfilledPerformance&gt;0,I.Performance.RangeCount&gt;=77,F147=""),"Incomplete","Complete")</f>
        <v>Complete</v>
      </c>
      <c r="I147" s="55" t="s">
        <v>345</v>
      </c>
    </row>
    <row r="148" spans="2:9" ht="15" customHeight="1" x14ac:dyDescent="0.25">
      <c r="B148" s="51" t="s">
        <v>124</v>
      </c>
      <c r="C148" s="52">
        <v>78</v>
      </c>
      <c r="D148" s="53" t="s">
        <v>4326</v>
      </c>
      <c r="E148" s="54"/>
      <c r="F148" s="52" t="str">
        <f>IF(INDEX(I.Performance.StartRange,78)="","",INDEX(I.Performance.StartRange,78))</f>
        <v/>
      </c>
      <c r="G148" s="54"/>
      <c r="H148" s="52" t="str">
        <f>IF(AND(I.Compliance.FulfilledPerformance&gt;0,I.Performance.RangeCount&gt;=78,F148=""),"Incomplete","Complete")</f>
        <v>Complete</v>
      </c>
      <c r="I148" s="55" t="s">
        <v>346</v>
      </c>
    </row>
    <row r="149" spans="2:9" ht="15" customHeight="1" x14ac:dyDescent="0.25">
      <c r="B149" s="51" t="s">
        <v>124</v>
      </c>
      <c r="C149" s="52">
        <v>79</v>
      </c>
      <c r="D149" s="53" t="s">
        <v>4326</v>
      </c>
      <c r="E149" s="54"/>
      <c r="F149" s="52" t="str">
        <f>IF(INDEX(I.Performance.StartRange,79)="","",INDEX(I.Performance.StartRange,79))</f>
        <v/>
      </c>
      <c r="G149" s="54"/>
      <c r="H149" s="52" t="str">
        <f>IF(AND(I.Compliance.FulfilledPerformance&gt;0,I.Performance.RangeCount&gt;=79,F149=""),"Incomplete","Complete")</f>
        <v>Complete</v>
      </c>
      <c r="I149" s="55" t="s">
        <v>347</v>
      </c>
    </row>
    <row r="150" spans="2:9" ht="15" customHeight="1" x14ac:dyDescent="0.25">
      <c r="B150" s="51" t="s">
        <v>124</v>
      </c>
      <c r="C150" s="52">
        <v>80</v>
      </c>
      <c r="D150" s="53" t="s">
        <v>4326</v>
      </c>
      <c r="E150" s="54"/>
      <c r="F150" s="52" t="str">
        <f>IF(INDEX(I.Performance.StartRange,80)="","",INDEX(I.Performance.StartRange,80))</f>
        <v/>
      </c>
      <c r="G150" s="54"/>
      <c r="H150" s="52" t="str">
        <f>IF(AND(I.Compliance.FulfilledPerformance&gt;0,I.Performance.RangeCount&gt;=80,F150=""),"Incomplete","Complete")</f>
        <v>Complete</v>
      </c>
      <c r="I150" s="55" t="s">
        <v>348</v>
      </c>
    </row>
    <row r="151" spans="2:9" ht="15" customHeight="1" x14ac:dyDescent="0.25">
      <c r="B151" s="51" t="s">
        <v>124</v>
      </c>
      <c r="C151" s="52">
        <v>81</v>
      </c>
      <c r="D151" s="53" t="s">
        <v>4326</v>
      </c>
      <c r="E151" s="54"/>
      <c r="F151" s="52" t="str">
        <f>IF(INDEX(I.Performance.StartRange,81)="","",INDEX(I.Performance.StartRange,81))</f>
        <v/>
      </c>
      <c r="G151" s="54"/>
      <c r="H151" s="52" t="str">
        <f>IF(AND(I.Compliance.FulfilledPerformance&gt;0,I.Performance.RangeCount&gt;=81,F151=""),"Incomplete","Complete")</f>
        <v>Complete</v>
      </c>
      <c r="I151" s="55" t="s">
        <v>349</v>
      </c>
    </row>
    <row r="152" spans="2:9" ht="15" customHeight="1" x14ac:dyDescent="0.25">
      <c r="B152" s="51" t="s">
        <v>124</v>
      </c>
      <c r="C152" s="52">
        <v>82</v>
      </c>
      <c r="D152" s="53" t="s">
        <v>4326</v>
      </c>
      <c r="E152" s="54"/>
      <c r="F152" s="52" t="str">
        <f>IF(INDEX(I.Performance.StartRange,82)="","",INDEX(I.Performance.StartRange,82))</f>
        <v/>
      </c>
      <c r="G152" s="54"/>
      <c r="H152" s="52" t="str">
        <f>IF(AND(I.Compliance.FulfilledPerformance&gt;0,I.Performance.RangeCount&gt;=82,F152=""),"Incomplete","Complete")</f>
        <v>Complete</v>
      </c>
      <c r="I152" s="55" t="s">
        <v>350</v>
      </c>
    </row>
    <row r="153" spans="2:9" ht="15" customHeight="1" x14ac:dyDescent="0.25">
      <c r="B153" s="51" t="s">
        <v>124</v>
      </c>
      <c r="C153" s="52">
        <v>83</v>
      </c>
      <c r="D153" s="53" t="s">
        <v>4326</v>
      </c>
      <c r="E153" s="54"/>
      <c r="F153" s="52" t="str">
        <f>IF(INDEX(I.Performance.StartRange,83)="","",INDEX(I.Performance.StartRange,83))</f>
        <v/>
      </c>
      <c r="G153" s="54"/>
      <c r="H153" s="52" t="str">
        <f>IF(AND(I.Compliance.FulfilledPerformance&gt;0,I.Performance.RangeCount&gt;=83,F153=""),"Incomplete","Complete")</f>
        <v>Complete</v>
      </c>
      <c r="I153" s="55" t="s">
        <v>351</v>
      </c>
    </row>
    <row r="154" spans="2:9" ht="15" customHeight="1" x14ac:dyDescent="0.25">
      <c r="B154" s="51" t="s">
        <v>124</v>
      </c>
      <c r="C154" s="52">
        <v>84</v>
      </c>
      <c r="D154" s="53" t="s">
        <v>4326</v>
      </c>
      <c r="E154" s="54"/>
      <c r="F154" s="52" t="str">
        <f>IF(INDEX(I.Performance.StartRange,84)="","",INDEX(I.Performance.StartRange,84))</f>
        <v/>
      </c>
      <c r="G154" s="54"/>
      <c r="H154" s="52" t="str">
        <f>IF(AND(I.Compliance.FulfilledPerformance&gt;0,I.Performance.RangeCount&gt;=84,F154=""),"Incomplete","Complete")</f>
        <v>Complete</v>
      </c>
      <c r="I154" s="55" t="s">
        <v>352</v>
      </c>
    </row>
    <row r="155" spans="2:9" ht="15" customHeight="1" x14ac:dyDescent="0.25">
      <c r="B155" s="51" t="s">
        <v>124</v>
      </c>
      <c r="C155" s="52">
        <v>85</v>
      </c>
      <c r="D155" s="53" t="s">
        <v>4326</v>
      </c>
      <c r="E155" s="54"/>
      <c r="F155" s="52" t="str">
        <f>IF(INDEX(I.Performance.StartRange,85)="","",INDEX(I.Performance.StartRange,85))</f>
        <v/>
      </c>
      <c r="G155" s="54"/>
      <c r="H155" s="52" t="str">
        <f>IF(AND(I.Compliance.FulfilledPerformance&gt;0,I.Performance.RangeCount&gt;=85,F155=""),"Incomplete","Complete")</f>
        <v>Complete</v>
      </c>
      <c r="I155" s="55" t="s">
        <v>353</v>
      </c>
    </row>
    <row r="156" spans="2:9" ht="15" customHeight="1" x14ac:dyDescent="0.25">
      <c r="B156" s="51" t="s">
        <v>124</v>
      </c>
      <c r="C156" s="52">
        <v>86</v>
      </c>
      <c r="D156" s="53" t="s">
        <v>4326</v>
      </c>
      <c r="E156" s="54"/>
      <c r="F156" s="52" t="str">
        <f>IF(INDEX(I.Performance.StartRange,86)="","",INDEX(I.Performance.StartRange,86))</f>
        <v/>
      </c>
      <c r="G156" s="54"/>
      <c r="H156" s="52" t="str">
        <f>IF(AND(I.Compliance.FulfilledPerformance&gt;0,I.Performance.RangeCount&gt;=86,F156=""),"Incomplete","Complete")</f>
        <v>Complete</v>
      </c>
      <c r="I156" s="55" t="s">
        <v>354</v>
      </c>
    </row>
    <row r="157" spans="2:9" ht="15" customHeight="1" x14ac:dyDescent="0.25">
      <c r="B157" s="51" t="s">
        <v>124</v>
      </c>
      <c r="C157" s="52">
        <v>87</v>
      </c>
      <c r="D157" s="53" t="s">
        <v>4326</v>
      </c>
      <c r="E157" s="54"/>
      <c r="F157" s="52" t="str">
        <f>IF(INDEX(I.Performance.StartRange,87)="","",INDEX(I.Performance.StartRange,87))</f>
        <v/>
      </c>
      <c r="G157" s="54"/>
      <c r="H157" s="52" t="str">
        <f>IF(AND(I.Compliance.FulfilledPerformance&gt;0,I.Performance.RangeCount&gt;=87,F157=""),"Incomplete","Complete")</f>
        <v>Complete</v>
      </c>
      <c r="I157" s="55" t="s">
        <v>355</v>
      </c>
    </row>
    <row r="158" spans="2:9" ht="15" customHeight="1" x14ac:dyDescent="0.25">
      <c r="B158" s="51" t="s">
        <v>124</v>
      </c>
      <c r="C158" s="52">
        <v>88</v>
      </c>
      <c r="D158" s="53" t="s">
        <v>4326</v>
      </c>
      <c r="E158" s="54"/>
      <c r="F158" s="52" t="str">
        <f>IF(INDEX(I.Performance.StartRange,88)="","",INDEX(I.Performance.StartRange,88))</f>
        <v/>
      </c>
      <c r="G158" s="54"/>
      <c r="H158" s="52" t="str">
        <f>IF(AND(I.Compliance.FulfilledPerformance&gt;0,I.Performance.RangeCount&gt;=88,F158=""),"Incomplete","Complete")</f>
        <v>Complete</v>
      </c>
      <c r="I158" s="55" t="s">
        <v>356</v>
      </c>
    </row>
    <row r="159" spans="2:9" ht="15" customHeight="1" x14ac:dyDescent="0.25">
      <c r="B159" s="51" t="s">
        <v>124</v>
      </c>
      <c r="C159" s="52">
        <v>89</v>
      </c>
      <c r="D159" s="53" t="s">
        <v>4326</v>
      </c>
      <c r="E159" s="54"/>
      <c r="F159" s="52" t="str">
        <f>IF(INDEX(I.Performance.StartRange,89)="","",INDEX(I.Performance.StartRange,89))</f>
        <v/>
      </c>
      <c r="G159" s="54"/>
      <c r="H159" s="52" t="str">
        <f>IF(AND(I.Compliance.FulfilledPerformance&gt;0,I.Performance.RangeCount&gt;=89,F159=""),"Incomplete","Complete")</f>
        <v>Complete</v>
      </c>
      <c r="I159" s="55" t="s">
        <v>357</v>
      </c>
    </row>
    <row r="160" spans="2:9" ht="15" customHeight="1" x14ac:dyDescent="0.25">
      <c r="B160" s="51" t="s">
        <v>124</v>
      </c>
      <c r="C160" s="52">
        <v>90</v>
      </c>
      <c r="D160" s="53" t="s">
        <v>4326</v>
      </c>
      <c r="E160" s="54"/>
      <c r="F160" s="52" t="str">
        <f>IF(INDEX(I.Performance.StartRange,90)="","",INDEX(I.Performance.StartRange,90))</f>
        <v/>
      </c>
      <c r="G160" s="54"/>
      <c r="H160" s="52" t="str">
        <f>IF(AND(I.Compliance.FulfilledPerformance&gt;0,I.Performance.RangeCount&gt;=90,F160=""),"Incomplete","Complete")</f>
        <v>Complete</v>
      </c>
      <c r="I160" s="55" t="s">
        <v>358</v>
      </c>
    </row>
    <row r="161" spans="2:9" ht="15" customHeight="1" x14ac:dyDescent="0.25">
      <c r="B161" s="51" t="s">
        <v>124</v>
      </c>
      <c r="C161" s="52">
        <v>91</v>
      </c>
      <c r="D161" s="53" t="s">
        <v>4326</v>
      </c>
      <c r="E161" s="54"/>
      <c r="F161" s="52" t="str">
        <f>IF(INDEX(I.Performance.StartRange,91)="","",INDEX(I.Performance.StartRange,91))</f>
        <v/>
      </c>
      <c r="G161" s="54"/>
      <c r="H161" s="52" t="str">
        <f>IF(AND(I.Compliance.FulfilledPerformance&gt;0,I.Performance.RangeCount&gt;=91,F161=""),"Incomplete","Complete")</f>
        <v>Complete</v>
      </c>
      <c r="I161" s="55" t="s">
        <v>359</v>
      </c>
    </row>
    <row r="162" spans="2:9" ht="15" customHeight="1" x14ac:dyDescent="0.25">
      <c r="B162" s="51" t="s">
        <v>124</v>
      </c>
      <c r="C162" s="52">
        <v>92</v>
      </c>
      <c r="D162" s="53" t="s">
        <v>4326</v>
      </c>
      <c r="E162" s="54"/>
      <c r="F162" s="52" t="str">
        <f>IF(INDEX(I.Performance.StartRange,92)="","",INDEX(I.Performance.StartRange,92))</f>
        <v/>
      </c>
      <c r="G162" s="54"/>
      <c r="H162" s="52" t="str">
        <f>IF(AND(I.Compliance.FulfilledPerformance&gt;0,I.Performance.RangeCount&gt;=92,F162=""),"Incomplete","Complete")</f>
        <v>Complete</v>
      </c>
      <c r="I162" s="55" t="s">
        <v>360</v>
      </c>
    </row>
    <row r="163" spans="2:9" ht="15" customHeight="1" x14ac:dyDescent="0.25">
      <c r="B163" s="51" t="s">
        <v>124</v>
      </c>
      <c r="C163" s="52">
        <v>93</v>
      </c>
      <c r="D163" s="53" t="s">
        <v>4326</v>
      </c>
      <c r="E163" s="54"/>
      <c r="F163" s="52" t="str">
        <f>IF(INDEX(I.Performance.StartRange,93)="","",INDEX(I.Performance.StartRange,93))</f>
        <v/>
      </c>
      <c r="G163" s="54"/>
      <c r="H163" s="52" t="str">
        <f>IF(AND(I.Compliance.FulfilledPerformance&gt;0,I.Performance.RangeCount&gt;=93,F163=""),"Incomplete","Complete")</f>
        <v>Complete</v>
      </c>
      <c r="I163" s="55" t="s">
        <v>361</v>
      </c>
    </row>
    <row r="164" spans="2:9" ht="15" customHeight="1" x14ac:dyDescent="0.25">
      <c r="B164" s="51" t="s">
        <v>124</v>
      </c>
      <c r="C164" s="52">
        <v>94</v>
      </c>
      <c r="D164" s="53" t="s">
        <v>4326</v>
      </c>
      <c r="E164" s="54"/>
      <c r="F164" s="52" t="str">
        <f>IF(INDEX(I.Performance.StartRange,94)="","",INDEX(I.Performance.StartRange,94))</f>
        <v/>
      </c>
      <c r="G164" s="54"/>
      <c r="H164" s="52" t="str">
        <f>IF(AND(I.Compliance.FulfilledPerformance&gt;0,I.Performance.RangeCount&gt;=94,F164=""),"Incomplete","Complete")</f>
        <v>Complete</v>
      </c>
      <c r="I164" s="55" t="s">
        <v>362</v>
      </c>
    </row>
    <row r="165" spans="2:9" ht="15" customHeight="1" x14ac:dyDescent="0.25">
      <c r="B165" s="51" t="s">
        <v>124</v>
      </c>
      <c r="C165" s="52">
        <v>95</v>
      </c>
      <c r="D165" s="53" t="s">
        <v>4326</v>
      </c>
      <c r="E165" s="54"/>
      <c r="F165" s="52" t="str">
        <f>IF(INDEX(I.Performance.StartRange,95)="","",INDEX(I.Performance.StartRange,95))</f>
        <v/>
      </c>
      <c r="G165" s="54"/>
      <c r="H165" s="52" t="str">
        <f>IF(AND(I.Compliance.FulfilledPerformance&gt;0,I.Performance.RangeCount&gt;=95,F165=""),"Incomplete","Complete")</f>
        <v>Complete</v>
      </c>
      <c r="I165" s="55" t="s">
        <v>363</v>
      </c>
    </row>
    <row r="166" spans="2:9" ht="15" customHeight="1" x14ac:dyDescent="0.25">
      <c r="B166" s="51" t="s">
        <v>124</v>
      </c>
      <c r="C166" s="52">
        <v>96</v>
      </c>
      <c r="D166" s="53" t="s">
        <v>4326</v>
      </c>
      <c r="E166" s="54"/>
      <c r="F166" s="52" t="str">
        <f>IF(INDEX(I.Performance.StartRange,96)="","",INDEX(I.Performance.StartRange,96))</f>
        <v/>
      </c>
      <c r="G166" s="54"/>
      <c r="H166" s="52" t="str">
        <f>IF(AND(I.Compliance.FulfilledPerformance&gt;0,I.Performance.RangeCount&gt;=96,F166=""),"Incomplete","Complete")</f>
        <v>Complete</v>
      </c>
      <c r="I166" s="55" t="s">
        <v>364</v>
      </c>
    </row>
    <row r="167" spans="2:9" ht="15" customHeight="1" x14ac:dyDescent="0.25">
      <c r="B167" s="51" t="s">
        <v>124</v>
      </c>
      <c r="C167" s="52">
        <v>97</v>
      </c>
      <c r="D167" s="53" t="s">
        <v>4326</v>
      </c>
      <c r="E167" s="54"/>
      <c r="F167" s="52" t="str">
        <f>IF(INDEX(I.Performance.StartRange,97)="","",INDEX(I.Performance.StartRange,97))</f>
        <v/>
      </c>
      <c r="G167" s="54"/>
      <c r="H167" s="52" t="str">
        <f>IF(AND(I.Compliance.FulfilledPerformance&gt;0,I.Performance.RangeCount&gt;=97,F167=""),"Incomplete","Complete")</f>
        <v>Complete</v>
      </c>
      <c r="I167" s="55" t="s">
        <v>365</v>
      </c>
    </row>
    <row r="168" spans="2:9" ht="15" customHeight="1" x14ac:dyDescent="0.25">
      <c r="B168" s="51" t="s">
        <v>124</v>
      </c>
      <c r="C168" s="52">
        <v>98</v>
      </c>
      <c r="D168" s="53" t="s">
        <v>4326</v>
      </c>
      <c r="E168" s="54"/>
      <c r="F168" s="52" t="str">
        <f>IF(INDEX(I.Performance.StartRange,98)="","",INDEX(I.Performance.StartRange,98))</f>
        <v/>
      </c>
      <c r="G168" s="54"/>
      <c r="H168" s="52" t="str">
        <f>IF(AND(I.Compliance.FulfilledPerformance&gt;0,I.Performance.RangeCount&gt;=98,F168=""),"Incomplete","Complete")</f>
        <v>Complete</v>
      </c>
      <c r="I168" s="55" t="s">
        <v>366</v>
      </c>
    </row>
    <row r="169" spans="2:9" ht="15" customHeight="1" x14ac:dyDescent="0.25">
      <c r="B169" s="51" t="s">
        <v>124</v>
      </c>
      <c r="C169" s="52">
        <v>99</v>
      </c>
      <c r="D169" s="53" t="s">
        <v>4326</v>
      </c>
      <c r="E169" s="54"/>
      <c r="F169" s="52" t="str">
        <f>IF(INDEX(I.Performance.StartRange,99)="","",INDEX(I.Performance.StartRange,99))</f>
        <v/>
      </c>
      <c r="G169" s="54"/>
      <c r="H169" s="52" t="str">
        <f>IF(AND(I.Compliance.FulfilledPerformance&gt;0,I.Performance.RangeCount&gt;=99,F169=""),"Incomplete","Complete")</f>
        <v>Complete</v>
      </c>
      <c r="I169" s="55" t="s">
        <v>367</v>
      </c>
    </row>
    <row r="170" spans="2:9" ht="15" customHeight="1" x14ac:dyDescent="0.25">
      <c r="B170" s="51" t="s">
        <v>124</v>
      </c>
      <c r="C170" s="52">
        <v>100</v>
      </c>
      <c r="D170" s="53" t="s">
        <v>4326</v>
      </c>
      <c r="E170" s="54"/>
      <c r="F170" s="52" t="str">
        <f>IF(INDEX(I.Performance.StartRange,100)="","",INDEX(I.Performance.StartRange,100))</f>
        <v/>
      </c>
      <c r="G170" s="54"/>
      <c r="H170" s="52" t="str">
        <f>IF(AND(I.Compliance.FulfilledPerformance&gt;0,I.Performance.RangeCount&gt;=100,F170=""),"Incomplete","Complete")</f>
        <v>Complete</v>
      </c>
      <c r="I170" s="55" t="s">
        <v>368</v>
      </c>
    </row>
    <row r="171" spans="2:9" ht="15" customHeight="1" x14ac:dyDescent="0.25">
      <c r="B171" s="51" t="s">
        <v>124</v>
      </c>
      <c r="C171" s="52">
        <v>101</v>
      </c>
      <c r="D171" s="53" t="s">
        <v>4326</v>
      </c>
      <c r="E171" s="54"/>
      <c r="F171" s="52" t="str">
        <f>IF(INDEX(I.Performance.StartRange,101)="","",INDEX(I.Performance.StartRange,101))</f>
        <v/>
      </c>
      <c r="G171" s="54"/>
      <c r="H171" s="52" t="str">
        <f>IF(AND(I.Compliance.FulfilledPerformance&gt;0,I.Performance.RangeCount&gt;=101,F171=""),"Incomplete","Complete")</f>
        <v>Complete</v>
      </c>
      <c r="I171" s="55" t="s">
        <v>369</v>
      </c>
    </row>
    <row r="172" spans="2:9" ht="15" customHeight="1" x14ac:dyDescent="0.25">
      <c r="B172" s="51" t="s">
        <v>124</v>
      </c>
      <c r="C172" s="52">
        <v>102</v>
      </c>
      <c r="D172" s="53" t="s">
        <v>4326</v>
      </c>
      <c r="E172" s="54"/>
      <c r="F172" s="52" t="str">
        <f>IF(INDEX(I.Performance.StartRange,102)="","",INDEX(I.Performance.StartRange,102))</f>
        <v/>
      </c>
      <c r="G172" s="54"/>
      <c r="H172" s="52" t="str">
        <f>IF(AND(I.Compliance.FulfilledPerformance&gt;0,I.Performance.RangeCount&gt;=102,F172=""),"Incomplete","Complete")</f>
        <v>Complete</v>
      </c>
      <c r="I172" s="55" t="s">
        <v>370</v>
      </c>
    </row>
    <row r="173" spans="2:9" ht="15" customHeight="1" x14ac:dyDescent="0.25">
      <c r="B173" s="51" t="s">
        <v>124</v>
      </c>
      <c r="C173" s="52">
        <v>103</v>
      </c>
      <c r="D173" s="53" t="s">
        <v>4326</v>
      </c>
      <c r="E173" s="54"/>
      <c r="F173" s="52" t="str">
        <f>IF(INDEX(I.Performance.StartRange,103)="","",INDEX(I.Performance.StartRange,103))</f>
        <v/>
      </c>
      <c r="G173" s="54"/>
      <c r="H173" s="52" t="str">
        <f>IF(AND(I.Compliance.FulfilledPerformance&gt;0,I.Performance.RangeCount&gt;=103,F173=""),"Incomplete","Complete")</f>
        <v>Complete</v>
      </c>
      <c r="I173" s="55" t="s">
        <v>371</v>
      </c>
    </row>
    <row r="174" spans="2:9" ht="15" customHeight="1" x14ac:dyDescent="0.25">
      <c r="B174" s="51" t="s">
        <v>124</v>
      </c>
      <c r="C174" s="52">
        <v>104</v>
      </c>
      <c r="D174" s="53" t="s">
        <v>4326</v>
      </c>
      <c r="E174" s="54"/>
      <c r="F174" s="52" t="str">
        <f>IF(INDEX(I.Performance.StartRange,104)="","",INDEX(I.Performance.StartRange,104))</f>
        <v/>
      </c>
      <c r="G174" s="54"/>
      <c r="H174" s="52" t="str">
        <f>IF(AND(I.Compliance.FulfilledPerformance&gt;0,I.Performance.RangeCount&gt;=104,F174=""),"Incomplete","Complete")</f>
        <v>Complete</v>
      </c>
      <c r="I174" s="55" t="s">
        <v>372</v>
      </c>
    </row>
    <row r="175" spans="2:9" ht="15" customHeight="1" x14ac:dyDescent="0.25">
      <c r="B175" s="51" t="s">
        <v>124</v>
      </c>
      <c r="C175" s="52">
        <v>105</v>
      </c>
      <c r="D175" s="53" t="s">
        <v>4326</v>
      </c>
      <c r="E175" s="54"/>
      <c r="F175" s="52" t="str">
        <f>IF(INDEX(I.Performance.StartRange,105)="","",INDEX(I.Performance.StartRange,105))</f>
        <v/>
      </c>
      <c r="G175" s="54"/>
      <c r="H175" s="52" t="str">
        <f>IF(AND(I.Compliance.FulfilledPerformance&gt;0,I.Performance.RangeCount&gt;=105,F175=""),"Incomplete","Complete")</f>
        <v>Complete</v>
      </c>
      <c r="I175" s="55" t="s">
        <v>373</v>
      </c>
    </row>
    <row r="176" spans="2:9" ht="15" customHeight="1" x14ac:dyDescent="0.25">
      <c r="B176" s="51" t="s">
        <v>124</v>
      </c>
      <c r="C176" s="52">
        <v>106</v>
      </c>
      <c r="D176" s="53" t="s">
        <v>4326</v>
      </c>
      <c r="E176" s="54"/>
      <c r="F176" s="52" t="str">
        <f>IF(INDEX(I.Performance.StartRange,106)="","",INDEX(I.Performance.StartRange,106))</f>
        <v/>
      </c>
      <c r="G176" s="54"/>
      <c r="H176" s="52" t="str">
        <f>IF(AND(I.Compliance.FulfilledPerformance&gt;0,I.Performance.RangeCount&gt;=106,F176=""),"Incomplete","Complete")</f>
        <v>Complete</v>
      </c>
      <c r="I176" s="55" t="s">
        <v>374</v>
      </c>
    </row>
    <row r="177" spans="2:9" ht="15" customHeight="1" x14ac:dyDescent="0.25">
      <c r="B177" s="51" t="s">
        <v>124</v>
      </c>
      <c r="C177" s="52">
        <v>107</v>
      </c>
      <c r="D177" s="53" t="s">
        <v>4326</v>
      </c>
      <c r="E177" s="54"/>
      <c r="F177" s="52" t="str">
        <f>IF(INDEX(I.Performance.StartRange,107)="","",INDEX(I.Performance.StartRange,107))</f>
        <v/>
      </c>
      <c r="G177" s="54"/>
      <c r="H177" s="52" t="str">
        <f>IF(AND(I.Compliance.FulfilledPerformance&gt;0,I.Performance.RangeCount&gt;=107,F177=""),"Incomplete","Complete")</f>
        <v>Complete</v>
      </c>
      <c r="I177" s="55" t="s">
        <v>375</v>
      </c>
    </row>
    <row r="178" spans="2:9" ht="15" customHeight="1" x14ac:dyDescent="0.25">
      <c r="B178" s="51" t="s">
        <v>124</v>
      </c>
      <c r="C178" s="52">
        <v>108</v>
      </c>
      <c r="D178" s="53" t="s">
        <v>4326</v>
      </c>
      <c r="E178" s="54"/>
      <c r="F178" s="52" t="str">
        <f>IF(INDEX(I.Performance.StartRange,108)="","",INDEX(I.Performance.StartRange,108))</f>
        <v/>
      </c>
      <c r="G178" s="54"/>
      <c r="H178" s="52" t="str">
        <f>IF(AND(I.Compliance.FulfilledPerformance&gt;0,I.Performance.RangeCount&gt;=108,F178=""),"Incomplete","Complete")</f>
        <v>Complete</v>
      </c>
      <c r="I178" s="55" t="s">
        <v>376</v>
      </c>
    </row>
    <row r="179" spans="2:9" ht="15" customHeight="1" x14ac:dyDescent="0.25">
      <c r="B179" s="51" t="s">
        <v>124</v>
      </c>
      <c r="C179" s="52">
        <v>109</v>
      </c>
      <c r="D179" s="53" t="s">
        <v>4326</v>
      </c>
      <c r="E179" s="54"/>
      <c r="F179" s="52" t="str">
        <f>IF(INDEX(I.Performance.StartRange,109)="","",INDEX(I.Performance.StartRange,109))</f>
        <v/>
      </c>
      <c r="G179" s="54"/>
      <c r="H179" s="52" t="str">
        <f>IF(AND(I.Compliance.FulfilledPerformance&gt;0,I.Performance.RangeCount&gt;=109,F179=""),"Incomplete","Complete")</f>
        <v>Complete</v>
      </c>
      <c r="I179" s="55" t="s">
        <v>377</v>
      </c>
    </row>
    <row r="180" spans="2:9" ht="15" customHeight="1" x14ac:dyDescent="0.25">
      <c r="B180" s="51" t="s">
        <v>124</v>
      </c>
      <c r="C180" s="52">
        <v>110</v>
      </c>
      <c r="D180" s="53" t="s">
        <v>4326</v>
      </c>
      <c r="E180" s="54"/>
      <c r="F180" s="52" t="str">
        <f>IF(INDEX(I.Performance.StartRange,110)="","",INDEX(I.Performance.StartRange,110))</f>
        <v/>
      </c>
      <c r="G180" s="54"/>
      <c r="H180" s="52" t="str">
        <f>IF(AND(I.Compliance.FulfilledPerformance&gt;0,I.Performance.RangeCount&gt;=110,F180=""),"Incomplete","Complete")</f>
        <v>Complete</v>
      </c>
      <c r="I180" s="55" t="s">
        <v>378</v>
      </c>
    </row>
    <row r="181" spans="2:9" ht="15" customHeight="1" x14ac:dyDescent="0.25">
      <c r="B181" s="51" t="s">
        <v>124</v>
      </c>
      <c r="C181" s="52">
        <v>111</v>
      </c>
      <c r="D181" s="53" t="s">
        <v>4326</v>
      </c>
      <c r="E181" s="54"/>
      <c r="F181" s="52" t="str">
        <f>IF(INDEX(I.Performance.StartRange,111)="","",INDEX(I.Performance.StartRange,111))</f>
        <v/>
      </c>
      <c r="G181" s="54"/>
      <c r="H181" s="52" t="str">
        <f>IF(AND(I.Compliance.FulfilledPerformance&gt;0,I.Performance.RangeCount&gt;=111,F181=""),"Incomplete","Complete")</f>
        <v>Complete</v>
      </c>
      <c r="I181" s="55" t="s">
        <v>379</v>
      </c>
    </row>
    <row r="182" spans="2:9" ht="15" customHeight="1" x14ac:dyDescent="0.25">
      <c r="B182" s="51" t="s">
        <v>124</v>
      </c>
      <c r="C182" s="52">
        <v>112</v>
      </c>
      <c r="D182" s="53" t="s">
        <v>4326</v>
      </c>
      <c r="E182" s="54"/>
      <c r="F182" s="52" t="str">
        <f>IF(INDEX(I.Performance.StartRange,112)="","",INDEX(I.Performance.StartRange,112))</f>
        <v/>
      </c>
      <c r="G182" s="54"/>
      <c r="H182" s="52" t="str">
        <f>IF(AND(I.Compliance.FulfilledPerformance&gt;0,I.Performance.RangeCount&gt;=112,F182=""),"Incomplete","Complete")</f>
        <v>Complete</v>
      </c>
      <c r="I182" s="55" t="s">
        <v>380</v>
      </c>
    </row>
    <row r="183" spans="2:9" ht="15" customHeight="1" x14ac:dyDescent="0.25">
      <c r="B183" s="51" t="s">
        <v>124</v>
      </c>
      <c r="C183" s="52">
        <v>113</v>
      </c>
      <c r="D183" s="53" t="s">
        <v>4326</v>
      </c>
      <c r="E183" s="54"/>
      <c r="F183" s="52" t="str">
        <f>IF(INDEX(I.Performance.StartRange,113)="","",INDEX(I.Performance.StartRange,113))</f>
        <v/>
      </c>
      <c r="G183" s="54"/>
      <c r="H183" s="52" t="str">
        <f>IF(AND(I.Compliance.FulfilledPerformance&gt;0,I.Performance.RangeCount&gt;=113,F183=""),"Incomplete","Complete")</f>
        <v>Complete</v>
      </c>
      <c r="I183" s="55" t="s">
        <v>381</v>
      </c>
    </row>
    <row r="184" spans="2:9" ht="15" customHeight="1" x14ac:dyDescent="0.25">
      <c r="B184" s="51" t="s">
        <v>124</v>
      </c>
      <c r="C184" s="52">
        <v>114</v>
      </c>
      <c r="D184" s="53" t="s">
        <v>4326</v>
      </c>
      <c r="E184" s="54"/>
      <c r="F184" s="52" t="str">
        <f>IF(INDEX(I.Performance.StartRange,114)="","",INDEX(I.Performance.StartRange,114))</f>
        <v/>
      </c>
      <c r="G184" s="54"/>
      <c r="H184" s="52" t="str">
        <f>IF(AND(I.Compliance.FulfilledPerformance&gt;0,I.Performance.RangeCount&gt;=114,F184=""),"Incomplete","Complete")</f>
        <v>Complete</v>
      </c>
      <c r="I184" s="55" t="s">
        <v>382</v>
      </c>
    </row>
    <row r="185" spans="2:9" ht="15" customHeight="1" x14ac:dyDescent="0.25">
      <c r="B185" s="51" t="s">
        <v>124</v>
      </c>
      <c r="C185" s="52">
        <v>115</v>
      </c>
      <c r="D185" s="53" t="s">
        <v>4326</v>
      </c>
      <c r="E185" s="54"/>
      <c r="F185" s="52" t="str">
        <f>IF(INDEX(I.Performance.StartRange,115)="","",INDEX(I.Performance.StartRange,115))</f>
        <v/>
      </c>
      <c r="G185" s="54"/>
      <c r="H185" s="52" t="str">
        <f>IF(AND(I.Compliance.FulfilledPerformance&gt;0,I.Performance.RangeCount&gt;=115,F185=""),"Incomplete","Complete")</f>
        <v>Complete</v>
      </c>
      <c r="I185" s="55" t="s">
        <v>383</v>
      </c>
    </row>
    <row r="186" spans="2:9" ht="15" customHeight="1" x14ac:dyDescent="0.25">
      <c r="B186" s="51" t="s">
        <v>124</v>
      </c>
      <c r="C186" s="52">
        <v>116</v>
      </c>
      <c r="D186" s="53" t="s">
        <v>4326</v>
      </c>
      <c r="E186" s="54"/>
      <c r="F186" s="52" t="str">
        <f>IF(INDEX(I.Performance.StartRange,116)="","",INDEX(I.Performance.StartRange,116))</f>
        <v/>
      </c>
      <c r="G186" s="54"/>
      <c r="H186" s="52" t="str">
        <f>IF(AND(I.Compliance.FulfilledPerformance&gt;0,I.Performance.RangeCount&gt;=116,F186=""),"Incomplete","Complete")</f>
        <v>Complete</v>
      </c>
      <c r="I186" s="55" t="s">
        <v>384</v>
      </c>
    </row>
    <row r="187" spans="2:9" ht="15" customHeight="1" x14ac:dyDescent="0.25">
      <c r="B187" s="51" t="s">
        <v>124</v>
      </c>
      <c r="C187" s="52">
        <v>117</v>
      </c>
      <c r="D187" s="53" t="s">
        <v>4326</v>
      </c>
      <c r="E187" s="54"/>
      <c r="F187" s="52" t="str">
        <f>IF(INDEX(I.Performance.StartRange,117)="","",INDEX(I.Performance.StartRange,117))</f>
        <v/>
      </c>
      <c r="G187" s="54"/>
      <c r="H187" s="52" t="str">
        <f>IF(AND(I.Compliance.FulfilledPerformance&gt;0,I.Performance.RangeCount&gt;=117,F187=""),"Incomplete","Complete")</f>
        <v>Complete</v>
      </c>
      <c r="I187" s="55" t="s">
        <v>385</v>
      </c>
    </row>
    <row r="188" spans="2:9" ht="15" customHeight="1" x14ac:dyDescent="0.25">
      <c r="B188" s="51" t="s">
        <v>124</v>
      </c>
      <c r="C188" s="52">
        <v>118</v>
      </c>
      <c r="D188" s="53" t="s">
        <v>4326</v>
      </c>
      <c r="E188" s="54"/>
      <c r="F188" s="52" t="str">
        <f>IF(INDEX(I.Performance.StartRange,118)="","",INDEX(I.Performance.StartRange,118))</f>
        <v/>
      </c>
      <c r="G188" s="54"/>
      <c r="H188" s="52" t="str">
        <f>IF(AND(I.Compliance.FulfilledPerformance&gt;0,I.Performance.RangeCount&gt;=118,F188=""),"Incomplete","Complete")</f>
        <v>Complete</v>
      </c>
      <c r="I188" s="55" t="s">
        <v>386</v>
      </c>
    </row>
    <row r="189" spans="2:9" ht="15" customHeight="1" x14ac:dyDescent="0.25">
      <c r="B189" s="51" t="s">
        <v>124</v>
      </c>
      <c r="C189" s="52">
        <v>119</v>
      </c>
      <c r="D189" s="53" t="s">
        <v>4326</v>
      </c>
      <c r="E189" s="54"/>
      <c r="F189" s="52" t="str">
        <f>IF(INDEX(I.Performance.StartRange,119)="","",INDEX(I.Performance.StartRange,119))</f>
        <v/>
      </c>
      <c r="G189" s="54"/>
      <c r="H189" s="52" t="str">
        <f>IF(AND(I.Compliance.FulfilledPerformance&gt;0,I.Performance.RangeCount&gt;=119,F189=""),"Incomplete","Complete")</f>
        <v>Complete</v>
      </c>
      <c r="I189" s="55" t="s">
        <v>387</v>
      </c>
    </row>
    <row r="190" spans="2:9" ht="15" customHeight="1" x14ac:dyDescent="0.25">
      <c r="B190" s="51" t="s">
        <v>124</v>
      </c>
      <c r="C190" s="52">
        <v>120</v>
      </c>
      <c r="D190" s="53" t="s">
        <v>4326</v>
      </c>
      <c r="E190" s="54"/>
      <c r="F190" s="52" t="str">
        <f>IF(INDEX(I.Performance.StartRange,120)="","",INDEX(I.Performance.StartRange,120))</f>
        <v/>
      </c>
      <c r="G190" s="54"/>
      <c r="H190" s="52" t="str">
        <f>IF(AND(I.Compliance.FulfilledPerformance&gt;0,I.Performance.RangeCount&gt;=120,F190=""),"Incomplete","Complete")</f>
        <v>Complete</v>
      </c>
      <c r="I190" s="55" t="s">
        <v>388</v>
      </c>
    </row>
    <row r="191" spans="2:9" ht="15" customHeight="1" x14ac:dyDescent="0.25">
      <c r="B191" s="51" t="s">
        <v>124</v>
      </c>
      <c r="C191" s="52">
        <v>121</v>
      </c>
      <c r="D191" s="53" t="s">
        <v>4326</v>
      </c>
      <c r="E191" s="54"/>
      <c r="F191" s="52" t="str">
        <f>IF(INDEX(I.Performance.StartRange,121)="","",INDEX(I.Performance.StartRange,121))</f>
        <v/>
      </c>
      <c r="G191" s="54"/>
      <c r="H191" s="52" t="str">
        <f>IF(AND(I.Compliance.FulfilledPerformance&gt;0,I.Performance.RangeCount&gt;=121,F191=""),"Incomplete","Complete")</f>
        <v>Complete</v>
      </c>
      <c r="I191" s="55" t="s">
        <v>389</v>
      </c>
    </row>
    <row r="192" spans="2:9" ht="15" customHeight="1" x14ac:dyDescent="0.25">
      <c r="B192" s="51" t="s">
        <v>124</v>
      </c>
      <c r="C192" s="52">
        <v>122</v>
      </c>
      <c r="D192" s="53" t="s">
        <v>4326</v>
      </c>
      <c r="E192" s="54"/>
      <c r="F192" s="52" t="str">
        <f>IF(INDEX(I.Performance.StartRange,122)="","",INDEX(I.Performance.StartRange,122))</f>
        <v/>
      </c>
      <c r="G192" s="54"/>
      <c r="H192" s="52" t="str">
        <f>IF(AND(I.Compliance.FulfilledPerformance&gt;0,I.Performance.RangeCount&gt;=122,F192=""),"Incomplete","Complete")</f>
        <v>Complete</v>
      </c>
      <c r="I192" s="55" t="s">
        <v>390</v>
      </c>
    </row>
    <row r="193" spans="2:9" ht="15" customHeight="1" x14ac:dyDescent="0.25">
      <c r="B193" s="51" t="s">
        <v>124</v>
      </c>
      <c r="C193" s="52">
        <v>123</v>
      </c>
      <c r="D193" s="53" t="s">
        <v>4326</v>
      </c>
      <c r="E193" s="54"/>
      <c r="F193" s="52" t="str">
        <f>IF(INDEX(I.Performance.StartRange,123)="","",INDEX(I.Performance.StartRange,123))</f>
        <v/>
      </c>
      <c r="G193" s="54"/>
      <c r="H193" s="52" t="str">
        <f>IF(AND(I.Compliance.FulfilledPerformance&gt;0,I.Performance.RangeCount&gt;=123,F193=""),"Incomplete","Complete")</f>
        <v>Complete</v>
      </c>
      <c r="I193" s="55" t="s">
        <v>391</v>
      </c>
    </row>
    <row r="194" spans="2:9" ht="15" customHeight="1" x14ac:dyDescent="0.25">
      <c r="B194" s="51" t="s">
        <v>124</v>
      </c>
      <c r="C194" s="52">
        <v>124</v>
      </c>
      <c r="D194" s="53" t="s">
        <v>4326</v>
      </c>
      <c r="E194" s="54"/>
      <c r="F194" s="52" t="str">
        <f>IF(INDEX(I.Performance.StartRange,124)="","",INDEX(I.Performance.StartRange,124))</f>
        <v/>
      </c>
      <c r="G194" s="54"/>
      <c r="H194" s="52" t="str">
        <f>IF(AND(I.Compliance.FulfilledPerformance&gt;0,I.Performance.RangeCount&gt;=124,F194=""),"Incomplete","Complete")</f>
        <v>Complete</v>
      </c>
      <c r="I194" s="55" t="s">
        <v>392</v>
      </c>
    </row>
    <row r="195" spans="2:9" ht="15" customHeight="1" x14ac:dyDescent="0.25">
      <c r="B195" s="51" t="s">
        <v>124</v>
      </c>
      <c r="C195" s="52">
        <v>125</v>
      </c>
      <c r="D195" s="53" t="s">
        <v>4326</v>
      </c>
      <c r="E195" s="54"/>
      <c r="F195" s="52" t="str">
        <f>IF(INDEX(I.Performance.StartRange,125)="","",INDEX(I.Performance.StartRange,125))</f>
        <v/>
      </c>
      <c r="G195" s="54"/>
      <c r="H195" s="52" t="str">
        <f>IF(AND(I.Compliance.FulfilledPerformance&gt;0,I.Performance.RangeCount&gt;=125,F195=""),"Incomplete","Complete")</f>
        <v>Complete</v>
      </c>
      <c r="I195" s="55" t="s">
        <v>393</v>
      </c>
    </row>
    <row r="196" spans="2:9" ht="15" customHeight="1" x14ac:dyDescent="0.25">
      <c r="B196" s="51" t="s">
        <v>124</v>
      </c>
      <c r="C196" s="52">
        <v>126</v>
      </c>
      <c r="D196" s="53" t="s">
        <v>4326</v>
      </c>
      <c r="E196" s="54"/>
      <c r="F196" s="52" t="str">
        <f>IF(INDEX(I.Performance.StartRange,126)="","",INDEX(I.Performance.StartRange,126))</f>
        <v/>
      </c>
      <c r="G196" s="54"/>
      <c r="H196" s="52" t="str">
        <f>IF(AND(I.Compliance.FulfilledPerformance&gt;0,I.Performance.RangeCount&gt;=126,F196=""),"Incomplete","Complete")</f>
        <v>Complete</v>
      </c>
      <c r="I196" s="55" t="s">
        <v>394</v>
      </c>
    </row>
    <row r="197" spans="2:9" ht="15" customHeight="1" x14ac:dyDescent="0.25">
      <c r="B197" s="51" t="s">
        <v>124</v>
      </c>
      <c r="C197" s="52">
        <v>127</v>
      </c>
      <c r="D197" s="53" t="s">
        <v>4326</v>
      </c>
      <c r="E197" s="54"/>
      <c r="F197" s="52" t="str">
        <f>IF(INDEX(I.Performance.StartRange,127)="","",INDEX(I.Performance.StartRange,127))</f>
        <v/>
      </c>
      <c r="G197" s="54"/>
      <c r="H197" s="52" t="str">
        <f>IF(AND(I.Compliance.FulfilledPerformance&gt;0,I.Performance.RangeCount&gt;=127,F197=""),"Incomplete","Complete")</f>
        <v>Complete</v>
      </c>
      <c r="I197" s="55" t="s">
        <v>395</v>
      </c>
    </row>
    <row r="198" spans="2:9" ht="15" customHeight="1" x14ac:dyDescent="0.25">
      <c r="B198" s="51" t="s">
        <v>124</v>
      </c>
      <c r="C198" s="52">
        <v>128</v>
      </c>
      <c r="D198" s="53" t="s">
        <v>4326</v>
      </c>
      <c r="E198" s="54"/>
      <c r="F198" s="52" t="str">
        <f>IF(INDEX(I.Performance.StartRange,128)="","",INDEX(I.Performance.StartRange,128))</f>
        <v/>
      </c>
      <c r="G198" s="54"/>
      <c r="H198" s="52" t="str">
        <f>IF(AND(I.Compliance.FulfilledPerformance&gt;0,I.Performance.RangeCount&gt;=128,F198=""),"Incomplete","Complete")</f>
        <v>Complete</v>
      </c>
      <c r="I198" s="55" t="s">
        <v>396</v>
      </c>
    </row>
    <row r="199" spans="2:9" ht="15" customHeight="1" x14ac:dyDescent="0.25">
      <c r="B199" s="51" t="s">
        <v>124</v>
      </c>
      <c r="C199" s="52">
        <v>129</v>
      </c>
      <c r="D199" s="53" t="s">
        <v>4326</v>
      </c>
      <c r="E199" s="54"/>
      <c r="F199" s="52" t="str">
        <f>IF(INDEX(I.Performance.StartRange,129)="","",INDEX(I.Performance.StartRange,129))</f>
        <v/>
      </c>
      <c r="G199" s="54"/>
      <c r="H199" s="52" t="str">
        <f>IF(AND(I.Compliance.FulfilledPerformance&gt;0,I.Performance.RangeCount&gt;=129,F199=""),"Incomplete","Complete")</f>
        <v>Complete</v>
      </c>
      <c r="I199" s="55" t="s">
        <v>397</v>
      </c>
    </row>
    <row r="200" spans="2:9" ht="15" customHeight="1" x14ac:dyDescent="0.25">
      <c r="B200" s="51" t="s">
        <v>124</v>
      </c>
      <c r="C200" s="52">
        <v>130</v>
      </c>
      <c r="D200" s="53" t="s">
        <v>4326</v>
      </c>
      <c r="E200" s="54"/>
      <c r="F200" s="52" t="str">
        <f>IF(INDEX(I.Performance.StartRange,130)="","",INDEX(I.Performance.StartRange,130))</f>
        <v/>
      </c>
      <c r="G200" s="54"/>
      <c r="H200" s="52" t="str">
        <f>IF(AND(I.Compliance.FulfilledPerformance&gt;0,I.Performance.RangeCount&gt;=130,F200=""),"Incomplete","Complete")</f>
        <v>Complete</v>
      </c>
      <c r="I200" s="55" t="s">
        <v>398</v>
      </c>
    </row>
    <row r="201" spans="2:9" ht="15" customHeight="1" x14ac:dyDescent="0.25">
      <c r="B201" s="51" t="s">
        <v>124</v>
      </c>
      <c r="C201" s="52">
        <v>131</v>
      </c>
      <c r="D201" s="53" t="s">
        <v>4326</v>
      </c>
      <c r="E201" s="54"/>
      <c r="F201" s="52" t="str">
        <f>IF(INDEX(I.Performance.StartRange,131)="","",INDEX(I.Performance.StartRange,131))</f>
        <v/>
      </c>
      <c r="G201" s="54"/>
      <c r="H201" s="52" t="str">
        <f>IF(AND(I.Compliance.FulfilledPerformance&gt;0,I.Performance.RangeCount&gt;=131,F201=""),"Incomplete","Complete")</f>
        <v>Complete</v>
      </c>
      <c r="I201" s="55" t="s">
        <v>399</v>
      </c>
    </row>
    <row r="202" spans="2:9" ht="15" customHeight="1" x14ac:dyDescent="0.25">
      <c r="B202" s="51" t="s">
        <v>124</v>
      </c>
      <c r="C202" s="52">
        <v>132</v>
      </c>
      <c r="D202" s="53" t="s">
        <v>4326</v>
      </c>
      <c r="E202" s="54"/>
      <c r="F202" s="52" t="str">
        <f>IF(INDEX(I.Performance.StartRange,132)="","",INDEX(I.Performance.StartRange,132))</f>
        <v/>
      </c>
      <c r="G202" s="54"/>
      <c r="H202" s="52" t="str">
        <f>IF(AND(I.Compliance.FulfilledPerformance&gt;0,I.Performance.RangeCount&gt;=132,F202=""),"Incomplete","Complete")</f>
        <v>Complete</v>
      </c>
      <c r="I202" s="55" t="s">
        <v>400</v>
      </c>
    </row>
    <row r="203" spans="2:9" ht="15" customHeight="1" x14ac:dyDescent="0.25">
      <c r="B203" s="51" t="s">
        <v>124</v>
      </c>
      <c r="C203" s="52">
        <v>133</v>
      </c>
      <c r="D203" s="53" t="s">
        <v>4326</v>
      </c>
      <c r="E203" s="54"/>
      <c r="F203" s="52" t="str">
        <f>IF(INDEX(I.Performance.StartRange,133)="","",INDEX(I.Performance.StartRange,133))</f>
        <v/>
      </c>
      <c r="G203" s="54"/>
      <c r="H203" s="52" t="str">
        <f>IF(AND(I.Compliance.FulfilledPerformance&gt;0,I.Performance.RangeCount&gt;=133,F203=""),"Incomplete","Complete")</f>
        <v>Complete</v>
      </c>
      <c r="I203" s="55" t="s">
        <v>401</v>
      </c>
    </row>
    <row r="204" spans="2:9" ht="15" customHeight="1" x14ac:dyDescent="0.25">
      <c r="B204" s="51" t="s">
        <v>124</v>
      </c>
      <c r="C204" s="52">
        <v>134</v>
      </c>
      <c r="D204" s="53" t="s">
        <v>4326</v>
      </c>
      <c r="E204" s="54"/>
      <c r="F204" s="52" t="str">
        <f>IF(INDEX(I.Performance.StartRange,134)="","",INDEX(I.Performance.StartRange,134))</f>
        <v/>
      </c>
      <c r="G204" s="54"/>
      <c r="H204" s="52" t="str">
        <f>IF(AND(I.Compliance.FulfilledPerformance&gt;0,I.Performance.RangeCount&gt;=134,F204=""),"Incomplete","Complete")</f>
        <v>Complete</v>
      </c>
      <c r="I204" s="55" t="s">
        <v>402</v>
      </c>
    </row>
    <row r="205" spans="2:9" ht="15" customHeight="1" x14ac:dyDescent="0.25">
      <c r="B205" s="51" t="s">
        <v>124</v>
      </c>
      <c r="C205" s="52">
        <v>135</v>
      </c>
      <c r="D205" s="53" t="s">
        <v>4326</v>
      </c>
      <c r="E205" s="54"/>
      <c r="F205" s="52" t="str">
        <f>IF(INDEX(I.Performance.StartRange,135)="","",INDEX(I.Performance.StartRange,135))</f>
        <v/>
      </c>
      <c r="G205" s="54"/>
      <c r="H205" s="52" t="str">
        <f>IF(AND(I.Compliance.FulfilledPerformance&gt;0,I.Performance.RangeCount&gt;=135,F205=""),"Incomplete","Complete")</f>
        <v>Complete</v>
      </c>
      <c r="I205" s="55" t="s">
        <v>403</v>
      </c>
    </row>
    <row r="206" spans="2:9" ht="15" customHeight="1" x14ac:dyDescent="0.25">
      <c r="B206" s="51" t="s">
        <v>124</v>
      </c>
      <c r="C206" s="52">
        <v>136</v>
      </c>
      <c r="D206" s="53" t="s">
        <v>4326</v>
      </c>
      <c r="E206" s="54"/>
      <c r="F206" s="52" t="str">
        <f>IF(INDEX(I.Performance.StartRange,136)="","",INDEX(I.Performance.StartRange,136))</f>
        <v/>
      </c>
      <c r="G206" s="54"/>
      <c r="H206" s="52" t="str">
        <f>IF(AND(I.Compliance.FulfilledPerformance&gt;0,I.Performance.RangeCount&gt;=136,F206=""),"Incomplete","Complete")</f>
        <v>Complete</v>
      </c>
      <c r="I206" s="55" t="s">
        <v>404</v>
      </c>
    </row>
    <row r="207" spans="2:9" ht="15" customHeight="1" x14ac:dyDescent="0.25">
      <c r="B207" s="51" t="s">
        <v>124</v>
      </c>
      <c r="C207" s="52">
        <v>137</v>
      </c>
      <c r="D207" s="53" t="s">
        <v>4326</v>
      </c>
      <c r="E207" s="54"/>
      <c r="F207" s="52" t="str">
        <f>IF(INDEX(I.Performance.StartRange,137)="","",INDEX(I.Performance.StartRange,137))</f>
        <v/>
      </c>
      <c r="G207" s="54"/>
      <c r="H207" s="52" t="str">
        <f>IF(AND(I.Compliance.FulfilledPerformance&gt;0,I.Performance.RangeCount&gt;=137,F207=""),"Incomplete","Complete")</f>
        <v>Complete</v>
      </c>
      <c r="I207" s="55" t="s">
        <v>405</v>
      </c>
    </row>
    <row r="208" spans="2:9" ht="15" customHeight="1" x14ac:dyDescent="0.25">
      <c r="B208" s="51" t="s">
        <v>124</v>
      </c>
      <c r="C208" s="52">
        <v>138</v>
      </c>
      <c r="D208" s="53" t="s">
        <v>4326</v>
      </c>
      <c r="E208" s="54"/>
      <c r="F208" s="52" t="str">
        <f>IF(INDEX(I.Performance.StartRange,138)="","",INDEX(I.Performance.StartRange,138))</f>
        <v/>
      </c>
      <c r="G208" s="54"/>
      <c r="H208" s="52" t="str">
        <f>IF(AND(I.Compliance.FulfilledPerformance&gt;0,I.Performance.RangeCount&gt;=138,F208=""),"Incomplete","Complete")</f>
        <v>Complete</v>
      </c>
      <c r="I208" s="55" t="s">
        <v>406</v>
      </c>
    </row>
    <row r="209" spans="2:9" ht="15" customHeight="1" x14ac:dyDescent="0.25">
      <c r="B209" s="51" t="s">
        <v>124</v>
      </c>
      <c r="C209" s="52">
        <v>139</v>
      </c>
      <c r="D209" s="53" t="s">
        <v>4326</v>
      </c>
      <c r="E209" s="54"/>
      <c r="F209" s="52" t="str">
        <f>IF(INDEX(I.Performance.StartRange,139)="","",INDEX(I.Performance.StartRange,139))</f>
        <v/>
      </c>
      <c r="G209" s="54"/>
      <c r="H209" s="52" t="str">
        <f>IF(AND(I.Compliance.FulfilledPerformance&gt;0,I.Performance.RangeCount&gt;=139,F209=""),"Incomplete","Complete")</f>
        <v>Complete</v>
      </c>
      <c r="I209" s="55" t="s">
        <v>407</v>
      </c>
    </row>
    <row r="210" spans="2:9" ht="15" customHeight="1" x14ac:dyDescent="0.25">
      <c r="B210" s="51" t="s">
        <v>124</v>
      </c>
      <c r="C210" s="52">
        <v>140</v>
      </c>
      <c r="D210" s="53" t="s">
        <v>4326</v>
      </c>
      <c r="E210" s="54"/>
      <c r="F210" s="52" t="str">
        <f>IF(INDEX(I.Performance.StartRange,140)="","",INDEX(I.Performance.StartRange,140))</f>
        <v/>
      </c>
      <c r="G210" s="54"/>
      <c r="H210" s="52" t="str">
        <f>IF(AND(I.Compliance.FulfilledPerformance&gt;0,I.Performance.RangeCount&gt;=140,F210=""),"Incomplete","Complete")</f>
        <v>Complete</v>
      </c>
      <c r="I210" s="55" t="s">
        <v>408</v>
      </c>
    </row>
    <row r="211" spans="2:9" ht="15" customHeight="1" x14ac:dyDescent="0.25">
      <c r="B211" s="51" t="s">
        <v>124</v>
      </c>
      <c r="C211" s="52">
        <v>141</v>
      </c>
      <c r="D211" s="53" t="s">
        <v>4326</v>
      </c>
      <c r="E211" s="54"/>
      <c r="F211" s="52" t="str">
        <f>IF(INDEX(I.Performance.StartRange,141)="","",INDEX(I.Performance.StartRange,141))</f>
        <v/>
      </c>
      <c r="G211" s="54"/>
      <c r="H211" s="52" t="str">
        <f>IF(AND(I.Compliance.FulfilledPerformance&gt;0,I.Performance.RangeCount&gt;=141,F211=""),"Incomplete","Complete")</f>
        <v>Complete</v>
      </c>
      <c r="I211" s="55" t="s">
        <v>409</v>
      </c>
    </row>
    <row r="212" spans="2:9" ht="15" customHeight="1" x14ac:dyDescent="0.25">
      <c r="B212" s="51" t="s">
        <v>124</v>
      </c>
      <c r="C212" s="52">
        <v>142</v>
      </c>
      <c r="D212" s="53" t="s">
        <v>4326</v>
      </c>
      <c r="E212" s="54"/>
      <c r="F212" s="52" t="str">
        <f>IF(INDEX(I.Performance.StartRange,142)="","",INDEX(I.Performance.StartRange,142))</f>
        <v/>
      </c>
      <c r="G212" s="54"/>
      <c r="H212" s="52" t="str">
        <f>IF(AND(I.Compliance.FulfilledPerformance&gt;0,I.Performance.RangeCount&gt;=142,F212=""),"Incomplete","Complete")</f>
        <v>Complete</v>
      </c>
      <c r="I212" s="55" t="s">
        <v>410</v>
      </c>
    </row>
    <row r="213" spans="2:9" ht="15" customHeight="1" x14ac:dyDescent="0.25">
      <c r="B213" s="51" t="s">
        <v>124</v>
      </c>
      <c r="C213" s="52">
        <v>143</v>
      </c>
      <c r="D213" s="53" t="s">
        <v>4326</v>
      </c>
      <c r="E213" s="54"/>
      <c r="F213" s="52" t="str">
        <f>IF(INDEX(I.Performance.StartRange,143)="","",INDEX(I.Performance.StartRange,143))</f>
        <v/>
      </c>
      <c r="G213" s="54"/>
      <c r="H213" s="52" t="str">
        <f>IF(AND(I.Compliance.FulfilledPerformance&gt;0,I.Performance.RangeCount&gt;=143,F213=""),"Incomplete","Complete")</f>
        <v>Complete</v>
      </c>
      <c r="I213" s="55" t="s">
        <v>411</v>
      </c>
    </row>
    <row r="214" spans="2:9" ht="15" customHeight="1" x14ac:dyDescent="0.25">
      <c r="B214" s="51" t="s">
        <v>124</v>
      </c>
      <c r="C214" s="52">
        <v>144</v>
      </c>
      <c r="D214" s="53" t="s">
        <v>4326</v>
      </c>
      <c r="E214" s="54"/>
      <c r="F214" s="52" t="str">
        <f>IF(INDEX(I.Performance.StartRange,144)="","",INDEX(I.Performance.StartRange,144))</f>
        <v/>
      </c>
      <c r="G214" s="54"/>
      <c r="H214" s="52" t="str">
        <f>IF(AND(I.Compliance.FulfilledPerformance&gt;0,I.Performance.RangeCount&gt;=144,F214=""),"Incomplete","Complete")</f>
        <v>Complete</v>
      </c>
      <c r="I214" s="55" t="s">
        <v>412</v>
      </c>
    </row>
    <row r="215" spans="2:9" ht="15" customHeight="1" x14ac:dyDescent="0.25">
      <c r="B215" s="51" t="s">
        <v>124</v>
      </c>
      <c r="C215" s="52">
        <v>145</v>
      </c>
      <c r="D215" s="53" t="s">
        <v>4326</v>
      </c>
      <c r="E215" s="54"/>
      <c r="F215" s="52" t="str">
        <f>IF(INDEX(I.Performance.StartRange,145)="","",INDEX(I.Performance.StartRange,145))</f>
        <v/>
      </c>
      <c r="G215" s="54"/>
      <c r="H215" s="52" t="str">
        <f>IF(AND(I.Compliance.FulfilledPerformance&gt;0,I.Performance.RangeCount&gt;=145,F215=""),"Incomplete","Complete")</f>
        <v>Complete</v>
      </c>
      <c r="I215" s="55" t="s">
        <v>413</v>
      </c>
    </row>
    <row r="216" spans="2:9" ht="15" customHeight="1" x14ac:dyDescent="0.25">
      <c r="B216" s="51" t="s">
        <v>124</v>
      </c>
      <c r="C216" s="52">
        <v>146</v>
      </c>
      <c r="D216" s="53" t="s">
        <v>4326</v>
      </c>
      <c r="E216" s="54"/>
      <c r="F216" s="52" t="str">
        <f>IF(INDEX(I.Performance.StartRange,146)="","",INDEX(I.Performance.StartRange,146))</f>
        <v/>
      </c>
      <c r="G216" s="54"/>
      <c r="H216" s="52" t="str">
        <f>IF(AND(I.Compliance.FulfilledPerformance&gt;0,I.Performance.RangeCount&gt;=146,F216=""),"Incomplete","Complete")</f>
        <v>Complete</v>
      </c>
      <c r="I216" s="55" t="s">
        <v>414</v>
      </c>
    </row>
    <row r="217" spans="2:9" ht="15" customHeight="1" x14ac:dyDescent="0.25">
      <c r="B217" s="51" t="s">
        <v>124</v>
      </c>
      <c r="C217" s="52">
        <v>147</v>
      </c>
      <c r="D217" s="53" t="s">
        <v>4326</v>
      </c>
      <c r="E217" s="54"/>
      <c r="F217" s="52" t="str">
        <f>IF(INDEX(I.Performance.StartRange,147)="","",INDEX(I.Performance.StartRange,147))</f>
        <v/>
      </c>
      <c r="G217" s="54"/>
      <c r="H217" s="52" t="str">
        <f>IF(AND(I.Compliance.FulfilledPerformance&gt;0,I.Performance.RangeCount&gt;=147,F217=""),"Incomplete","Complete")</f>
        <v>Complete</v>
      </c>
      <c r="I217" s="55" t="s">
        <v>415</v>
      </c>
    </row>
    <row r="218" spans="2:9" ht="15" customHeight="1" x14ac:dyDescent="0.25">
      <c r="B218" s="51" t="s">
        <v>124</v>
      </c>
      <c r="C218" s="52">
        <v>148</v>
      </c>
      <c r="D218" s="53" t="s">
        <v>4326</v>
      </c>
      <c r="E218" s="54"/>
      <c r="F218" s="52" t="str">
        <f>IF(INDEX(I.Performance.StartRange,148)="","",INDEX(I.Performance.StartRange,148))</f>
        <v/>
      </c>
      <c r="G218" s="54"/>
      <c r="H218" s="52" t="str">
        <f>IF(AND(I.Compliance.FulfilledPerformance&gt;0,I.Performance.RangeCount&gt;=148,F218=""),"Incomplete","Complete")</f>
        <v>Complete</v>
      </c>
      <c r="I218" s="55" t="s">
        <v>416</v>
      </c>
    </row>
    <row r="219" spans="2:9" ht="15" customHeight="1" x14ac:dyDescent="0.25">
      <c r="B219" s="51" t="s">
        <v>124</v>
      </c>
      <c r="C219" s="52">
        <v>149</v>
      </c>
      <c r="D219" s="53" t="s">
        <v>4326</v>
      </c>
      <c r="E219" s="54"/>
      <c r="F219" s="52" t="str">
        <f>IF(INDEX(I.Performance.StartRange,149)="","",INDEX(I.Performance.StartRange,149))</f>
        <v/>
      </c>
      <c r="G219" s="54"/>
      <c r="H219" s="52" t="str">
        <f>IF(AND(I.Compliance.FulfilledPerformance&gt;0,I.Performance.RangeCount&gt;=149,F219=""),"Incomplete","Complete")</f>
        <v>Complete</v>
      </c>
      <c r="I219" s="55" t="s">
        <v>417</v>
      </c>
    </row>
    <row r="220" spans="2:9" ht="15" customHeight="1" x14ac:dyDescent="0.25">
      <c r="B220" s="51" t="s">
        <v>124</v>
      </c>
      <c r="C220" s="52">
        <v>150</v>
      </c>
      <c r="D220" s="53" t="s">
        <v>4326</v>
      </c>
      <c r="E220" s="54"/>
      <c r="F220" s="52" t="str">
        <f>IF(INDEX(I.Performance.StartRange,150)="","",INDEX(I.Performance.StartRange,150))</f>
        <v/>
      </c>
      <c r="G220" s="54"/>
      <c r="H220" s="52" t="str">
        <f>IF(AND(I.Compliance.FulfilledPerformance&gt;0,I.Performance.RangeCount&gt;=150,F220=""),"Incomplete","Complete")</f>
        <v>Complete</v>
      </c>
      <c r="I220" s="55" t="s">
        <v>418</v>
      </c>
    </row>
    <row r="221" spans="2:9" ht="15" customHeight="1" x14ac:dyDescent="0.25">
      <c r="B221" s="51" t="s">
        <v>124</v>
      </c>
      <c r="C221" s="52">
        <v>151</v>
      </c>
      <c r="D221" s="53" t="s">
        <v>4326</v>
      </c>
      <c r="E221" s="54"/>
      <c r="F221" s="52" t="str">
        <f>IF(INDEX(I.Performance.StartRange,151)="","",INDEX(I.Performance.StartRange,151))</f>
        <v/>
      </c>
      <c r="G221" s="54"/>
      <c r="H221" s="52" t="str">
        <f>IF(AND(I.Compliance.FulfilledPerformance&gt;0,I.Performance.RangeCount&gt;=151,F221=""),"Incomplete","Complete")</f>
        <v>Complete</v>
      </c>
      <c r="I221" s="55" t="s">
        <v>419</v>
      </c>
    </row>
    <row r="222" spans="2:9" ht="15" customHeight="1" x14ac:dyDescent="0.25">
      <c r="B222" s="51" t="s">
        <v>124</v>
      </c>
      <c r="C222" s="52">
        <v>152</v>
      </c>
      <c r="D222" s="53" t="s">
        <v>4326</v>
      </c>
      <c r="E222" s="54"/>
      <c r="F222" s="52" t="str">
        <f>IF(INDEX(I.Performance.StartRange,152)="","",INDEX(I.Performance.StartRange,152))</f>
        <v/>
      </c>
      <c r="G222" s="54"/>
      <c r="H222" s="52" t="str">
        <f>IF(AND(I.Compliance.FulfilledPerformance&gt;0,I.Performance.RangeCount&gt;=152,F222=""),"Incomplete","Complete")</f>
        <v>Complete</v>
      </c>
      <c r="I222" s="55" t="s">
        <v>420</v>
      </c>
    </row>
    <row r="223" spans="2:9" ht="15" customHeight="1" x14ac:dyDescent="0.25">
      <c r="B223" s="51" t="s">
        <v>124</v>
      </c>
      <c r="C223" s="52">
        <v>153</v>
      </c>
      <c r="D223" s="53" t="s">
        <v>4326</v>
      </c>
      <c r="E223" s="54"/>
      <c r="F223" s="52" t="str">
        <f>IF(INDEX(I.Performance.StartRange,153)="","",INDEX(I.Performance.StartRange,153))</f>
        <v/>
      </c>
      <c r="G223" s="54"/>
      <c r="H223" s="52" t="str">
        <f>IF(AND(I.Compliance.FulfilledPerformance&gt;0,I.Performance.RangeCount&gt;=153,F223=""),"Incomplete","Complete")</f>
        <v>Complete</v>
      </c>
      <c r="I223" s="55" t="s">
        <v>421</v>
      </c>
    </row>
    <row r="224" spans="2:9" ht="15" customHeight="1" x14ac:dyDescent="0.25">
      <c r="B224" s="51" t="s">
        <v>124</v>
      </c>
      <c r="C224" s="52">
        <v>154</v>
      </c>
      <c r="D224" s="53" t="s">
        <v>4326</v>
      </c>
      <c r="E224" s="54"/>
      <c r="F224" s="52" t="str">
        <f>IF(INDEX(I.Performance.StartRange,154)="","",INDEX(I.Performance.StartRange,154))</f>
        <v/>
      </c>
      <c r="G224" s="54"/>
      <c r="H224" s="52" t="str">
        <f>IF(AND(I.Compliance.FulfilledPerformance&gt;0,I.Performance.RangeCount&gt;=154,F224=""),"Incomplete","Complete")</f>
        <v>Complete</v>
      </c>
      <c r="I224" s="55" t="s">
        <v>422</v>
      </c>
    </row>
    <row r="225" spans="2:9" ht="15" customHeight="1" x14ac:dyDescent="0.25">
      <c r="B225" s="51" t="s">
        <v>124</v>
      </c>
      <c r="C225" s="52">
        <v>155</v>
      </c>
      <c r="D225" s="53" t="s">
        <v>4326</v>
      </c>
      <c r="E225" s="54"/>
      <c r="F225" s="52" t="str">
        <f>IF(INDEX(I.Performance.StartRange,155)="","",INDEX(I.Performance.StartRange,155))</f>
        <v/>
      </c>
      <c r="G225" s="54"/>
      <c r="H225" s="52" t="str">
        <f>IF(AND(I.Compliance.FulfilledPerformance&gt;0,I.Performance.RangeCount&gt;=155,F225=""),"Incomplete","Complete")</f>
        <v>Complete</v>
      </c>
      <c r="I225" s="55" t="s">
        <v>423</v>
      </c>
    </row>
    <row r="226" spans="2:9" ht="15" customHeight="1" x14ac:dyDescent="0.25">
      <c r="B226" s="51" t="s">
        <v>124</v>
      </c>
      <c r="C226" s="52">
        <v>156</v>
      </c>
      <c r="D226" s="53" t="s">
        <v>4326</v>
      </c>
      <c r="E226" s="54"/>
      <c r="F226" s="52" t="str">
        <f>IF(INDEX(I.Performance.StartRange,156)="","",INDEX(I.Performance.StartRange,156))</f>
        <v/>
      </c>
      <c r="G226" s="54"/>
      <c r="H226" s="52" t="str">
        <f>IF(AND(I.Compliance.FulfilledPerformance&gt;0,I.Performance.RangeCount&gt;=156,F226=""),"Incomplete","Complete")</f>
        <v>Complete</v>
      </c>
      <c r="I226" s="55" t="s">
        <v>424</v>
      </c>
    </row>
    <row r="227" spans="2:9" ht="15" customHeight="1" x14ac:dyDescent="0.25">
      <c r="B227" s="51" t="s">
        <v>124</v>
      </c>
      <c r="C227" s="52">
        <v>157</v>
      </c>
      <c r="D227" s="53" t="s">
        <v>4326</v>
      </c>
      <c r="E227" s="54"/>
      <c r="F227" s="52" t="str">
        <f>IF(INDEX(I.Performance.StartRange,157)="","",INDEX(I.Performance.StartRange,157))</f>
        <v/>
      </c>
      <c r="G227" s="54"/>
      <c r="H227" s="52" t="str">
        <f>IF(AND(I.Compliance.FulfilledPerformance&gt;0,I.Performance.RangeCount&gt;=157,F227=""),"Incomplete","Complete")</f>
        <v>Complete</v>
      </c>
      <c r="I227" s="55" t="s">
        <v>425</v>
      </c>
    </row>
    <row r="228" spans="2:9" ht="15" customHeight="1" x14ac:dyDescent="0.25">
      <c r="B228" s="51" t="s">
        <v>124</v>
      </c>
      <c r="C228" s="52">
        <v>158</v>
      </c>
      <c r="D228" s="53" t="s">
        <v>4326</v>
      </c>
      <c r="E228" s="54"/>
      <c r="F228" s="52" t="str">
        <f>IF(INDEX(I.Performance.StartRange,158)="","",INDEX(I.Performance.StartRange,158))</f>
        <v/>
      </c>
      <c r="G228" s="54"/>
      <c r="H228" s="52" t="str">
        <f>IF(AND(I.Compliance.FulfilledPerformance&gt;0,I.Performance.RangeCount&gt;=158,F228=""),"Incomplete","Complete")</f>
        <v>Complete</v>
      </c>
      <c r="I228" s="55" t="s">
        <v>426</v>
      </c>
    </row>
    <row r="229" spans="2:9" ht="15" customHeight="1" x14ac:dyDescent="0.25">
      <c r="B229" s="51" t="s">
        <v>124</v>
      </c>
      <c r="C229" s="52">
        <v>159</v>
      </c>
      <c r="D229" s="53" t="s">
        <v>4326</v>
      </c>
      <c r="E229" s="54"/>
      <c r="F229" s="52" t="str">
        <f>IF(INDEX(I.Performance.StartRange,159)="","",INDEX(I.Performance.StartRange,159))</f>
        <v/>
      </c>
      <c r="G229" s="54"/>
      <c r="H229" s="52" t="str">
        <f>IF(AND(I.Compliance.FulfilledPerformance&gt;0,I.Performance.RangeCount&gt;=159,F229=""),"Incomplete","Complete")</f>
        <v>Complete</v>
      </c>
      <c r="I229" s="55" t="s">
        <v>427</v>
      </c>
    </row>
    <row r="230" spans="2:9" ht="15" customHeight="1" x14ac:dyDescent="0.25">
      <c r="B230" s="51" t="s">
        <v>124</v>
      </c>
      <c r="C230" s="52">
        <v>160</v>
      </c>
      <c r="D230" s="53" t="s">
        <v>4326</v>
      </c>
      <c r="E230" s="54"/>
      <c r="F230" s="52" t="str">
        <f>IF(INDEX(I.Performance.StartRange,160)="","",INDEX(I.Performance.StartRange,160))</f>
        <v/>
      </c>
      <c r="G230" s="54"/>
      <c r="H230" s="52" t="str">
        <f>IF(AND(I.Compliance.FulfilledPerformance&gt;0,I.Performance.RangeCount&gt;=160,F230=""),"Incomplete","Complete")</f>
        <v>Complete</v>
      </c>
      <c r="I230" s="55" t="s">
        <v>428</v>
      </c>
    </row>
    <row r="231" spans="2:9" ht="15" customHeight="1" x14ac:dyDescent="0.25">
      <c r="B231" s="51" t="s">
        <v>124</v>
      </c>
      <c r="C231" s="52">
        <v>161</v>
      </c>
      <c r="D231" s="53" t="s">
        <v>4326</v>
      </c>
      <c r="E231" s="54"/>
      <c r="F231" s="52" t="str">
        <f>IF(INDEX(I.Performance.StartRange,161)="","",INDEX(I.Performance.StartRange,161))</f>
        <v/>
      </c>
      <c r="G231" s="54"/>
      <c r="H231" s="52" t="str">
        <f>IF(AND(I.Compliance.FulfilledPerformance&gt;0,I.Performance.RangeCount&gt;=161,F231=""),"Incomplete","Complete")</f>
        <v>Complete</v>
      </c>
      <c r="I231" s="55" t="s">
        <v>429</v>
      </c>
    </row>
    <row r="232" spans="2:9" ht="15" customHeight="1" x14ac:dyDescent="0.25">
      <c r="B232" s="51" t="s">
        <v>124</v>
      </c>
      <c r="C232" s="52">
        <v>162</v>
      </c>
      <c r="D232" s="53" t="s">
        <v>4326</v>
      </c>
      <c r="E232" s="54"/>
      <c r="F232" s="52" t="str">
        <f>IF(INDEX(I.Performance.StartRange,162)="","",INDEX(I.Performance.StartRange,162))</f>
        <v/>
      </c>
      <c r="G232" s="54"/>
      <c r="H232" s="52" t="str">
        <f>IF(AND(I.Compliance.FulfilledPerformance&gt;0,I.Performance.RangeCount&gt;=162,F232=""),"Incomplete","Complete")</f>
        <v>Complete</v>
      </c>
      <c r="I232" s="55" t="s">
        <v>430</v>
      </c>
    </row>
    <row r="233" spans="2:9" ht="15" customHeight="1" x14ac:dyDescent="0.25">
      <c r="B233" s="51" t="s">
        <v>124</v>
      </c>
      <c r="C233" s="52">
        <v>163</v>
      </c>
      <c r="D233" s="53" t="s">
        <v>4326</v>
      </c>
      <c r="E233" s="54"/>
      <c r="F233" s="52" t="str">
        <f>IF(INDEX(I.Performance.StartRange,163)="","",INDEX(I.Performance.StartRange,163))</f>
        <v/>
      </c>
      <c r="G233" s="54"/>
      <c r="H233" s="52" t="str">
        <f>IF(AND(I.Compliance.FulfilledPerformance&gt;0,I.Performance.RangeCount&gt;=163,F233=""),"Incomplete","Complete")</f>
        <v>Complete</v>
      </c>
      <c r="I233" s="55" t="s">
        <v>431</v>
      </c>
    </row>
    <row r="234" spans="2:9" ht="15" customHeight="1" x14ac:dyDescent="0.25">
      <c r="B234" s="51" t="s">
        <v>124</v>
      </c>
      <c r="C234" s="52">
        <v>164</v>
      </c>
      <c r="D234" s="53" t="s">
        <v>4326</v>
      </c>
      <c r="E234" s="54"/>
      <c r="F234" s="52" t="str">
        <f>IF(INDEX(I.Performance.StartRange,164)="","",INDEX(I.Performance.StartRange,164))</f>
        <v/>
      </c>
      <c r="G234" s="54"/>
      <c r="H234" s="52" t="str">
        <f>IF(AND(I.Compliance.FulfilledPerformance&gt;0,I.Performance.RangeCount&gt;=164,F234=""),"Incomplete","Complete")</f>
        <v>Complete</v>
      </c>
      <c r="I234" s="55" t="s">
        <v>432</v>
      </c>
    </row>
    <row r="235" spans="2:9" ht="15" customHeight="1" x14ac:dyDescent="0.25">
      <c r="B235" s="51" t="s">
        <v>124</v>
      </c>
      <c r="C235" s="52">
        <v>165</v>
      </c>
      <c r="D235" s="53" t="s">
        <v>4326</v>
      </c>
      <c r="E235" s="54"/>
      <c r="F235" s="52" t="str">
        <f>IF(INDEX(I.Performance.StartRange,165)="","",INDEX(I.Performance.StartRange,165))</f>
        <v/>
      </c>
      <c r="G235" s="54"/>
      <c r="H235" s="52" t="str">
        <f>IF(AND(I.Compliance.FulfilledPerformance&gt;0,I.Performance.RangeCount&gt;=165,F235=""),"Incomplete","Complete")</f>
        <v>Complete</v>
      </c>
      <c r="I235" s="55" t="s">
        <v>433</v>
      </c>
    </row>
    <row r="236" spans="2:9" ht="15" customHeight="1" x14ac:dyDescent="0.25">
      <c r="B236" s="51" t="s">
        <v>124</v>
      </c>
      <c r="C236" s="52">
        <v>166</v>
      </c>
      <c r="D236" s="53" t="s">
        <v>4326</v>
      </c>
      <c r="E236" s="54"/>
      <c r="F236" s="52" t="str">
        <f>IF(INDEX(I.Performance.StartRange,166)="","",INDEX(I.Performance.StartRange,166))</f>
        <v/>
      </c>
      <c r="G236" s="54"/>
      <c r="H236" s="52" t="str">
        <f>IF(AND(I.Compliance.FulfilledPerformance&gt;0,I.Performance.RangeCount&gt;=166,F236=""),"Incomplete","Complete")</f>
        <v>Complete</v>
      </c>
      <c r="I236" s="55" t="s">
        <v>434</v>
      </c>
    </row>
    <row r="237" spans="2:9" ht="15" customHeight="1" x14ac:dyDescent="0.25">
      <c r="B237" s="51" t="s">
        <v>124</v>
      </c>
      <c r="C237" s="52">
        <v>167</v>
      </c>
      <c r="D237" s="53" t="s">
        <v>4326</v>
      </c>
      <c r="E237" s="54"/>
      <c r="F237" s="52" t="str">
        <f>IF(INDEX(I.Performance.StartRange,167)="","",INDEX(I.Performance.StartRange,167))</f>
        <v/>
      </c>
      <c r="G237" s="54"/>
      <c r="H237" s="52" t="str">
        <f>IF(AND(I.Compliance.FulfilledPerformance&gt;0,I.Performance.RangeCount&gt;=167,F237=""),"Incomplete","Complete")</f>
        <v>Complete</v>
      </c>
      <c r="I237" s="55" t="s">
        <v>435</v>
      </c>
    </row>
    <row r="238" spans="2:9" ht="15" customHeight="1" x14ac:dyDescent="0.25">
      <c r="B238" s="51" t="s">
        <v>124</v>
      </c>
      <c r="C238" s="52">
        <v>168</v>
      </c>
      <c r="D238" s="53" t="s">
        <v>4326</v>
      </c>
      <c r="E238" s="54"/>
      <c r="F238" s="52" t="str">
        <f>IF(INDEX(I.Performance.StartRange,168)="","",INDEX(I.Performance.StartRange,168))</f>
        <v/>
      </c>
      <c r="G238" s="54"/>
      <c r="H238" s="52" t="str">
        <f>IF(AND(I.Compliance.FulfilledPerformance&gt;0,I.Performance.RangeCount&gt;=168,F238=""),"Incomplete","Complete")</f>
        <v>Complete</v>
      </c>
      <c r="I238" s="55" t="s">
        <v>436</v>
      </c>
    </row>
    <row r="239" spans="2:9" ht="15" customHeight="1" x14ac:dyDescent="0.25">
      <c r="B239" s="51" t="s">
        <v>124</v>
      </c>
      <c r="C239" s="52">
        <v>169</v>
      </c>
      <c r="D239" s="53" t="s">
        <v>4326</v>
      </c>
      <c r="E239" s="54"/>
      <c r="F239" s="52" t="str">
        <f>IF(INDEX(I.Performance.StartRange,169)="","",INDEX(I.Performance.StartRange,169))</f>
        <v/>
      </c>
      <c r="G239" s="54"/>
      <c r="H239" s="52" t="str">
        <f>IF(AND(I.Compliance.FulfilledPerformance&gt;0,I.Performance.RangeCount&gt;=169,F239=""),"Incomplete","Complete")</f>
        <v>Complete</v>
      </c>
      <c r="I239" s="55" t="s">
        <v>437</v>
      </c>
    </row>
    <row r="240" spans="2:9" ht="15" customHeight="1" x14ac:dyDescent="0.25">
      <c r="B240" s="51" t="s">
        <v>124</v>
      </c>
      <c r="C240" s="52">
        <v>170</v>
      </c>
      <c r="D240" s="53" t="s">
        <v>4326</v>
      </c>
      <c r="E240" s="54"/>
      <c r="F240" s="52" t="str">
        <f>IF(INDEX(I.Performance.StartRange,170)="","",INDEX(I.Performance.StartRange,170))</f>
        <v/>
      </c>
      <c r="G240" s="54"/>
      <c r="H240" s="52" t="str">
        <f>IF(AND(I.Compliance.FulfilledPerformance&gt;0,I.Performance.RangeCount&gt;=170,F240=""),"Incomplete","Complete")</f>
        <v>Complete</v>
      </c>
      <c r="I240" s="55" t="s">
        <v>438</v>
      </c>
    </row>
    <row r="241" spans="2:9" ht="15" customHeight="1" x14ac:dyDescent="0.25">
      <c r="B241" s="51" t="s">
        <v>124</v>
      </c>
      <c r="C241" s="52">
        <v>171</v>
      </c>
      <c r="D241" s="53" t="s">
        <v>4326</v>
      </c>
      <c r="E241" s="54"/>
      <c r="F241" s="52" t="str">
        <f>IF(INDEX(I.Performance.StartRange,171)="","",INDEX(I.Performance.StartRange,171))</f>
        <v/>
      </c>
      <c r="G241" s="54"/>
      <c r="H241" s="52" t="str">
        <f>IF(AND(I.Compliance.FulfilledPerformance&gt;0,I.Performance.RangeCount&gt;=171,F241=""),"Incomplete","Complete")</f>
        <v>Complete</v>
      </c>
      <c r="I241" s="55" t="s">
        <v>439</v>
      </c>
    </row>
    <row r="242" spans="2:9" ht="15" customHeight="1" x14ac:dyDescent="0.25">
      <c r="B242" s="51" t="s">
        <v>124</v>
      </c>
      <c r="C242" s="52">
        <v>172</v>
      </c>
      <c r="D242" s="53" t="s">
        <v>4326</v>
      </c>
      <c r="E242" s="54"/>
      <c r="F242" s="52" t="str">
        <f>IF(INDEX(I.Performance.StartRange,172)="","",INDEX(I.Performance.StartRange,172))</f>
        <v/>
      </c>
      <c r="G242" s="54"/>
      <c r="H242" s="52" t="str">
        <f>IF(AND(I.Compliance.FulfilledPerformance&gt;0,I.Performance.RangeCount&gt;=172,F242=""),"Incomplete","Complete")</f>
        <v>Complete</v>
      </c>
      <c r="I242" s="55" t="s">
        <v>440</v>
      </c>
    </row>
    <row r="243" spans="2:9" ht="15" customHeight="1" x14ac:dyDescent="0.25">
      <c r="B243" s="51" t="s">
        <v>124</v>
      </c>
      <c r="C243" s="52">
        <v>173</v>
      </c>
      <c r="D243" s="53" t="s">
        <v>4326</v>
      </c>
      <c r="E243" s="54"/>
      <c r="F243" s="52" t="str">
        <f>IF(INDEX(I.Performance.StartRange,173)="","",INDEX(I.Performance.StartRange,173))</f>
        <v/>
      </c>
      <c r="G243" s="54"/>
      <c r="H243" s="52" t="str">
        <f>IF(AND(I.Compliance.FulfilledPerformance&gt;0,I.Performance.RangeCount&gt;=173,F243=""),"Incomplete","Complete")</f>
        <v>Complete</v>
      </c>
      <c r="I243" s="55" t="s">
        <v>441</v>
      </c>
    </row>
    <row r="244" spans="2:9" ht="15" customHeight="1" x14ac:dyDescent="0.25">
      <c r="B244" s="51" t="s">
        <v>124</v>
      </c>
      <c r="C244" s="52">
        <v>174</v>
      </c>
      <c r="D244" s="53" t="s">
        <v>4326</v>
      </c>
      <c r="E244" s="54"/>
      <c r="F244" s="52" t="str">
        <f>IF(INDEX(I.Performance.StartRange,174)="","",INDEX(I.Performance.StartRange,174))</f>
        <v/>
      </c>
      <c r="G244" s="54"/>
      <c r="H244" s="52" t="str">
        <f>IF(AND(I.Compliance.FulfilledPerformance&gt;0,I.Performance.RangeCount&gt;=174,F244=""),"Incomplete","Complete")</f>
        <v>Complete</v>
      </c>
      <c r="I244" s="55" t="s">
        <v>442</v>
      </c>
    </row>
    <row r="245" spans="2:9" ht="15" customHeight="1" x14ac:dyDescent="0.25">
      <c r="B245" s="51" t="s">
        <v>124</v>
      </c>
      <c r="C245" s="52">
        <v>175</v>
      </c>
      <c r="D245" s="53" t="s">
        <v>4326</v>
      </c>
      <c r="E245" s="54"/>
      <c r="F245" s="52" t="str">
        <f>IF(INDEX(I.Performance.StartRange,175)="","",INDEX(I.Performance.StartRange,175))</f>
        <v/>
      </c>
      <c r="G245" s="54"/>
      <c r="H245" s="52" t="str">
        <f>IF(AND(I.Compliance.FulfilledPerformance&gt;0,I.Performance.RangeCount&gt;=175,F245=""),"Incomplete","Complete")</f>
        <v>Complete</v>
      </c>
      <c r="I245" s="55" t="s">
        <v>443</v>
      </c>
    </row>
    <row r="246" spans="2:9" ht="15" customHeight="1" x14ac:dyDescent="0.25">
      <c r="B246" s="51" t="s">
        <v>124</v>
      </c>
      <c r="C246" s="52">
        <v>176</v>
      </c>
      <c r="D246" s="53" t="s">
        <v>4326</v>
      </c>
      <c r="E246" s="54"/>
      <c r="F246" s="52" t="str">
        <f>IF(INDEX(I.Performance.StartRange,176)="","",INDEX(I.Performance.StartRange,176))</f>
        <v/>
      </c>
      <c r="G246" s="54"/>
      <c r="H246" s="52" t="str">
        <f>IF(AND(I.Compliance.FulfilledPerformance&gt;0,I.Performance.RangeCount&gt;=176,F246=""),"Incomplete","Complete")</f>
        <v>Complete</v>
      </c>
      <c r="I246" s="55" t="s">
        <v>444</v>
      </c>
    </row>
    <row r="247" spans="2:9" ht="15" customHeight="1" x14ac:dyDescent="0.25">
      <c r="B247" s="51" t="s">
        <v>124</v>
      </c>
      <c r="C247" s="52">
        <v>177</v>
      </c>
      <c r="D247" s="53" t="s">
        <v>4326</v>
      </c>
      <c r="E247" s="54"/>
      <c r="F247" s="52" t="str">
        <f>IF(INDEX(I.Performance.StartRange,177)="","",INDEX(I.Performance.StartRange,177))</f>
        <v/>
      </c>
      <c r="G247" s="54"/>
      <c r="H247" s="52" t="str">
        <f>IF(AND(I.Compliance.FulfilledPerformance&gt;0,I.Performance.RangeCount&gt;=177,F247=""),"Incomplete","Complete")</f>
        <v>Complete</v>
      </c>
      <c r="I247" s="55" t="s">
        <v>445</v>
      </c>
    </row>
    <row r="248" spans="2:9" ht="15" customHeight="1" x14ac:dyDescent="0.25">
      <c r="B248" s="51" t="s">
        <v>124</v>
      </c>
      <c r="C248" s="52">
        <v>178</v>
      </c>
      <c r="D248" s="53" t="s">
        <v>4326</v>
      </c>
      <c r="E248" s="54"/>
      <c r="F248" s="52" t="str">
        <f>IF(INDEX(I.Performance.StartRange,178)="","",INDEX(I.Performance.StartRange,178))</f>
        <v/>
      </c>
      <c r="G248" s="54"/>
      <c r="H248" s="52" t="str">
        <f>IF(AND(I.Compliance.FulfilledPerformance&gt;0,I.Performance.RangeCount&gt;=178,F248=""),"Incomplete","Complete")</f>
        <v>Complete</v>
      </c>
      <c r="I248" s="55" t="s">
        <v>446</v>
      </c>
    </row>
    <row r="249" spans="2:9" ht="15" customHeight="1" x14ac:dyDescent="0.25">
      <c r="B249" s="51" t="s">
        <v>124</v>
      </c>
      <c r="C249" s="52">
        <v>179</v>
      </c>
      <c r="D249" s="53" t="s">
        <v>4326</v>
      </c>
      <c r="E249" s="54"/>
      <c r="F249" s="52" t="str">
        <f>IF(INDEX(I.Performance.StartRange,179)="","",INDEX(I.Performance.StartRange,179))</f>
        <v/>
      </c>
      <c r="G249" s="54"/>
      <c r="H249" s="52" t="str">
        <f>IF(AND(I.Compliance.FulfilledPerformance&gt;0,I.Performance.RangeCount&gt;=179,F249=""),"Incomplete","Complete")</f>
        <v>Complete</v>
      </c>
      <c r="I249" s="55" t="s">
        <v>447</v>
      </c>
    </row>
    <row r="250" spans="2:9" ht="15" customHeight="1" x14ac:dyDescent="0.25">
      <c r="B250" s="51" t="s">
        <v>124</v>
      </c>
      <c r="C250" s="52">
        <v>180</v>
      </c>
      <c r="D250" s="53" t="s">
        <v>4326</v>
      </c>
      <c r="E250" s="54"/>
      <c r="F250" s="52" t="str">
        <f>IF(INDEX(I.Performance.StartRange,180)="","",INDEX(I.Performance.StartRange,180))</f>
        <v/>
      </c>
      <c r="G250" s="54"/>
      <c r="H250" s="52" t="str">
        <f>IF(AND(I.Compliance.FulfilledPerformance&gt;0,I.Performance.RangeCount&gt;=180,F250=""),"Incomplete","Complete")</f>
        <v>Complete</v>
      </c>
      <c r="I250" s="55" t="s">
        <v>448</v>
      </c>
    </row>
    <row r="251" spans="2:9" ht="15" customHeight="1" x14ac:dyDescent="0.25">
      <c r="B251" s="51" t="s">
        <v>124</v>
      </c>
      <c r="C251" s="52">
        <v>181</v>
      </c>
      <c r="D251" s="53" t="s">
        <v>4326</v>
      </c>
      <c r="E251" s="54"/>
      <c r="F251" s="52" t="str">
        <f>IF(INDEX(I.Performance.StartRange,181)="","",INDEX(I.Performance.StartRange,181))</f>
        <v/>
      </c>
      <c r="G251" s="54"/>
      <c r="H251" s="52" t="str">
        <f>IF(AND(I.Compliance.FulfilledPerformance&gt;0,I.Performance.RangeCount&gt;=181,F251=""),"Incomplete","Complete")</f>
        <v>Complete</v>
      </c>
      <c r="I251" s="55" t="s">
        <v>449</v>
      </c>
    </row>
    <row r="252" spans="2:9" ht="15" customHeight="1" x14ac:dyDescent="0.25">
      <c r="B252" s="51" t="s">
        <v>124</v>
      </c>
      <c r="C252" s="52">
        <v>182</v>
      </c>
      <c r="D252" s="53" t="s">
        <v>4326</v>
      </c>
      <c r="E252" s="54"/>
      <c r="F252" s="52" t="str">
        <f>IF(INDEX(I.Performance.StartRange,182)="","",INDEX(I.Performance.StartRange,182))</f>
        <v/>
      </c>
      <c r="G252" s="54"/>
      <c r="H252" s="52" t="str">
        <f>IF(AND(I.Compliance.FulfilledPerformance&gt;0,I.Performance.RangeCount&gt;=182,F252=""),"Incomplete","Complete")</f>
        <v>Complete</v>
      </c>
      <c r="I252" s="55" t="s">
        <v>450</v>
      </c>
    </row>
    <row r="253" spans="2:9" ht="15" customHeight="1" x14ac:dyDescent="0.25">
      <c r="B253" s="51" t="s">
        <v>124</v>
      </c>
      <c r="C253" s="52">
        <v>183</v>
      </c>
      <c r="D253" s="53" t="s">
        <v>4326</v>
      </c>
      <c r="E253" s="54"/>
      <c r="F253" s="52" t="str">
        <f>IF(INDEX(I.Performance.StartRange,183)="","",INDEX(I.Performance.StartRange,183))</f>
        <v/>
      </c>
      <c r="G253" s="54"/>
      <c r="H253" s="52" t="str">
        <f>IF(AND(I.Compliance.FulfilledPerformance&gt;0,I.Performance.RangeCount&gt;=183,F253=""),"Incomplete","Complete")</f>
        <v>Complete</v>
      </c>
      <c r="I253" s="55" t="s">
        <v>451</v>
      </c>
    </row>
    <row r="254" spans="2:9" ht="15" customHeight="1" x14ac:dyDescent="0.25">
      <c r="B254" s="51" t="s">
        <v>124</v>
      </c>
      <c r="C254" s="52">
        <v>184</v>
      </c>
      <c r="D254" s="53" t="s">
        <v>4326</v>
      </c>
      <c r="E254" s="54"/>
      <c r="F254" s="52" t="str">
        <f>IF(INDEX(I.Performance.StartRange,184)="","",INDEX(I.Performance.StartRange,184))</f>
        <v/>
      </c>
      <c r="G254" s="54"/>
      <c r="H254" s="52" t="str">
        <f>IF(AND(I.Compliance.FulfilledPerformance&gt;0,I.Performance.RangeCount&gt;=184,F254=""),"Incomplete","Complete")</f>
        <v>Complete</v>
      </c>
      <c r="I254" s="55" t="s">
        <v>452</v>
      </c>
    </row>
    <row r="255" spans="2:9" ht="15" customHeight="1" x14ac:dyDescent="0.25">
      <c r="B255" s="51" t="s">
        <v>124</v>
      </c>
      <c r="C255" s="52">
        <v>185</v>
      </c>
      <c r="D255" s="53" t="s">
        <v>4326</v>
      </c>
      <c r="E255" s="54"/>
      <c r="F255" s="52" t="str">
        <f>IF(INDEX(I.Performance.StartRange,185)="","",INDEX(I.Performance.StartRange,185))</f>
        <v/>
      </c>
      <c r="G255" s="54"/>
      <c r="H255" s="52" t="str">
        <f>IF(AND(I.Compliance.FulfilledPerformance&gt;0,I.Performance.RangeCount&gt;=185,F255=""),"Incomplete","Complete")</f>
        <v>Complete</v>
      </c>
      <c r="I255" s="55" t="s">
        <v>453</v>
      </c>
    </row>
    <row r="256" spans="2:9" ht="15" customHeight="1" x14ac:dyDescent="0.25">
      <c r="B256" s="51" t="s">
        <v>124</v>
      </c>
      <c r="C256" s="52">
        <v>186</v>
      </c>
      <c r="D256" s="53" t="s">
        <v>4326</v>
      </c>
      <c r="E256" s="54"/>
      <c r="F256" s="52" t="str">
        <f>IF(INDEX(I.Performance.StartRange,186)="","",INDEX(I.Performance.StartRange,186))</f>
        <v/>
      </c>
      <c r="G256" s="54"/>
      <c r="H256" s="52" t="str">
        <f>IF(AND(I.Compliance.FulfilledPerformance&gt;0,I.Performance.RangeCount&gt;=186,F256=""),"Incomplete","Complete")</f>
        <v>Complete</v>
      </c>
      <c r="I256" s="55" t="s">
        <v>454</v>
      </c>
    </row>
    <row r="257" spans="2:9" ht="15" customHeight="1" x14ac:dyDescent="0.25">
      <c r="B257" s="51" t="s">
        <v>124</v>
      </c>
      <c r="C257" s="52">
        <v>187</v>
      </c>
      <c r="D257" s="53" t="s">
        <v>4326</v>
      </c>
      <c r="E257" s="54"/>
      <c r="F257" s="52" t="str">
        <f>IF(INDEX(I.Performance.StartRange,187)="","",INDEX(I.Performance.StartRange,187))</f>
        <v/>
      </c>
      <c r="G257" s="54"/>
      <c r="H257" s="52" t="str">
        <f>IF(AND(I.Compliance.FulfilledPerformance&gt;0,I.Performance.RangeCount&gt;=187,F257=""),"Incomplete","Complete")</f>
        <v>Complete</v>
      </c>
      <c r="I257" s="55" t="s">
        <v>455</v>
      </c>
    </row>
    <row r="258" spans="2:9" ht="15" customHeight="1" x14ac:dyDescent="0.25">
      <c r="B258" s="51" t="s">
        <v>124</v>
      </c>
      <c r="C258" s="52">
        <v>188</v>
      </c>
      <c r="D258" s="53" t="s">
        <v>4326</v>
      </c>
      <c r="E258" s="54"/>
      <c r="F258" s="52" t="str">
        <f>IF(INDEX(I.Performance.StartRange,188)="","",INDEX(I.Performance.StartRange,188))</f>
        <v/>
      </c>
      <c r="G258" s="54"/>
      <c r="H258" s="52" t="str">
        <f>IF(AND(I.Compliance.FulfilledPerformance&gt;0,I.Performance.RangeCount&gt;=188,F258=""),"Incomplete","Complete")</f>
        <v>Complete</v>
      </c>
      <c r="I258" s="55" t="s">
        <v>456</v>
      </c>
    </row>
    <row r="259" spans="2:9" ht="15" customHeight="1" x14ac:dyDescent="0.25">
      <c r="B259" s="51" t="s">
        <v>124</v>
      </c>
      <c r="C259" s="52">
        <v>189</v>
      </c>
      <c r="D259" s="53" t="s">
        <v>4326</v>
      </c>
      <c r="E259" s="54"/>
      <c r="F259" s="52" t="str">
        <f>IF(INDEX(I.Performance.StartRange,189)="","",INDEX(I.Performance.StartRange,189))</f>
        <v/>
      </c>
      <c r="G259" s="54"/>
      <c r="H259" s="52" t="str">
        <f>IF(AND(I.Compliance.FulfilledPerformance&gt;0,I.Performance.RangeCount&gt;=189,F259=""),"Incomplete","Complete")</f>
        <v>Complete</v>
      </c>
      <c r="I259" s="55" t="s">
        <v>457</v>
      </c>
    </row>
    <row r="260" spans="2:9" ht="15" customHeight="1" x14ac:dyDescent="0.25">
      <c r="B260" s="51" t="s">
        <v>124</v>
      </c>
      <c r="C260" s="52">
        <v>190</v>
      </c>
      <c r="D260" s="53" t="s">
        <v>4326</v>
      </c>
      <c r="E260" s="54"/>
      <c r="F260" s="52" t="str">
        <f>IF(INDEX(I.Performance.StartRange,190)="","",INDEX(I.Performance.StartRange,190))</f>
        <v/>
      </c>
      <c r="G260" s="54"/>
      <c r="H260" s="52" t="str">
        <f>IF(AND(I.Compliance.FulfilledPerformance&gt;0,I.Performance.RangeCount&gt;=190,F260=""),"Incomplete","Complete")</f>
        <v>Complete</v>
      </c>
      <c r="I260" s="55" t="s">
        <v>458</v>
      </c>
    </row>
    <row r="261" spans="2:9" ht="15" customHeight="1" x14ac:dyDescent="0.25">
      <c r="B261" s="51" t="s">
        <v>124</v>
      </c>
      <c r="C261" s="52">
        <v>191</v>
      </c>
      <c r="D261" s="53" t="s">
        <v>4326</v>
      </c>
      <c r="E261" s="54"/>
      <c r="F261" s="52" t="str">
        <f>IF(INDEX(I.Performance.StartRange,191)="","",INDEX(I.Performance.StartRange,191))</f>
        <v/>
      </c>
      <c r="G261" s="54"/>
      <c r="H261" s="52" t="str">
        <f>IF(AND(I.Compliance.FulfilledPerformance&gt;0,I.Performance.RangeCount&gt;=191,F261=""),"Incomplete","Complete")</f>
        <v>Complete</v>
      </c>
      <c r="I261" s="55" t="s">
        <v>459</v>
      </c>
    </row>
    <row r="262" spans="2:9" ht="15" customHeight="1" x14ac:dyDescent="0.25">
      <c r="B262" s="51" t="s">
        <v>124</v>
      </c>
      <c r="C262" s="52">
        <v>192</v>
      </c>
      <c r="D262" s="53" t="s">
        <v>4326</v>
      </c>
      <c r="E262" s="54"/>
      <c r="F262" s="52" t="str">
        <f>IF(INDEX(I.Performance.StartRange,192)="","",INDEX(I.Performance.StartRange,192))</f>
        <v/>
      </c>
      <c r="G262" s="54"/>
      <c r="H262" s="52" t="str">
        <f>IF(AND(I.Compliance.FulfilledPerformance&gt;0,I.Performance.RangeCount&gt;=192,F262=""),"Incomplete","Complete")</f>
        <v>Complete</v>
      </c>
      <c r="I262" s="55" t="s">
        <v>460</v>
      </c>
    </row>
    <row r="263" spans="2:9" ht="15" customHeight="1" x14ac:dyDescent="0.25">
      <c r="B263" s="51" t="s">
        <v>124</v>
      </c>
      <c r="C263" s="52">
        <v>193</v>
      </c>
      <c r="D263" s="53" t="s">
        <v>4326</v>
      </c>
      <c r="E263" s="54"/>
      <c r="F263" s="52" t="str">
        <f>IF(INDEX(I.Performance.StartRange,193)="","",INDEX(I.Performance.StartRange,193))</f>
        <v/>
      </c>
      <c r="G263" s="54"/>
      <c r="H263" s="52" t="str">
        <f>IF(AND(I.Compliance.FulfilledPerformance&gt;0,I.Performance.RangeCount&gt;=193,F263=""),"Incomplete","Complete")</f>
        <v>Complete</v>
      </c>
      <c r="I263" s="55" t="s">
        <v>461</v>
      </c>
    </row>
    <row r="264" spans="2:9" ht="15" customHeight="1" x14ac:dyDescent="0.25">
      <c r="B264" s="51" t="s">
        <v>124</v>
      </c>
      <c r="C264" s="52">
        <v>194</v>
      </c>
      <c r="D264" s="53" t="s">
        <v>4326</v>
      </c>
      <c r="E264" s="54"/>
      <c r="F264" s="52" t="str">
        <f>IF(INDEX(I.Performance.StartRange,194)="","",INDEX(I.Performance.StartRange,194))</f>
        <v/>
      </c>
      <c r="G264" s="54"/>
      <c r="H264" s="52" t="str">
        <f>IF(AND(I.Compliance.FulfilledPerformance&gt;0,I.Performance.RangeCount&gt;=194,F264=""),"Incomplete","Complete")</f>
        <v>Complete</v>
      </c>
      <c r="I264" s="55" t="s">
        <v>462</v>
      </c>
    </row>
    <row r="265" spans="2:9" ht="15" customHeight="1" x14ac:dyDescent="0.25">
      <c r="B265" s="51" t="s">
        <v>124</v>
      </c>
      <c r="C265" s="52">
        <v>195</v>
      </c>
      <c r="D265" s="53" t="s">
        <v>4326</v>
      </c>
      <c r="E265" s="54"/>
      <c r="F265" s="52" t="str">
        <f>IF(INDEX(I.Performance.StartRange,195)="","",INDEX(I.Performance.StartRange,195))</f>
        <v/>
      </c>
      <c r="G265" s="54"/>
      <c r="H265" s="52" t="str">
        <f>IF(AND(I.Compliance.FulfilledPerformance&gt;0,I.Performance.RangeCount&gt;=195,F265=""),"Incomplete","Complete")</f>
        <v>Complete</v>
      </c>
      <c r="I265" s="55" t="s">
        <v>463</v>
      </c>
    </row>
    <row r="266" spans="2:9" ht="15" customHeight="1" x14ac:dyDescent="0.25">
      <c r="B266" s="51" t="s">
        <v>124</v>
      </c>
      <c r="C266" s="52">
        <v>196</v>
      </c>
      <c r="D266" s="53" t="s">
        <v>4326</v>
      </c>
      <c r="E266" s="54"/>
      <c r="F266" s="52" t="str">
        <f>IF(INDEX(I.Performance.StartRange,196)="","",INDEX(I.Performance.StartRange,196))</f>
        <v/>
      </c>
      <c r="G266" s="54"/>
      <c r="H266" s="52" t="str">
        <f>IF(AND(I.Compliance.FulfilledPerformance&gt;0,I.Performance.RangeCount&gt;=196,F266=""),"Incomplete","Complete")</f>
        <v>Complete</v>
      </c>
      <c r="I266" s="55" t="s">
        <v>464</v>
      </c>
    </row>
    <row r="267" spans="2:9" ht="15" customHeight="1" x14ac:dyDescent="0.25">
      <c r="B267" s="51" t="s">
        <v>124</v>
      </c>
      <c r="C267" s="52">
        <v>197</v>
      </c>
      <c r="D267" s="53" t="s">
        <v>4326</v>
      </c>
      <c r="E267" s="54"/>
      <c r="F267" s="52" t="str">
        <f>IF(INDEX(I.Performance.StartRange,197)="","",INDEX(I.Performance.StartRange,197))</f>
        <v/>
      </c>
      <c r="G267" s="54"/>
      <c r="H267" s="52" t="str">
        <f>IF(AND(I.Compliance.FulfilledPerformance&gt;0,I.Performance.RangeCount&gt;=197,F267=""),"Incomplete","Complete")</f>
        <v>Complete</v>
      </c>
      <c r="I267" s="55" t="s">
        <v>465</v>
      </c>
    </row>
    <row r="268" spans="2:9" ht="15" customHeight="1" x14ac:dyDescent="0.25">
      <c r="B268" s="51" t="s">
        <v>124</v>
      </c>
      <c r="C268" s="52">
        <v>198</v>
      </c>
      <c r="D268" s="53" t="s">
        <v>4326</v>
      </c>
      <c r="E268" s="54"/>
      <c r="F268" s="52" t="str">
        <f>IF(INDEX(I.Performance.StartRange,198)="","",INDEX(I.Performance.StartRange,198))</f>
        <v/>
      </c>
      <c r="G268" s="54"/>
      <c r="H268" s="52" t="str">
        <f>IF(AND(I.Compliance.FulfilledPerformance&gt;0,I.Performance.RangeCount&gt;=198,F268=""),"Incomplete","Complete")</f>
        <v>Complete</v>
      </c>
      <c r="I268" s="55" t="s">
        <v>466</v>
      </c>
    </row>
    <row r="269" spans="2:9" ht="15" customHeight="1" x14ac:dyDescent="0.25">
      <c r="B269" s="51" t="s">
        <v>124</v>
      </c>
      <c r="C269" s="52">
        <v>199</v>
      </c>
      <c r="D269" s="53" t="s">
        <v>4326</v>
      </c>
      <c r="E269" s="54"/>
      <c r="F269" s="52" t="str">
        <f>IF(INDEX(I.Performance.StartRange,199)="","",INDEX(I.Performance.StartRange,199))</f>
        <v/>
      </c>
      <c r="G269" s="54"/>
      <c r="H269" s="52" t="str">
        <f>IF(AND(I.Compliance.FulfilledPerformance&gt;0,I.Performance.RangeCount&gt;=199,F269=""),"Incomplete","Complete")</f>
        <v>Complete</v>
      </c>
      <c r="I269" s="55" t="s">
        <v>467</v>
      </c>
    </row>
    <row r="270" spans="2:9" ht="15" customHeight="1" x14ac:dyDescent="0.25">
      <c r="B270" s="51" t="s">
        <v>124</v>
      </c>
      <c r="C270" s="52">
        <v>200</v>
      </c>
      <c r="D270" s="53" t="s">
        <v>4326</v>
      </c>
      <c r="E270" s="54"/>
      <c r="F270" s="52" t="str">
        <f>IF(INDEX(I.Performance.StartRange,200)="","",INDEX(I.Performance.StartRange,200))</f>
        <v/>
      </c>
      <c r="G270" s="54"/>
      <c r="H270" s="52" t="str">
        <f>IF(AND(I.Compliance.FulfilledPerformance&gt;0,I.Performance.RangeCount&gt;=200,F270=""),"Incomplete","Complete")</f>
        <v>Complete</v>
      </c>
      <c r="I270" s="55" t="s">
        <v>468</v>
      </c>
    </row>
    <row r="271" spans="2:9" ht="15" customHeight="1" x14ac:dyDescent="0.25">
      <c r="B271" s="51" t="s">
        <v>124</v>
      </c>
      <c r="C271" s="52">
        <v>201</v>
      </c>
      <c r="D271" s="53" t="s">
        <v>4326</v>
      </c>
      <c r="E271" s="54"/>
      <c r="F271" s="52" t="str">
        <f>IF(INDEX(I.Performance.StartRange,201)="","",INDEX(I.Performance.StartRange,201))</f>
        <v/>
      </c>
      <c r="G271" s="54"/>
      <c r="H271" s="52" t="str">
        <f>IF(AND(I.Compliance.FulfilledPerformance&gt;0,I.Performance.RangeCount&gt;=201,F271=""),"Incomplete","Complete")</f>
        <v>Complete</v>
      </c>
      <c r="I271" s="55" t="s">
        <v>469</v>
      </c>
    </row>
    <row r="272" spans="2:9" ht="15" customHeight="1" x14ac:dyDescent="0.25">
      <c r="B272" s="51" t="s">
        <v>124</v>
      </c>
      <c r="C272" s="52">
        <v>202</v>
      </c>
      <c r="D272" s="53" t="s">
        <v>4326</v>
      </c>
      <c r="E272" s="54"/>
      <c r="F272" s="52" t="str">
        <f>IF(INDEX(I.Performance.StartRange,202)="","",INDEX(I.Performance.StartRange,202))</f>
        <v/>
      </c>
      <c r="G272" s="54"/>
      <c r="H272" s="52" t="str">
        <f>IF(AND(I.Compliance.FulfilledPerformance&gt;0,I.Performance.RangeCount&gt;=202,F272=""),"Incomplete","Complete")</f>
        <v>Complete</v>
      </c>
      <c r="I272" s="55" t="s">
        <v>470</v>
      </c>
    </row>
    <row r="273" spans="2:9" ht="15" customHeight="1" x14ac:dyDescent="0.25">
      <c r="B273" s="51" t="s">
        <v>124</v>
      </c>
      <c r="C273" s="52">
        <v>203</v>
      </c>
      <c r="D273" s="53" t="s">
        <v>4326</v>
      </c>
      <c r="E273" s="54"/>
      <c r="F273" s="52" t="str">
        <f>IF(INDEX(I.Performance.StartRange,203)="","",INDEX(I.Performance.StartRange,203))</f>
        <v/>
      </c>
      <c r="G273" s="54"/>
      <c r="H273" s="52" t="str">
        <f>IF(AND(I.Compliance.FulfilledPerformance&gt;0,I.Performance.RangeCount&gt;=203,F273=""),"Incomplete","Complete")</f>
        <v>Complete</v>
      </c>
      <c r="I273" s="55" t="s">
        <v>471</v>
      </c>
    </row>
    <row r="274" spans="2:9" ht="15" customHeight="1" x14ac:dyDescent="0.25">
      <c r="B274" s="51" t="s">
        <v>124</v>
      </c>
      <c r="C274" s="52">
        <v>204</v>
      </c>
      <c r="D274" s="53" t="s">
        <v>4326</v>
      </c>
      <c r="E274" s="54"/>
      <c r="F274" s="52" t="str">
        <f>IF(INDEX(I.Performance.StartRange,204)="","",INDEX(I.Performance.StartRange,204))</f>
        <v/>
      </c>
      <c r="G274" s="54"/>
      <c r="H274" s="52" t="str">
        <f>IF(AND(I.Compliance.FulfilledPerformance&gt;0,I.Performance.RangeCount&gt;=204,F274=""),"Incomplete","Complete")</f>
        <v>Complete</v>
      </c>
      <c r="I274" s="55" t="s">
        <v>472</v>
      </c>
    </row>
    <row r="275" spans="2:9" ht="15" customHeight="1" x14ac:dyDescent="0.25">
      <c r="B275" s="51" t="s">
        <v>124</v>
      </c>
      <c r="C275" s="52">
        <v>205</v>
      </c>
      <c r="D275" s="53" t="s">
        <v>4326</v>
      </c>
      <c r="E275" s="54"/>
      <c r="F275" s="52" t="str">
        <f>IF(INDEX(I.Performance.StartRange,205)="","",INDEX(I.Performance.StartRange,205))</f>
        <v/>
      </c>
      <c r="G275" s="54"/>
      <c r="H275" s="52" t="str">
        <f>IF(AND(I.Compliance.FulfilledPerformance&gt;0,I.Performance.RangeCount&gt;=205,F275=""),"Incomplete","Complete")</f>
        <v>Complete</v>
      </c>
      <c r="I275" s="55" t="s">
        <v>473</v>
      </c>
    </row>
    <row r="276" spans="2:9" ht="15" customHeight="1" x14ac:dyDescent="0.25">
      <c r="B276" s="51" t="s">
        <v>124</v>
      </c>
      <c r="C276" s="52">
        <v>206</v>
      </c>
      <c r="D276" s="53" t="s">
        <v>4326</v>
      </c>
      <c r="E276" s="54"/>
      <c r="F276" s="52" t="str">
        <f>IF(INDEX(I.Performance.StartRange,206)="","",INDEX(I.Performance.StartRange,206))</f>
        <v/>
      </c>
      <c r="G276" s="54"/>
      <c r="H276" s="52" t="str">
        <f>IF(AND(I.Compliance.FulfilledPerformance&gt;0,I.Performance.RangeCount&gt;=206,F276=""),"Incomplete","Complete")</f>
        <v>Complete</v>
      </c>
      <c r="I276" s="55" t="s">
        <v>474</v>
      </c>
    </row>
    <row r="277" spans="2:9" ht="15" customHeight="1" x14ac:dyDescent="0.25">
      <c r="B277" s="51" t="s">
        <v>124</v>
      </c>
      <c r="C277" s="52">
        <v>207</v>
      </c>
      <c r="D277" s="53" t="s">
        <v>4326</v>
      </c>
      <c r="E277" s="54"/>
      <c r="F277" s="52" t="str">
        <f>IF(INDEX(I.Performance.StartRange,207)="","",INDEX(I.Performance.StartRange,207))</f>
        <v/>
      </c>
      <c r="G277" s="54"/>
      <c r="H277" s="52" t="str">
        <f>IF(AND(I.Compliance.FulfilledPerformance&gt;0,I.Performance.RangeCount&gt;=207,F277=""),"Incomplete","Complete")</f>
        <v>Complete</v>
      </c>
      <c r="I277" s="55" t="s">
        <v>475</v>
      </c>
    </row>
    <row r="278" spans="2:9" ht="15" customHeight="1" x14ac:dyDescent="0.25">
      <c r="B278" s="51" t="s">
        <v>124</v>
      </c>
      <c r="C278" s="52">
        <v>208</v>
      </c>
      <c r="D278" s="53" t="s">
        <v>4326</v>
      </c>
      <c r="E278" s="54"/>
      <c r="F278" s="52" t="str">
        <f>IF(INDEX(I.Performance.StartRange,208)="","",INDEX(I.Performance.StartRange,208))</f>
        <v/>
      </c>
      <c r="G278" s="54"/>
      <c r="H278" s="52" t="str">
        <f>IF(AND(I.Compliance.FulfilledPerformance&gt;0,I.Performance.RangeCount&gt;=208,F278=""),"Incomplete","Complete")</f>
        <v>Complete</v>
      </c>
      <c r="I278" s="55" t="s">
        <v>476</v>
      </c>
    </row>
    <row r="279" spans="2:9" ht="15" customHeight="1" x14ac:dyDescent="0.25">
      <c r="B279" s="51" t="s">
        <v>124</v>
      </c>
      <c r="C279" s="52">
        <v>209</v>
      </c>
      <c r="D279" s="53" t="s">
        <v>4326</v>
      </c>
      <c r="E279" s="54"/>
      <c r="F279" s="52" t="str">
        <f>IF(INDEX(I.Performance.StartRange,209)="","",INDEX(I.Performance.StartRange,209))</f>
        <v/>
      </c>
      <c r="G279" s="54"/>
      <c r="H279" s="52" t="str">
        <f>IF(AND(I.Compliance.FulfilledPerformance&gt;0,I.Performance.RangeCount&gt;=209,F279=""),"Incomplete","Complete")</f>
        <v>Complete</v>
      </c>
      <c r="I279" s="55" t="s">
        <v>477</v>
      </c>
    </row>
    <row r="280" spans="2:9" ht="15" customHeight="1" x14ac:dyDescent="0.25">
      <c r="B280" s="51" t="s">
        <v>124</v>
      </c>
      <c r="C280" s="52">
        <v>210</v>
      </c>
      <c r="D280" s="53" t="s">
        <v>4326</v>
      </c>
      <c r="E280" s="54"/>
      <c r="F280" s="52" t="str">
        <f>IF(INDEX(I.Performance.StartRange,210)="","",INDEX(I.Performance.StartRange,210))</f>
        <v/>
      </c>
      <c r="G280" s="54"/>
      <c r="H280" s="52" t="str">
        <f>IF(AND(I.Compliance.FulfilledPerformance&gt;0,I.Performance.RangeCount&gt;=210,F280=""),"Incomplete","Complete")</f>
        <v>Complete</v>
      </c>
      <c r="I280" s="55" t="s">
        <v>478</v>
      </c>
    </row>
    <row r="281" spans="2:9" ht="15" customHeight="1" x14ac:dyDescent="0.25">
      <c r="B281" s="51" t="s">
        <v>124</v>
      </c>
      <c r="C281" s="52">
        <v>211</v>
      </c>
      <c r="D281" s="53" t="s">
        <v>4326</v>
      </c>
      <c r="E281" s="54"/>
      <c r="F281" s="52" t="str">
        <f>IF(INDEX(I.Performance.StartRange,211)="","",INDEX(I.Performance.StartRange,211))</f>
        <v/>
      </c>
      <c r="G281" s="54"/>
      <c r="H281" s="52" t="str">
        <f>IF(AND(I.Compliance.FulfilledPerformance&gt;0,I.Performance.RangeCount&gt;=211,F281=""),"Incomplete","Complete")</f>
        <v>Complete</v>
      </c>
      <c r="I281" s="55" t="s">
        <v>479</v>
      </c>
    </row>
    <row r="282" spans="2:9" ht="15" customHeight="1" x14ac:dyDescent="0.25">
      <c r="B282" s="51" t="s">
        <v>124</v>
      </c>
      <c r="C282" s="52">
        <v>212</v>
      </c>
      <c r="D282" s="53" t="s">
        <v>4326</v>
      </c>
      <c r="E282" s="54"/>
      <c r="F282" s="52" t="str">
        <f>IF(INDEX(I.Performance.StartRange,212)="","",INDEX(I.Performance.StartRange,212))</f>
        <v/>
      </c>
      <c r="G282" s="54"/>
      <c r="H282" s="52" t="str">
        <f>IF(AND(I.Compliance.FulfilledPerformance&gt;0,I.Performance.RangeCount&gt;=212,F282=""),"Incomplete","Complete")</f>
        <v>Complete</v>
      </c>
      <c r="I282" s="55" t="s">
        <v>480</v>
      </c>
    </row>
    <row r="283" spans="2:9" ht="15" customHeight="1" x14ac:dyDescent="0.25">
      <c r="B283" s="51" t="s">
        <v>124</v>
      </c>
      <c r="C283" s="52">
        <v>213</v>
      </c>
      <c r="D283" s="53" t="s">
        <v>4326</v>
      </c>
      <c r="E283" s="54"/>
      <c r="F283" s="52" t="str">
        <f>IF(INDEX(I.Performance.StartRange,213)="","",INDEX(I.Performance.StartRange,213))</f>
        <v/>
      </c>
      <c r="G283" s="54"/>
      <c r="H283" s="52" t="str">
        <f>IF(AND(I.Compliance.FulfilledPerformance&gt;0,I.Performance.RangeCount&gt;=213,F283=""),"Incomplete","Complete")</f>
        <v>Complete</v>
      </c>
      <c r="I283" s="55" t="s">
        <v>481</v>
      </c>
    </row>
    <row r="284" spans="2:9" ht="15" customHeight="1" x14ac:dyDescent="0.25">
      <c r="B284" s="51" t="s">
        <v>124</v>
      </c>
      <c r="C284" s="52">
        <v>214</v>
      </c>
      <c r="D284" s="53" t="s">
        <v>4326</v>
      </c>
      <c r="E284" s="54"/>
      <c r="F284" s="52" t="str">
        <f>IF(INDEX(I.Performance.StartRange,214)="","",INDEX(I.Performance.StartRange,214))</f>
        <v/>
      </c>
      <c r="G284" s="54"/>
      <c r="H284" s="52" t="str">
        <f>IF(AND(I.Compliance.FulfilledPerformance&gt;0,I.Performance.RangeCount&gt;=214,F284=""),"Incomplete","Complete")</f>
        <v>Complete</v>
      </c>
      <c r="I284" s="55" t="s">
        <v>482</v>
      </c>
    </row>
    <row r="285" spans="2:9" ht="15" customHeight="1" x14ac:dyDescent="0.25">
      <c r="B285" s="51" t="s">
        <v>124</v>
      </c>
      <c r="C285" s="52">
        <v>215</v>
      </c>
      <c r="D285" s="53" t="s">
        <v>4326</v>
      </c>
      <c r="E285" s="54"/>
      <c r="F285" s="52" t="str">
        <f>IF(INDEX(I.Performance.StartRange,215)="","",INDEX(I.Performance.StartRange,215))</f>
        <v/>
      </c>
      <c r="G285" s="54"/>
      <c r="H285" s="52" t="str">
        <f>IF(AND(I.Compliance.FulfilledPerformance&gt;0,I.Performance.RangeCount&gt;=215,F285=""),"Incomplete","Complete")</f>
        <v>Complete</v>
      </c>
      <c r="I285" s="55" t="s">
        <v>483</v>
      </c>
    </row>
    <row r="286" spans="2:9" ht="15" customHeight="1" x14ac:dyDescent="0.25">
      <c r="B286" s="51" t="s">
        <v>124</v>
      </c>
      <c r="C286" s="52">
        <v>216</v>
      </c>
      <c r="D286" s="53" t="s">
        <v>4326</v>
      </c>
      <c r="E286" s="54"/>
      <c r="F286" s="52" t="str">
        <f>IF(INDEX(I.Performance.StartRange,216)="","",INDEX(I.Performance.StartRange,216))</f>
        <v/>
      </c>
      <c r="G286" s="54"/>
      <c r="H286" s="52" t="str">
        <f>IF(AND(I.Compliance.FulfilledPerformance&gt;0,I.Performance.RangeCount&gt;=216,F286=""),"Incomplete","Complete")</f>
        <v>Complete</v>
      </c>
      <c r="I286" s="55" t="s">
        <v>484</v>
      </c>
    </row>
    <row r="287" spans="2:9" ht="15" customHeight="1" x14ac:dyDescent="0.25">
      <c r="B287" s="51" t="s">
        <v>124</v>
      </c>
      <c r="C287" s="52">
        <v>217</v>
      </c>
      <c r="D287" s="53" t="s">
        <v>4326</v>
      </c>
      <c r="E287" s="54"/>
      <c r="F287" s="52" t="str">
        <f>IF(INDEX(I.Performance.StartRange,217)="","",INDEX(I.Performance.StartRange,217))</f>
        <v/>
      </c>
      <c r="G287" s="54"/>
      <c r="H287" s="52" t="str">
        <f>IF(AND(I.Compliance.FulfilledPerformance&gt;0,I.Performance.RangeCount&gt;=217,F287=""),"Incomplete","Complete")</f>
        <v>Complete</v>
      </c>
      <c r="I287" s="55" t="s">
        <v>485</v>
      </c>
    </row>
    <row r="288" spans="2:9" ht="15" customHeight="1" x14ac:dyDescent="0.25">
      <c r="B288" s="51" t="s">
        <v>124</v>
      </c>
      <c r="C288" s="52">
        <v>218</v>
      </c>
      <c r="D288" s="53" t="s">
        <v>4326</v>
      </c>
      <c r="E288" s="54"/>
      <c r="F288" s="52" t="str">
        <f>IF(INDEX(I.Performance.StartRange,218)="","",INDEX(I.Performance.StartRange,218))</f>
        <v/>
      </c>
      <c r="G288" s="54"/>
      <c r="H288" s="52" t="str">
        <f>IF(AND(I.Compliance.FulfilledPerformance&gt;0,I.Performance.RangeCount&gt;=218,F288=""),"Incomplete","Complete")</f>
        <v>Complete</v>
      </c>
      <c r="I288" s="55" t="s">
        <v>486</v>
      </c>
    </row>
    <row r="289" spans="2:9" ht="15" customHeight="1" x14ac:dyDescent="0.25">
      <c r="B289" s="51" t="s">
        <v>124</v>
      </c>
      <c r="C289" s="52">
        <v>219</v>
      </c>
      <c r="D289" s="53" t="s">
        <v>4326</v>
      </c>
      <c r="E289" s="54"/>
      <c r="F289" s="52" t="str">
        <f>IF(INDEX(I.Performance.StartRange,219)="","",INDEX(I.Performance.StartRange,219))</f>
        <v/>
      </c>
      <c r="G289" s="54"/>
      <c r="H289" s="52" t="str">
        <f>IF(AND(I.Compliance.FulfilledPerformance&gt;0,I.Performance.RangeCount&gt;=219,F289=""),"Incomplete","Complete")</f>
        <v>Complete</v>
      </c>
      <c r="I289" s="55" t="s">
        <v>487</v>
      </c>
    </row>
    <row r="290" spans="2:9" ht="15" customHeight="1" x14ac:dyDescent="0.25">
      <c r="B290" s="51" t="s">
        <v>124</v>
      </c>
      <c r="C290" s="52">
        <v>220</v>
      </c>
      <c r="D290" s="53" t="s">
        <v>4326</v>
      </c>
      <c r="E290" s="54"/>
      <c r="F290" s="52" t="str">
        <f>IF(INDEX(I.Performance.StartRange,220)="","",INDEX(I.Performance.StartRange,220))</f>
        <v/>
      </c>
      <c r="G290" s="54"/>
      <c r="H290" s="52" t="str">
        <f>IF(AND(I.Compliance.FulfilledPerformance&gt;0,I.Performance.RangeCount&gt;=220,F290=""),"Incomplete","Complete")</f>
        <v>Complete</v>
      </c>
      <c r="I290" s="55" t="s">
        <v>488</v>
      </c>
    </row>
    <row r="291" spans="2:9" ht="15" customHeight="1" x14ac:dyDescent="0.25">
      <c r="B291" s="51" t="s">
        <v>124</v>
      </c>
      <c r="C291" s="52">
        <v>221</v>
      </c>
      <c r="D291" s="53" t="s">
        <v>4326</v>
      </c>
      <c r="E291" s="54"/>
      <c r="F291" s="52" t="str">
        <f>IF(INDEX(I.Performance.StartRange,221)="","",INDEX(I.Performance.StartRange,221))</f>
        <v/>
      </c>
      <c r="G291" s="54"/>
      <c r="H291" s="52" t="str">
        <f>IF(AND(I.Compliance.FulfilledPerformance&gt;0,I.Performance.RangeCount&gt;=221,F291=""),"Incomplete","Complete")</f>
        <v>Complete</v>
      </c>
      <c r="I291" s="55" t="s">
        <v>489</v>
      </c>
    </row>
    <row r="292" spans="2:9" ht="15" customHeight="1" x14ac:dyDescent="0.25">
      <c r="B292" s="51" t="s">
        <v>124</v>
      </c>
      <c r="C292" s="52">
        <v>222</v>
      </c>
      <c r="D292" s="53" t="s">
        <v>4326</v>
      </c>
      <c r="E292" s="54"/>
      <c r="F292" s="52" t="str">
        <f>IF(INDEX(I.Performance.StartRange,222)="","",INDEX(I.Performance.StartRange,222))</f>
        <v/>
      </c>
      <c r="G292" s="54"/>
      <c r="H292" s="52" t="str">
        <f>IF(AND(I.Compliance.FulfilledPerformance&gt;0,I.Performance.RangeCount&gt;=222,F292=""),"Incomplete","Complete")</f>
        <v>Complete</v>
      </c>
      <c r="I292" s="55" t="s">
        <v>490</v>
      </c>
    </row>
    <row r="293" spans="2:9" ht="15" customHeight="1" x14ac:dyDescent="0.25">
      <c r="B293" s="51" t="s">
        <v>124</v>
      </c>
      <c r="C293" s="52">
        <v>223</v>
      </c>
      <c r="D293" s="53" t="s">
        <v>4326</v>
      </c>
      <c r="E293" s="54"/>
      <c r="F293" s="52" t="str">
        <f>IF(INDEX(I.Performance.StartRange,223)="","",INDEX(I.Performance.StartRange,223))</f>
        <v/>
      </c>
      <c r="G293" s="54"/>
      <c r="H293" s="52" t="str">
        <f>IF(AND(I.Compliance.FulfilledPerformance&gt;0,I.Performance.RangeCount&gt;=223,F293=""),"Incomplete","Complete")</f>
        <v>Complete</v>
      </c>
      <c r="I293" s="55" t="s">
        <v>491</v>
      </c>
    </row>
    <row r="294" spans="2:9" ht="15" customHeight="1" x14ac:dyDescent="0.25">
      <c r="B294" s="51" t="s">
        <v>124</v>
      </c>
      <c r="C294" s="52">
        <v>224</v>
      </c>
      <c r="D294" s="53" t="s">
        <v>4326</v>
      </c>
      <c r="E294" s="54"/>
      <c r="F294" s="52" t="str">
        <f>IF(INDEX(I.Performance.StartRange,224)="","",INDEX(I.Performance.StartRange,224))</f>
        <v/>
      </c>
      <c r="G294" s="54"/>
      <c r="H294" s="52" t="str">
        <f>IF(AND(I.Compliance.FulfilledPerformance&gt;0,I.Performance.RangeCount&gt;=224,F294=""),"Incomplete","Complete")</f>
        <v>Complete</v>
      </c>
      <c r="I294" s="55" t="s">
        <v>492</v>
      </c>
    </row>
    <row r="295" spans="2:9" ht="15" customHeight="1" x14ac:dyDescent="0.25">
      <c r="B295" s="51" t="s">
        <v>124</v>
      </c>
      <c r="C295" s="52">
        <v>225</v>
      </c>
      <c r="D295" s="53" t="s">
        <v>4326</v>
      </c>
      <c r="E295" s="54"/>
      <c r="F295" s="52" t="str">
        <f>IF(INDEX(I.Performance.StartRange,225)="","",INDEX(I.Performance.StartRange,225))</f>
        <v/>
      </c>
      <c r="G295" s="54"/>
      <c r="H295" s="52" t="str">
        <f>IF(AND(I.Compliance.FulfilledPerformance&gt;0,I.Performance.RangeCount&gt;=225,F295=""),"Incomplete","Complete")</f>
        <v>Complete</v>
      </c>
      <c r="I295" s="55" t="s">
        <v>493</v>
      </c>
    </row>
    <row r="296" spans="2:9" ht="15" customHeight="1" x14ac:dyDescent="0.25">
      <c r="B296" s="51" t="s">
        <v>124</v>
      </c>
      <c r="C296" s="52">
        <v>226</v>
      </c>
      <c r="D296" s="53" t="s">
        <v>4326</v>
      </c>
      <c r="E296" s="54"/>
      <c r="F296" s="52" t="str">
        <f>IF(INDEX(I.Performance.StartRange,226)="","",INDEX(I.Performance.StartRange,226))</f>
        <v/>
      </c>
      <c r="G296" s="54"/>
      <c r="H296" s="52" t="str">
        <f>IF(AND(I.Compliance.FulfilledPerformance&gt;0,I.Performance.RangeCount&gt;=226,F296=""),"Incomplete","Complete")</f>
        <v>Complete</v>
      </c>
      <c r="I296" s="55" t="s">
        <v>494</v>
      </c>
    </row>
    <row r="297" spans="2:9" ht="15" customHeight="1" x14ac:dyDescent="0.25">
      <c r="B297" s="51" t="s">
        <v>124</v>
      </c>
      <c r="C297" s="52">
        <v>227</v>
      </c>
      <c r="D297" s="53" t="s">
        <v>4326</v>
      </c>
      <c r="E297" s="54"/>
      <c r="F297" s="52" t="str">
        <f>IF(INDEX(I.Performance.StartRange,227)="","",INDEX(I.Performance.StartRange,227))</f>
        <v/>
      </c>
      <c r="G297" s="54"/>
      <c r="H297" s="52" t="str">
        <f>IF(AND(I.Compliance.FulfilledPerformance&gt;0,I.Performance.RangeCount&gt;=227,F297=""),"Incomplete","Complete")</f>
        <v>Complete</v>
      </c>
      <c r="I297" s="55" t="s">
        <v>495</v>
      </c>
    </row>
    <row r="298" spans="2:9" ht="15" customHeight="1" x14ac:dyDescent="0.25">
      <c r="B298" s="51" t="s">
        <v>124</v>
      </c>
      <c r="C298" s="52">
        <v>228</v>
      </c>
      <c r="D298" s="53" t="s">
        <v>4326</v>
      </c>
      <c r="E298" s="54"/>
      <c r="F298" s="52" t="str">
        <f>IF(INDEX(I.Performance.StartRange,228)="","",INDEX(I.Performance.StartRange,228))</f>
        <v/>
      </c>
      <c r="G298" s="54"/>
      <c r="H298" s="52" t="str">
        <f>IF(AND(I.Compliance.FulfilledPerformance&gt;0,I.Performance.RangeCount&gt;=228,F298=""),"Incomplete","Complete")</f>
        <v>Complete</v>
      </c>
      <c r="I298" s="55" t="s">
        <v>496</v>
      </c>
    </row>
    <row r="299" spans="2:9" ht="15" customHeight="1" x14ac:dyDescent="0.25">
      <c r="B299" s="51" t="s">
        <v>124</v>
      </c>
      <c r="C299" s="52">
        <v>229</v>
      </c>
      <c r="D299" s="53" t="s">
        <v>4326</v>
      </c>
      <c r="E299" s="54"/>
      <c r="F299" s="52" t="str">
        <f>IF(INDEX(I.Performance.StartRange,229)="","",INDEX(I.Performance.StartRange,229))</f>
        <v/>
      </c>
      <c r="G299" s="54"/>
      <c r="H299" s="52" t="str">
        <f>IF(AND(I.Compliance.FulfilledPerformance&gt;0,I.Performance.RangeCount&gt;=229,F299=""),"Incomplete","Complete")</f>
        <v>Complete</v>
      </c>
      <c r="I299" s="55" t="s">
        <v>497</v>
      </c>
    </row>
    <row r="300" spans="2:9" ht="15" customHeight="1" x14ac:dyDescent="0.25">
      <c r="B300" s="51" t="s">
        <v>124</v>
      </c>
      <c r="C300" s="52">
        <v>230</v>
      </c>
      <c r="D300" s="53" t="s">
        <v>4326</v>
      </c>
      <c r="E300" s="54"/>
      <c r="F300" s="52" t="str">
        <f>IF(INDEX(I.Performance.StartRange,230)="","",INDEX(I.Performance.StartRange,230))</f>
        <v/>
      </c>
      <c r="G300" s="54"/>
      <c r="H300" s="52" t="str">
        <f>IF(AND(I.Compliance.FulfilledPerformance&gt;0,I.Performance.RangeCount&gt;=230,F300=""),"Incomplete","Complete")</f>
        <v>Complete</v>
      </c>
      <c r="I300" s="55" t="s">
        <v>498</v>
      </c>
    </row>
    <row r="301" spans="2:9" ht="15" customHeight="1" x14ac:dyDescent="0.25">
      <c r="B301" s="51" t="s">
        <v>124</v>
      </c>
      <c r="C301" s="52">
        <v>231</v>
      </c>
      <c r="D301" s="53" t="s">
        <v>4326</v>
      </c>
      <c r="E301" s="54"/>
      <c r="F301" s="52" t="str">
        <f>IF(INDEX(I.Performance.StartRange,231)="","",INDEX(I.Performance.StartRange,231))</f>
        <v/>
      </c>
      <c r="G301" s="54"/>
      <c r="H301" s="52" t="str">
        <f>IF(AND(I.Compliance.FulfilledPerformance&gt;0,I.Performance.RangeCount&gt;=231,F301=""),"Incomplete","Complete")</f>
        <v>Complete</v>
      </c>
      <c r="I301" s="55" t="s">
        <v>499</v>
      </c>
    </row>
    <row r="302" spans="2:9" ht="15" customHeight="1" x14ac:dyDescent="0.25">
      <c r="B302" s="51" t="s">
        <v>124</v>
      </c>
      <c r="C302" s="52">
        <v>232</v>
      </c>
      <c r="D302" s="53" t="s">
        <v>4326</v>
      </c>
      <c r="E302" s="54"/>
      <c r="F302" s="52" t="str">
        <f>IF(INDEX(I.Performance.StartRange,232)="","",INDEX(I.Performance.StartRange,232))</f>
        <v/>
      </c>
      <c r="G302" s="54"/>
      <c r="H302" s="52" t="str">
        <f>IF(AND(I.Compliance.FulfilledPerformance&gt;0,I.Performance.RangeCount&gt;=232,F302=""),"Incomplete","Complete")</f>
        <v>Complete</v>
      </c>
      <c r="I302" s="55" t="s">
        <v>500</v>
      </c>
    </row>
    <row r="303" spans="2:9" ht="15" customHeight="1" x14ac:dyDescent="0.25">
      <c r="B303" s="51" t="s">
        <v>124</v>
      </c>
      <c r="C303" s="52">
        <v>233</v>
      </c>
      <c r="D303" s="53" t="s">
        <v>4326</v>
      </c>
      <c r="E303" s="54"/>
      <c r="F303" s="52" t="str">
        <f>IF(INDEX(I.Performance.StartRange,233)="","",INDEX(I.Performance.StartRange,233))</f>
        <v/>
      </c>
      <c r="G303" s="54"/>
      <c r="H303" s="52" t="str">
        <f>IF(AND(I.Compliance.FulfilledPerformance&gt;0,I.Performance.RangeCount&gt;=233,F303=""),"Incomplete","Complete")</f>
        <v>Complete</v>
      </c>
      <c r="I303" s="55" t="s">
        <v>501</v>
      </c>
    </row>
    <row r="304" spans="2:9" ht="15" customHeight="1" x14ac:dyDescent="0.25">
      <c r="B304" s="51" t="s">
        <v>124</v>
      </c>
      <c r="C304" s="52">
        <v>234</v>
      </c>
      <c r="D304" s="53" t="s">
        <v>4326</v>
      </c>
      <c r="E304" s="54"/>
      <c r="F304" s="52" t="str">
        <f>IF(INDEX(I.Performance.StartRange,234)="","",INDEX(I.Performance.StartRange,234))</f>
        <v/>
      </c>
      <c r="G304" s="54"/>
      <c r="H304" s="52" t="str">
        <f>IF(AND(I.Compliance.FulfilledPerformance&gt;0,I.Performance.RangeCount&gt;=234,F304=""),"Incomplete","Complete")</f>
        <v>Complete</v>
      </c>
      <c r="I304" s="55" t="s">
        <v>502</v>
      </c>
    </row>
    <row r="305" spans="2:9" ht="15" customHeight="1" x14ac:dyDescent="0.25">
      <c r="B305" s="51" t="s">
        <v>124</v>
      </c>
      <c r="C305" s="52">
        <v>235</v>
      </c>
      <c r="D305" s="53" t="s">
        <v>4326</v>
      </c>
      <c r="E305" s="54"/>
      <c r="F305" s="52" t="str">
        <f>IF(INDEX(I.Performance.StartRange,235)="","",INDEX(I.Performance.StartRange,235))</f>
        <v/>
      </c>
      <c r="G305" s="54"/>
      <c r="H305" s="52" t="str">
        <f>IF(AND(I.Compliance.FulfilledPerformance&gt;0,I.Performance.RangeCount&gt;=235,F305=""),"Incomplete","Complete")</f>
        <v>Complete</v>
      </c>
      <c r="I305" s="55" t="s">
        <v>503</v>
      </c>
    </row>
    <row r="306" spans="2:9" ht="15" customHeight="1" x14ac:dyDescent="0.25">
      <c r="B306" s="51" t="s">
        <v>124</v>
      </c>
      <c r="C306" s="52">
        <v>236</v>
      </c>
      <c r="D306" s="53" t="s">
        <v>4326</v>
      </c>
      <c r="E306" s="54"/>
      <c r="F306" s="52" t="str">
        <f>IF(INDEX(I.Performance.StartRange,236)="","",INDEX(I.Performance.StartRange,236))</f>
        <v/>
      </c>
      <c r="G306" s="54"/>
      <c r="H306" s="52" t="str">
        <f>IF(AND(I.Compliance.FulfilledPerformance&gt;0,I.Performance.RangeCount&gt;=236,F306=""),"Incomplete","Complete")</f>
        <v>Complete</v>
      </c>
      <c r="I306" s="55" t="s">
        <v>504</v>
      </c>
    </row>
    <row r="307" spans="2:9" ht="15" customHeight="1" x14ac:dyDescent="0.25">
      <c r="B307" s="51" t="s">
        <v>124</v>
      </c>
      <c r="C307" s="52">
        <v>237</v>
      </c>
      <c r="D307" s="53" t="s">
        <v>4326</v>
      </c>
      <c r="E307" s="54"/>
      <c r="F307" s="52" t="str">
        <f>IF(INDEX(I.Performance.StartRange,237)="","",INDEX(I.Performance.StartRange,237))</f>
        <v/>
      </c>
      <c r="G307" s="54"/>
      <c r="H307" s="52" t="str">
        <f>IF(AND(I.Compliance.FulfilledPerformance&gt;0,I.Performance.RangeCount&gt;=237,F307=""),"Incomplete","Complete")</f>
        <v>Complete</v>
      </c>
      <c r="I307" s="55" t="s">
        <v>505</v>
      </c>
    </row>
    <row r="308" spans="2:9" ht="15" customHeight="1" x14ac:dyDescent="0.25">
      <c r="B308" s="51" t="s">
        <v>124</v>
      </c>
      <c r="C308" s="52">
        <v>238</v>
      </c>
      <c r="D308" s="53" t="s">
        <v>4326</v>
      </c>
      <c r="E308" s="54"/>
      <c r="F308" s="52" t="str">
        <f>IF(INDEX(I.Performance.StartRange,238)="","",INDEX(I.Performance.StartRange,238))</f>
        <v/>
      </c>
      <c r="G308" s="54"/>
      <c r="H308" s="52" t="str">
        <f>IF(AND(I.Compliance.FulfilledPerformance&gt;0,I.Performance.RangeCount&gt;=238,F308=""),"Incomplete","Complete")</f>
        <v>Complete</v>
      </c>
      <c r="I308" s="55" t="s">
        <v>506</v>
      </c>
    </row>
    <row r="309" spans="2:9" ht="15" customHeight="1" x14ac:dyDescent="0.25">
      <c r="B309" s="51" t="s">
        <v>124</v>
      </c>
      <c r="C309" s="52">
        <v>239</v>
      </c>
      <c r="D309" s="53" t="s">
        <v>4326</v>
      </c>
      <c r="E309" s="54"/>
      <c r="F309" s="52" t="str">
        <f>IF(INDEX(I.Performance.StartRange,239)="","",INDEX(I.Performance.StartRange,239))</f>
        <v/>
      </c>
      <c r="G309" s="54"/>
      <c r="H309" s="52" t="str">
        <f>IF(AND(I.Compliance.FulfilledPerformance&gt;0,I.Performance.RangeCount&gt;=239,F309=""),"Incomplete","Complete")</f>
        <v>Complete</v>
      </c>
      <c r="I309" s="55" t="s">
        <v>507</v>
      </c>
    </row>
    <row r="310" spans="2:9" ht="15" customHeight="1" x14ac:dyDescent="0.25">
      <c r="B310" s="51" t="s">
        <v>124</v>
      </c>
      <c r="C310" s="52">
        <v>240</v>
      </c>
      <c r="D310" s="53" t="s">
        <v>4326</v>
      </c>
      <c r="E310" s="54"/>
      <c r="F310" s="52" t="str">
        <f>IF(INDEX(I.Performance.StartRange,240)="","",INDEX(I.Performance.StartRange,240))</f>
        <v/>
      </c>
      <c r="G310" s="54"/>
      <c r="H310" s="52" t="str">
        <f>IF(AND(I.Compliance.FulfilledPerformance&gt;0,I.Performance.RangeCount&gt;=240,F310=""),"Incomplete","Complete")</f>
        <v>Complete</v>
      </c>
      <c r="I310" s="55" t="s">
        <v>508</v>
      </c>
    </row>
    <row r="311" spans="2:9" ht="15" customHeight="1" x14ac:dyDescent="0.25">
      <c r="B311" s="51" t="s">
        <v>124</v>
      </c>
      <c r="C311" s="52">
        <v>241</v>
      </c>
      <c r="D311" s="53" t="s">
        <v>4326</v>
      </c>
      <c r="E311" s="54"/>
      <c r="F311" s="52" t="str">
        <f>IF(INDEX(I.Performance.StartRange,241)="","",INDEX(I.Performance.StartRange,241))</f>
        <v/>
      </c>
      <c r="G311" s="54"/>
      <c r="H311" s="52" t="str">
        <f>IF(AND(I.Compliance.FulfilledPerformance&gt;0,I.Performance.RangeCount&gt;=241,F311=""),"Incomplete","Complete")</f>
        <v>Complete</v>
      </c>
      <c r="I311" s="55" t="s">
        <v>509</v>
      </c>
    </row>
    <row r="312" spans="2:9" ht="15" customHeight="1" x14ac:dyDescent="0.25">
      <c r="B312" s="51" t="s">
        <v>124</v>
      </c>
      <c r="C312" s="52">
        <v>242</v>
      </c>
      <c r="D312" s="53" t="s">
        <v>4326</v>
      </c>
      <c r="E312" s="54"/>
      <c r="F312" s="52" t="str">
        <f>IF(INDEX(I.Performance.StartRange,242)="","",INDEX(I.Performance.StartRange,242))</f>
        <v/>
      </c>
      <c r="G312" s="54"/>
      <c r="H312" s="52" t="str">
        <f>IF(AND(I.Compliance.FulfilledPerformance&gt;0,I.Performance.RangeCount&gt;=242,F312=""),"Incomplete","Complete")</f>
        <v>Complete</v>
      </c>
      <c r="I312" s="55" t="s">
        <v>510</v>
      </c>
    </row>
    <row r="313" spans="2:9" ht="15" customHeight="1" x14ac:dyDescent="0.25">
      <c r="B313" s="51" t="s">
        <v>124</v>
      </c>
      <c r="C313" s="52">
        <v>243</v>
      </c>
      <c r="D313" s="53" t="s">
        <v>4326</v>
      </c>
      <c r="E313" s="54"/>
      <c r="F313" s="52" t="str">
        <f>IF(INDEX(I.Performance.StartRange,243)="","",INDEX(I.Performance.StartRange,243))</f>
        <v/>
      </c>
      <c r="G313" s="54"/>
      <c r="H313" s="52" t="str">
        <f>IF(AND(I.Compliance.FulfilledPerformance&gt;0,I.Performance.RangeCount&gt;=243,F313=""),"Incomplete","Complete")</f>
        <v>Complete</v>
      </c>
      <c r="I313" s="55" t="s">
        <v>511</v>
      </c>
    </row>
    <row r="314" spans="2:9" ht="15" customHeight="1" x14ac:dyDescent="0.25">
      <c r="B314" s="51" t="s">
        <v>124</v>
      </c>
      <c r="C314" s="52">
        <v>244</v>
      </c>
      <c r="D314" s="53" t="s">
        <v>4326</v>
      </c>
      <c r="E314" s="54"/>
      <c r="F314" s="52" t="str">
        <f>IF(INDEX(I.Performance.StartRange,244)="","",INDEX(I.Performance.StartRange,244))</f>
        <v/>
      </c>
      <c r="G314" s="54"/>
      <c r="H314" s="52" t="str">
        <f>IF(AND(I.Compliance.FulfilledPerformance&gt;0,I.Performance.RangeCount&gt;=244,F314=""),"Incomplete","Complete")</f>
        <v>Complete</v>
      </c>
      <c r="I314" s="55" t="s">
        <v>512</v>
      </c>
    </row>
    <row r="315" spans="2:9" ht="15" customHeight="1" x14ac:dyDescent="0.25">
      <c r="B315" s="51" t="s">
        <v>124</v>
      </c>
      <c r="C315" s="52">
        <v>245</v>
      </c>
      <c r="D315" s="53" t="s">
        <v>4326</v>
      </c>
      <c r="E315" s="54"/>
      <c r="F315" s="52" t="str">
        <f>IF(INDEX(I.Performance.StartRange,245)="","",INDEX(I.Performance.StartRange,245))</f>
        <v/>
      </c>
      <c r="G315" s="54"/>
      <c r="H315" s="52" t="str">
        <f>IF(AND(I.Compliance.FulfilledPerformance&gt;0,I.Performance.RangeCount&gt;=245,F315=""),"Incomplete","Complete")</f>
        <v>Complete</v>
      </c>
      <c r="I315" s="55" t="s">
        <v>513</v>
      </c>
    </row>
    <row r="316" spans="2:9" ht="15" customHeight="1" x14ac:dyDescent="0.25">
      <c r="B316" s="51" t="s">
        <v>124</v>
      </c>
      <c r="C316" s="52">
        <v>246</v>
      </c>
      <c r="D316" s="53" t="s">
        <v>4326</v>
      </c>
      <c r="E316" s="54"/>
      <c r="F316" s="52" t="str">
        <f>IF(INDEX(I.Performance.StartRange,246)="","",INDEX(I.Performance.StartRange,246))</f>
        <v/>
      </c>
      <c r="G316" s="54"/>
      <c r="H316" s="52" t="str">
        <f>IF(AND(I.Compliance.FulfilledPerformance&gt;0,I.Performance.RangeCount&gt;=246,F316=""),"Incomplete","Complete")</f>
        <v>Complete</v>
      </c>
      <c r="I316" s="55" t="s">
        <v>514</v>
      </c>
    </row>
    <row r="317" spans="2:9" ht="15" customHeight="1" x14ac:dyDescent="0.25">
      <c r="B317" s="51" t="s">
        <v>124</v>
      </c>
      <c r="C317" s="52">
        <v>247</v>
      </c>
      <c r="D317" s="53" t="s">
        <v>4326</v>
      </c>
      <c r="E317" s="54"/>
      <c r="F317" s="52" t="str">
        <f>IF(INDEX(I.Performance.StartRange,247)="","",INDEX(I.Performance.StartRange,247))</f>
        <v/>
      </c>
      <c r="G317" s="54"/>
      <c r="H317" s="52" t="str">
        <f>IF(AND(I.Compliance.FulfilledPerformance&gt;0,I.Performance.RangeCount&gt;=247,F317=""),"Incomplete","Complete")</f>
        <v>Complete</v>
      </c>
      <c r="I317" s="55" t="s">
        <v>515</v>
      </c>
    </row>
    <row r="318" spans="2:9" ht="15" customHeight="1" x14ac:dyDescent="0.25">
      <c r="B318" s="51" t="s">
        <v>124</v>
      </c>
      <c r="C318" s="52">
        <v>248</v>
      </c>
      <c r="D318" s="53" t="s">
        <v>4326</v>
      </c>
      <c r="E318" s="54"/>
      <c r="F318" s="52" t="str">
        <f>IF(INDEX(I.Performance.StartRange,248)="","",INDEX(I.Performance.StartRange,248))</f>
        <v/>
      </c>
      <c r="G318" s="54"/>
      <c r="H318" s="52" t="str">
        <f>IF(AND(I.Compliance.FulfilledPerformance&gt;0,I.Performance.RangeCount&gt;=248,F318=""),"Incomplete","Complete")</f>
        <v>Complete</v>
      </c>
      <c r="I318" s="55" t="s">
        <v>516</v>
      </c>
    </row>
    <row r="319" spans="2:9" ht="15" customHeight="1" x14ac:dyDescent="0.25">
      <c r="B319" s="51" t="s">
        <v>124</v>
      </c>
      <c r="C319" s="52">
        <v>249</v>
      </c>
      <c r="D319" s="53" t="s">
        <v>4326</v>
      </c>
      <c r="E319" s="54"/>
      <c r="F319" s="52" t="str">
        <f>IF(INDEX(I.Performance.StartRange,249)="","",INDEX(I.Performance.StartRange,249))</f>
        <v/>
      </c>
      <c r="G319" s="54"/>
      <c r="H319" s="52" t="str">
        <f>IF(AND(I.Compliance.FulfilledPerformance&gt;0,I.Performance.RangeCount&gt;=249,F319=""),"Incomplete","Complete")</f>
        <v>Complete</v>
      </c>
      <c r="I319" s="55" t="s">
        <v>517</v>
      </c>
    </row>
    <row r="320" spans="2:9" ht="15" customHeight="1" x14ac:dyDescent="0.25">
      <c r="B320" s="51" t="s">
        <v>124</v>
      </c>
      <c r="C320" s="52">
        <v>250</v>
      </c>
      <c r="D320" s="53" t="s">
        <v>4326</v>
      </c>
      <c r="E320" s="54"/>
      <c r="F320" s="52" t="str">
        <f>IF(INDEX(I.Performance.StartRange,250)="","",INDEX(I.Performance.StartRange,250))</f>
        <v/>
      </c>
      <c r="G320" s="54"/>
      <c r="H320" s="52" t="str">
        <f>IF(AND(I.Compliance.FulfilledPerformance&gt;0,I.Performance.RangeCount&gt;=250,F320=""),"Incomplete","Complete")</f>
        <v>Complete</v>
      </c>
      <c r="I320" s="55" t="s">
        <v>518</v>
      </c>
    </row>
    <row r="321" spans="2:9" ht="15" customHeight="1" x14ac:dyDescent="0.25">
      <c r="B321" s="51" t="s">
        <v>124</v>
      </c>
      <c r="C321" s="52">
        <v>251</v>
      </c>
      <c r="D321" s="53" t="s">
        <v>4326</v>
      </c>
      <c r="E321" s="54"/>
      <c r="F321" s="52" t="str">
        <f>IF(INDEX(I.Performance.StartRange,251)="","",INDEX(I.Performance.StartRange,251))</f>
        <v/>
      </c>
      <c r="G321" s="54"/>
      <c r="H321" s="52" t="str">
        <f>IF(AND(I.Compliance.FulfilledPerformance&gt;0,I.Performance.RangeCount&gt;=251,F321=""),"Incomplete","Complete")</f>
        <v>Complete</v>
      </c>
      <c r="I321" s="55" t="s">
        <v>519</v>
      </c>
    </row>
    <row r="322" spans="2:9" ht="15" customHeight="1" x14ac:dyDescent="0.25">
      <c r="B322" s="51" t="s">
        <v>124</v>
      </c>
      <c r="C322" s="52">
        <v>252</v>
      </c>
      <c r="D322" s="53" t="s">
        <v>4326</v>
      </c>
      <c r="E322" s="54"/>
      <c r="F322" s="52" t="str">
        <f>IF(INDEX(I.Performance.StartRange,252)="","",INDEX(I.Performance.StartRange,252))</f>
        <v/>
      </c>
      <c r="G322" s="54"/>
      <c r="H322" s="52" t="str">
        <f>IF(AND(I.Compliance.FulfilledPerformance&gt;0,I.Performance.RangeCount&gt;=252,F322=""),"Incomplete","Complete")</f>
        <v>Complete</v>
      </c>
      <c r="I322" s="55" t="s">
        <v>520</v>
      </c>
    </row>
    <row r="323" spans="2:9" ht="15" customHeight="1" x14ac:dyDescent="0.25">
      <c r="B323" s="51" t="s">
        <v>124</v>
      </c>
      <c r="C323" s="52">
        <v>253</v>
      </c>
      <c r="D323" s="53" t="s">
        <v>4326</v>
      </c>
      <c r="E323" s="54"/>
      <c r="F323" s="52" t="str">
        <f>IF(INDEX(I.Performance.StartRange,253)="","",INDEX(I.Performance.StartRange,253))</f>
        <v/>
      </c>
      <c r="G323" s="54"/>
      <c r="H323" s="52" t="str">
        <f>IF(AND(I.Compliance.FulfilledPerformance&gt;0,I.Performance.RangeCount&gt;=253,F323=""),"Incomplete","Complete")</f>
        <v>Complete</v>
      </c>
      <c r="I323" s="55" t="s">
        <v>521</v>
      </c>
    </row>
    <row r="324" spans="2:9" ht="15" customHeight="1" x14ac:dyDescent="0.25">
      <c r="B324" s="51" t="s">
        <v>124</v>
      </c>
      <c r="C324" s="52">
        <v>254</v>
      </c>
      <c r="D324" s="53" t="s">
        <v>4326</v>
      </c>
      <c r="E324" s="54"/>
      <c r="F324" s="52" t="str">
        <f>IF(INDEX(I.Performance.StartRange,254)="","",INDEX(I.Performance.StartRange,254))</f>
        <v/>
      </c>
      <c r="G324" s="54"/>
      <c r="H324" s="52" t="str">
        <f>IF(AND(I.Compliance.FulfilledPerformance&gt;0,I.Performance.RangeCount&gt;=254,F324=""),"Incomplete","Complete")</f>
        <v>Complete</v>
      </c>
      <c r="I324" s="55" t="s">
        <v>522</v>
      </c>
    </row>
    <row r="325" spans="2:9" ht="15" customHeight="1" x14ac:dyDescent="0.25">
      <c r="B325" s="51" t="s">
        <v>124</v>
      </c>
      <c r="C325" s="52">
        <v>255</v>
      </c>
      <c r="D325" s="53" t="s">
        <v>4326</v>
      </c>
      <c r="E325" s="54"/>
      <c r="F325" s="52" t="str">
        <f>IF(INDEX(I.Performance.StartRange,255)="","",INDEX(I.Performance.StartRange,255))</f>
        <v/>
      </c>
      <c r="G325" s="54"/>
      <c r="H325" s="52" t="str">
        <f>IF(AND(I.Compliance.FulfilledPerformance&gt;0,I.Performance.RangeCount&gt;=255,F325=""),"Incomplete","Complete")</f>
        <v>Complete</v>
      </c>
      <c r="I325" s="55" t="s">
        <v>523</v>
      </c>
    </row>
    <row r="326" spans="2:9" ht="15" customHeight="1" x14ac:dyDescent="0.25">
      <c r="B326" s="51" t="s">
        <v>124</v>
      </c>
      <c r="C326" s="52">
        <v>256</v>
      </c>
      <c r="D326" s="53" t="s">
        <v>4326</v>
      </c>
      <c r="E326" s="54"/>
      <c r="F326" s="52" t="str">
        <f>IF(INDEX(I.Performance.StartRange,256)="","",INDEX(I.Performance.StartRange,256))</f>
        <v/>
      </c>
      <c r="G326" s="54"/>
      <c r="H326" s="52" t="str">
        <f>IF(AND(I.Compliance.FulfilledPerformance&gt;0,I.Performance.RangeCount&gt;=256,F326=""),"Incomplete","Complete")</f>
        <v>Complete</v>
      </c>
      <c r="I326" s="55" t="s">
        <v>524</v>
      </c>
    </row>
    <row r="327" spans="2:9" ht="15" customHeight="1" x14ac:dyDescent="0.25">
      <c r="B327" s="51" t="s">
        <v>124</v>
      </c>
      <c r="C327" s="52">
        <v>257</v>
      </c>
      <c r="D327" s="53" t="s">
        <v>4326</v>
      </c>
      <c r="E327" s="54"/>
      <c r="F327" s="52" t="str">
        <f>IF(INDEX(I.Performance.StartRange,257)="","",INDEX(I.Performance.StartRange,257))</f>
        <v/>
      </c>
      <c r="G327" s="54"/>
      <c r="H327" s="52" t="str">
        <f>IF(AND(I.Compliance.FulfilledPerformance&gt;0,I.Performance.RangeCount&gt;=257,F327=""),"Incomplete","Complete")</f>
        <v>Complete</v>
      </c>
      <c r="I327" s="55" t="s">
        <v>525</v>
      </c>
    </row>
    <row r="328" spans="2:9" ht="15" customHeight="1" x14ac:dyDescent="0.25">
      <c r="B328" s="51" t="s">
        <v>124</v>
      </c>
      <c r="C328" s="52">
        <v>258</v>
      </c>
      <c r="D328" s="53" t="s">
        <v>4326</v>
      </c>
      <c r="E328" s="54"/>
      <c r="F328" s="52" t="str">
        <f>IF(INDEX(I.Performance.StartRange,258)="","",INDEX(I.Performance.StartRange,258))</f>
        <v/>
      </c>
      <c r="G328" s="54"/>
      <c r="H328" s="52" t="str">
        <f>IF(AND(I.Compliance.FulfilledPerformance&gt;0,I.Performance.RangeCount&gt;=258,F328=""),"Incomplete","Complete")</f>
        <v>Complete</v>
      </c>
      <c r="I328" s="55" t="s">
        <v>526</v>
      </c>
    </row>
    <row r="329" spans="2:9" ht="15" customHeight="1" x14ac:dyDescent="0.25">
      <c r="B329" s="51" t="s">
        <v>124</v>
      </c>
      <c r="C329" s="52">
        <v>259</v>
      </c>
      <c r="D329" s="53" t="s">
        <v>4326</v>
      </c>
      <c r="E329" s="54"/>
      <c r="F329" s="52" t="str">
        <f>IF(INDEX(I.Performance.StartRange,259)="","",INDEX(I.Performance.StartRange,259))</f>
        <v/>
      </c>
      <c r="G329" s="54"/>
      <c r="H329" s="52" t="str">
        <f>IF(AND(I.Compliance.FulfilledPerformance&gt;0,I.Performance.RangeCount&gt;=259,F329=""),"Incomplete","Complete")</f>
        <v>Complete</v>
      </c>
      <c r="I329" s="55" t="s">
        <v>527</v>
      </c>
    </row>
    <row r="330" spans="2:9" ht="15" customHeight="1" x14ac:dyDescent="0.25">
      <c r="B330" s="51" t="s">
        <v>124</v>
      </c>
      <c r="C330" s="52">
        <v>260</v>
      </c>
      <c r="D330" s="53" t="s">
        <v>4326</v>
      </c>
      <c r="E330" s="54"/>
      <c r="F330" s="52" t="str">
        <f>IF(INDEX(I.Performance.StartRange,260)="","",INDEX(I.Performance.StartRange,260))</f>
        <v/>
      </c>
      <c r="G330" s="54"/>
      <c r="H330" s="52" t="str">
        <f>IF(AND(I.Compliance.FulfilledPerformance&gt;0,I.Performance.RangeCount&gt;=260,F330=""),"Incomplete","Complete")</f>
        <v>Complete</v>
      </c>
      <c r="I330" s="55" t="s">
        <v>528</v>
      </c>
    </row>
    <row r="331" spans="2:9" ht="15" customHeight="1" x14ac:dyDescent="0.25">
      <c r="B331" s="51" t="s">
        <v>124</v>
      </c>
      <c r="C331" s="52">
        <v>261</v>
      </c>
      <c r="D331" s="53" t="s">
        <v>4326</v>
      </c>
      <c r="E331" s="54"/>
      <c r="F331" s="52" t="str">
        <f>IF(INDEX(I.Performance.StartRange,261)="","",INDEX(I.Performance.StartRange,261))</f>
        <v/>
      </c>
      <c r="G331" s="54"/>
      <c r="H331" s="52" t="str">
        <f>IF(AND(I.Compliance.FulfilledPerformance&gt;0,I.Performance.RangeCount&gt;=261,F331=""),"Incomplete","Complete")</f>
        <v>Complete</v>
      </c>
      <c r="I331" s="55" t="s">
        <v>529</v>
      </c>
    </row>
    <row r="332" spans="2:9" ht="15" customHeight="1" x14ac:dyDescent="0.25">
      <c r="B332" s="51" t="s">
        <v>124</v>
      </c>
      <c r="C332" s="52">
        <v>262</v>
      </c>
      <c r="D332" s="53" t="s">
        <v>4326</v>
      </c>
      <c r="E332" s="54"/>
      <c r="F332" s="52" t="str">
        <f>IF(INDEX(I.Performance.StartRange,262)="","",INDEX(I.Performance.StartRange,262))</f>
        <v/>
      </c>
      <c r="G332" s="54"/>
      <c r="H332" s="52" t="str">
        <f>IF(AND(I.Compliance.FulfilledPerformance&gt;0,I.Performance.RangeCount&gt;=262,F332=""),"Incomplete","Complete")</f>
        <v>Complete</v>
      </c>
      <c r="I332" s="55" t="s">
        <v>530</v>
      </c>
    </row>
    <row r="333" spans="2:9" ht="15" customHeight="1" x14ac:dyDescent="0.25">
      <c r="B333" s="51" t="s">
        <v>124</v>
      </c>
      <c r="C333" s="52">
        <v>263</v>
      </c>
      <c r="D333" s="53" t="s">
        <v>4326</v>
      </c>
      <c r="E333" s="54"/>
      <c r="F333" s="52" t="str">
        <f>IF(INDEX(I.Performance.StartRange,263)="","",INDEX(I.Performance.StartRange,263))</f>
        <v/>
      </c>
      <c r="G333" s="54"/>
      <c r="H333" s="52" t="str">
        <f>IF(AND(I.Compliance.FulfilledPerformance&gt;0,I.Performance.RangeCount&gt;=263,F333=""),"Incomplete","Complete")</f>
        <v>Complete</v>
      </c>
      <c r="I333" s="55" t="s">
        <v>531</v>
      </c>
    </row>
    <row r="334" spans="2:9" ht="15" customHeight="1" x14ac:dyDescent="0.25">
      <c r="B334" s="51" t="s">
        <v>124</v>
      </c>
      <c r="C334" s="52">
        <v>264</v>
      </c>
      <c r="D334" s="53" t="s">
        <v>4326</v>
      </c>
      <c r="E334" s="54"/>
      <c r="F334" s="52" t="str">
        <f>IF(INDEX(I.Performance.StartRange,264)="","",INDEX(I.Performance.StartRange,264))</f>
        <v/>
      </c>
      <c r="G334" s="54"/>
      <c r="H334" s="52" t="str">
        <f>IF(AND(I.Compliance.FulfilledPerformance&gt;0,I.Performance.RangeCount&gt;=264,F334=""),"Incomplete","Complete")</f>
        <v>Complete</v>
      </c>
      <c r="I334" s="55" t="s">
        <v>532</v>
      </c>
    </row>
    <row r="335" spans="2:9" ht="15" customHeight="1" x14ac:dyDescent="0.25">
      <c r="B335" s="51" t="s">
        <v>124</v>
      </c>
      <c r="C335" s="52">
        <v>265</v>
      </c>
      <c r="D335" s="53" t="s">
        <v>4326</v>
      </c>
      <c r="E335" s="54"/>
      <c r="F335" s="52" t="str">
        <f>IF(INDEX(I.Performance.StartRange,265)="","",INDEX(I.Performance.StartRange,265))</f>
        <v/>
      </c>
      <c r="G335" s="54"/>
      <c r="H335" s="52" t="str">
        <f>IF(AND(I.Compliance.FulfilledPerformance&gt;0,I.Performance.RangeCount&gt;=265,F335=""),"Incomplete","Complete")</f>
        <v>Complete</v>
      </c>
      <c r="I335" s="55" t="s">
        <v>533</v>
      </c>
    </row>
    <row r="336" spans="2:9" ht="15" customHeight="1" x14ac:dyDescent="0.25">
      <c r="B336" s="51" t="s">
        <v>124</v>
      </c>
      <c r="C336" s="52">
        <v>266</v>
      </c>
      <c r="D336" s="53" t="s">
        <v>4326</v>
      </c>
      <c r="E336" s="54"/>
      <c r="F336" s="52" t="str">
        <f>IF(INDEX(I.Performance.StartRange,266)="","",INDEX(I.Performance.StartRange,266))</f>
        <v/>
      </c>
      <c r="G336" s="54"/>
      <c r="H336" s="52" t="str">
        <f>IF(AND(I.Compliance.FulfilledPerformance&gt;0,I.Performance.RangeCount&gt;=266,F336=""),"Incomplete","Complete")</f>
        <v>Complete</v>
      </c>
      <c r="I336" s="55" t="s">
        <v>534</v>
      </c>
    </row>
    <row r="337" spans="2:9" ht="15" customHeight="1" x14ac:dyDescent="0.25">
      <c r="B337" s="51" t="s">
        <v>124</v>
      </c>
      <c r="C337" s="52">
        <v>267</v>
      </c>
      <c r="D337" s="53" t="s">
        <v>4326</v>
      </c>
      <c r="E337" s="54"/>
      <c r="F337" s="52" t="str">
        <f>IF(INDEX(I.Performance.StartRange,267)="","",INDEX(I.Performance.StartRange,267))</f>
        <v/>
      </c>
      <c r="G337" s="54"/>
      <c r="H337" s="52" t="str">
        <f>IF(AND(I.Compliance.FulfilledPerformance&gt;0,I.Performance.RangeCount&gt;=267,F337=""),"Incomplete","Complete")</f>
        <v>Complete</v>
      </c>
      <c r="I337" s="55" t="s">
        <v>535</v>
      </c>
    </row>
    <row r="338" spans="2:9" ht="15" customHeight="1" x14ac:dyDescent="0.25">
      <c r="B338" s="51" t="s">
        <v>124</v>
      </c>
      <c r="C338" s="52">
        <v>268</v>
      </c>
      <c r="D338" s="53" t="s">
        <v>4326</v>
      </c>
      <c r="E338" s="54"/>
      <c r="F338" s="52" t="str">
        <f>IF(INDEX(I.Performance.StartRange,268)="","",INDEX(I.Performance.StartRange,268))</f>
        <v/>
      </c>
      <c r="G338" s="54"/>
      <c r="H338" s="52" t="str">
        <f>IF(AND(I.Compliance.FulfilledPerformance&gt;0,I.Performance.RangeCount&gt;=268,F338=""),"Incomplete","Complete")</f>
        <v>Complete</v>
      </c>
      <c r="I338" s="55" t="s">
        <v>536</v>
      </c>
    </row>
    <row r="339" spans="2:9" ht="15" customHeight="1" x14ac:dyDescent="0.25">
      <c r="B339" s="51" t="s">
        <v>124</v>
      </c>
      <c r="C339" s="52">
        <v>269</v>
      </c>
      <c r="D339" s="53" t="s">
        <v>4326</v>
      </c>
      <c r="E339" s="54"/>
      <c r="F339" s="52" t="str">
        <f>IF(INDEX(I.Performance.StartRange,269)="","",INDEX(I.Performance.StartRange,269))</f>
        <v/>
      </c>
      <c r="G339" s="54"/>
      <c r="H339" s="52" t="str">
        <f>IF(AND(I.Compliance.FulfilledPerformance&gt;0,I.Performance.RangeCount&gt;=269,F339=""),"Incomplete","Complete")</f>
        <v>Complete</v>
      </c>
      <c r="I339" s="55" t="s">
        <v>537</v>
      </c>
    </row>
    <row r="340" spans="2:9" ht="15" customHeight="1" x14ac:dyDescent="0.25">
      <c r="B340" s="51" t="s">
        <v>124</v>
      </c>
      <c r="C340" s="52">
        <v>270</v>
      </c>
      <c r="D340" s="53" t="s">
        <v>4326</v>
      </c>
      <c r="E340" s="54"/>
      <c r="F340" s="52" t="str">
        <f>IF(INDEX(I.Performance.StartRange,270)="","",INDEX(I.Performance.StartRange,270))</f>
        <v/>
      </c>
      <c r="G340" s="54"/>
      <c r="H340" s="52" t="str">
        <f>IF(AND(I.Compliance.FulfilledPerformance&gt;0,I.Performance.RangeCount&gt;=270,F340=""),"Incomplete","Complete")</f>
        <v>Complete</v>
      </c>
      <c r="I340" s="55" t="s">
        <v>538</v>
      </c>
    </row>
    <row r="341" spans="2:9" ht="15" customHeight="1" x14ac:dyDescent="0.25">
      <c r="B341" s="51" t="s">
        <v>124</v>
      </c>
      <c r="C341" s="52">
        <v>271</v>
      </c>
      <c r="D341" s="53" t="s">
        <v>4326</v>
      </c>
      <c r="E341" s="54"/>
      <c r="F341" s="52" t="str">
        <f>IF(INDEX(I.Performance.StartRange,271)="","",INDEX(I.Performance.StartRange,271))</f>
        <v/>
      </c>
      <c r="G341" s="54"/>
      <c r="H341" s="52" t="str">
        <f>IF(AND(I.Compliance.FulfilledPerformance&gt;0,I.Performance.RangeCount&gt;=271,F341=""),"Incomplete","Complete")</f>
        <v>Complete</v>
      </c>
      <c r="I341" s="55" t="s">
        <v>539</v>
      </c>
    </row>
    <row r="342" spans="2:9" ht="15" customHeight="1" x14ac:dyDescent="0.25">
      <c r="B342" s="51" t="s">
        <v>124</v>
      </c>
      <c r="C342" s="52">
        <v>272</v>
      </c>
      <c r="D342" s="53" t="s">
        <v>4326</v>
      </c>
      <c r="E342" s="54"/>
      <c r="F342" s="52" t="str">
        <f>IF(INDEX(I.Performance.StartRange,272)="","",INDEX(I.Performance.StartRange,272))</f>
        <v/>
      </c>
      <c r="G342" s="54"/>
      <c r="H342" s="52" t="str">
        <f>IF(AND(I.Compliance.FulfilledPerformance&gt;0,I.Performance.RangeCount&gt;=272,F342=""),"Incomplete","Complete")</f>
        <v>Complete</v>
      </c>
      <c r="I342" s="55" t="s">
        <v>540</v>
      </c>
    </row>
    <row r="343" spans="2:9" ht="15" customHeight="1" x14ac:dyDescent="0.25">
      <c r="B343" s="51" t="s">
        <v>124</v>
      </c>
      <c r="C343" s="52">
        <v>273</v>
      </c>
      <c r="D343" s="53" t="s">
        <v>4326</v>
      </c>
      <c r="E343" s="54"/>
      <c r="F343" s="52" t="str">
        <f>IF(INDEX(I.Performance.StartRange,273)="","",INDEX(I.Performance.StartRange,273))</f>
        <v/>
      </c>
      <c r="G343" s="54"/>
      <c r="H343" s="52" t="str">
        <f>IF(AND(I.Compliance.FulfilledPerformance&gt;0,I.Performance.RangeCount&gt;=273,F343=""),"Incomplete","Complete")</f>
        <v>Complete</v>
      </c>
      <c r="I343" s="55" t="s">
        <v>541</v>
      </c>
    </row>
    <row r="344" spans="2:9" ht="15" customHeight="1" x14ac:dyDescent="0.25">
      <c r="B344" s="51" t="s">
        <v>124</v>
      </c>
      <c r="C344" s="52">
        <v>274</v>
      </c>
      <c r="D344" s="53" t="s">
        <v>4326</v>
      </c>
      <c r="E344" s="54"/>
      <c r="F344" s="52" t="str">
        <f>IF(INDEX(I.Performance.StartRange,274)="","",INDEX(I.Performance.StartRange,274))</f>
        <v/>
      </c>
      <c r="G344" s="54"/>
      <c r="H344" s="52" t="str">
        <f>IF(AND(I.Compliance.FulfilledPerformance&gt;0,I.Performance.RangeCount&gt;=274,F344=""),"Incomplete","Complete")</f>
        <v>Complete</v>
      </c>
      <c r="I344" s="55" t="s">
        <v>542</v>
      </c>
    </row>
    <row r="345" spans="2:9" ht="15" customHeight="1" x14ac:dyDescent="0.25">
      <c r="B345" s="51" t="s">
        <v>124</v>
      </c>
      <c r="C345" s="52">
        <v>275</v>
      </c>
      <c r="D345" s="53" t="s">
        <v>4326</v>
      </c>
      <c r="E345" s="54"/>
      <c r="F345" s="52" t="str">
        <f>IF(INDEX(I.Performance.StartRange,275)="","",INDEX(I.Performance.StartRange,275))</f>
        <v/>
      </c>
      <c r="G345" s="54"/>
      <c r="H345" s="52" t="str">
        <f>IF(AND(I.Compliance.FulfilledPerformance&gt;0,I.Performance.RangeCount&gt;=275,F345=""),"Incomplete","Complete")</f>
        <v>Complete</v>
      </c>
      <c r="I345" s="55" t="s">
        <v>543</v>
      </c>
    </row>
    <row r="346" spans="2:9" ht="15" customHeight="1" x14ac:dyDescent="0.25">
      <c r="B346" s="51" t="s">
        <v>124</v>
      </c>
      <c r="C346" s="52">
        <v>276</v>
      </c>
      <c r="D346" s="53" t="s">
        <v>4326</v>
      </c>
      <c r="E346" s="54"/>
      <c r="F346" s="52" t="str">
        <f>IF(INDEX(I.Performance.StartRange,276)="","",INDEX(I.Performance.StartRange,276))</f>
        <v/>
      </c>
      <c r="G346" s="54"/>
      <c r="H346" s="52" t="str">
        <f>IF(AND(I.Compliance.FulfilledPerformance&gt;0,I.Performance.RangeCount&gt;=276,F346=""),"Incomplete","Complete")</f>
        <v>Complete</v>
      </c>
      <c r="I346" s="55" t="s">
        <v>544</v>
      </c>
    </row>
    <row r="347" spans="2:9" ht="15" customHeight="1" x14ac:dyDescent="0.25">
      <c r="B347" s="51" t="s">
        <v>124</v>
      </c>
      <c r="C347" s="52">
        <v>277</v>
      </c>
      <c r="D347" s="53" t="s">
        <v>4326</v>
      </c>
      <c r="E347" s="54"/>
      <c r="F347" s="52" t="str">
        <f>IF(INDEX(I.Performance.StartRange,277)="","",INDEX(I.Performance.StartRange,277))</f>
        <v/>
      </c>
      <c r="G347" s="54"/>
      <c r="H347" s="52" t="str">
        <f>IF(AND(I.Compliance.FulfilledPerformance&gt;0,I.Performance.RangeCount&gt;=277,F347=""),"Incomplete","Complete")</f>
        <v>Complete</v>
      </c>
      <c r="I347" s="55" t="s">
        <v>545</v>
      </c>
    </row>
    <row r="348" spans="2:9" ht="15" customHeight="1" x14ac:dyDescent="0.25">
      <c r="B348" s="51" t="s">
        <v>124</v>
      </c>
      <c r="C348" s="52">
        <v>278</v>
      </c>
      <c r="D348" s="53" t="s">
        <v>4326</v>
      </c>
      <c r="E348" s="54"/>
      <c r="F348" s="52" t="str">
        <f>IF(INDEX(I.Performance.StartRange,278)="","",INDEX(I.Performance.StartRange,278))</f>
        <v/>
      </c>
      <c r="G348" s="54"/>
      <c r="H348" s="52" t="str">
        <f>IF(AND(I.Compliance.FulfilledPerformance&gt;0,I.Performance.RangeCount&gt;=278,F348=""),"Incomplete","Complete")</f>
        <v>Complete</v>
      </c>
      <c r="I348" s="55" t="s">
        <v>546</v>
      </c>
    </row>
    <row r="349" spans="2:9" ht="15" customHeight="1" x14ac:dyDescent="0.25">
      <c r="B349" s="51" t="s">
        <v>124</v>
      </c>
      <c r="C349" s="52">
        <v>279</v>
      </c>
      <c r="D349" s="53" t="s">
        <v>4326</v>
      </c>
      <c r="E349" s="54"/>
      <c r="F349" s="52" t="str">
        <f>IF(INDEX(I.Performance.StartRange,279)="","",INDEX(I.Performance.StartRange,279))</f>
        <v/>
      </c>
      <c r="G349" s="54"/>
      <c r="H349" s="52" t="str">
        <f>IF(AND(I.Compliance.FulfilledPerformance&gt;0,I.Performance.RangeCount&gt;=279,F349=""),"Incomplete","Complete")</f>
        <v>Complete</v>
      </c>
      <c r="I349" s="55" t="s">
        <v>547</v>
      </c>
    </row>
    <row r="350" spans="2:9" ht="15" customHeight="1" x14ac:dyDescent="0.25">
      <c r="B350" s="51" t="s">
        <v>124</v>
      </c>
      <c r="C350" s="52">
        <v>280</v>
      </c>
      <c r="D350" s="53" t="s">
        <v>4326</v>
      </c>
      <c r="E350" s="54"/>
      <c r="F350" s="52" t="str">
        <f>IF(INDEX(I.Performance.StartRange,280)="","",INDEX(I.Performance.StartRange,280))</f>
        <v/>
      </c>
      <c r="G350" s="54"/>
      <c r="H350" s="52" t="str">
        <f>IF(AND(I.Compliance.FulfilledPerformance&gt;0,I.Performance.RangeCount&gt;=280,F350=""),"Incomplete","Complete")</f>
        <v>Complete</v>
      </c>
      <c r="I350" s="55" t="s">
        <v>548</v>
      </c>
    </row>
    <row r="351" spans="2:9" ht="15" customHeight="1" x14ac:dyDescent="0.25">
      <c r="B351" s="51" t="s">
        <v>124</v>
      </c>
      <c r="C351" s="52">
        <v>281</v>
      </c>
      <c r="D351" s="53" t="s">
        <v>4326</v>
      </c>
      <c r="E351" s="54"/>
      <c r="F351" s="52" t="str">
        <f>IF(INDEX(I.Performance.StartRange,281)="","",INDEX(I.Performance.StartRange,281))</f>
        <v/>
      </c>
      <c r="G351" s="54"/>
      <c r="H351" s="52" t="str">
        <f>IF(AND(I.Compliance.FulfilledPerformance&gt;0,I.Performance.RangeCount&gt;=281,F351=""),"Incomplete","Complete")</f>
        <v>Complete</v>
      </c>
      <c r="I351" s="55" t="s">
        <v>549</v>
      </c>
    </row>
    <row r="352" spans="2:9" ht="15" customHeight="1" x14ac:dyDescent="0.25">
      <c r="B352" s="51" t="s">
        <v>124</v>
      </c>
      <c r="C352" s="52">
        <v>282</v>
      </c>
      <c r="D352" s="53" t="s">
        <v>4326</v>
      </c>
      <c r="E352" s="54"/>
      <c r="F352" s="52" t="str">
        <f>IF(INDEX(I.Performance.StartRange,282)="","",INDEX(I.Performance.StartRange,282))</f>
        <v/>
      </c>
      <c r="G352" s="54"/>
      <c r="H352" s="52" t="str">
        <f>IF(AND(I.Compliance.FulfilledPerformance&gt;0,I.Performance.RangeCount&gt;=282,F352=""),"Incomplete","Complete")</f>
        <v>Complete</v>
      </c>
      <c r="I352" s="55" t="s">
        <v>550</v>
      </c>
    </row>
    <row r="353" spans="2:9" ht="15" customHeight="1" x14ac:dyDescent="0.25">
      <c r="B353" s="51" t="s">
        <v>124</v>
      </c>
      <c r="C353" s="52">
        <v>283</v>
      </c>
      <c r="D353" s="53" t="s">
        <v>4326</v>
      </c>
      <c r="E353" s="54"/>
      <c r="F353" s="52" t="str">
        <f>IF(INDEX(I.Performance.StartRange,283)="","",INDEX(I.Performance.StartRange,283))</f>
        <v/>
      </c>
      <c r="G353" s="54"/>
      <c r="H353" s="52" t="str">
        <f>IF(AND(I.Compliance.FulfilledPerformance&gt;0,I.Performance.RangeCount&gt;=283,F353=""),"Incomplete","Complete")</f>
        <v>Complete</v>
      </c>
      <c r="I353" s="55" t="s">
        <v>551</v>
      </c>
    </row>
    <row r="354" spans="2:9" ht="15" customHeight="1" x14ac:dyDescent="0.25">
      <c r="B354" s="51" t="s">
        <v>124</v>
      </c>
      <c r="C354" s="52">
        <v>284</v>
      </c>
      <c r="D354" s="53" t="s">
        <v>4326</v>
      </c>
      <c r="E354" s="54"/>
      <c r="F354" s="52" t="str">
        <f>IF(INDEX(I.Performance.StartRange,284)="","",INDEX(I.Performance.StartRange,284))</f>
        <v/>
      </c>
      <c r="G354" s="54"/>
      <c r="H354" s="52" t="str">
        <f>IF(AND(I.Compliance.FulfilledPerformance&gt;0,I.Performance.RangeCount&gt;=284,F354=""),"Incomplete","Complete")</f>
        <v>Complete</v>
      </c>
      <c r="I354" s="55" t="s">
        <v>552</v>
      </c>
    </row>
    <row r="355" spans="2:9" ht="15" customHeight="1" x14ac:dyDescent="0.25">
      <c r="B355" s="51" t="s">
        <v>124</v>
      </c>
      <c r="C355" s="52">
        <v>285</v>
      </c>
      <c r="D355" s="53" t="s">
        <v>4326</v>
      </c>
      <c r="E355" s="54"/>
      <c r="F355" s="52" t="str">
        <f>IF(INDEX(I.Performance.StartRange,285)="","",INDEX(I.Performance.StartRange,285))</f>
        <v/>
      </c>
      <c r="G355" s="54"/>
      <c r="H355" s="52" t="str">
        <f>IF(AND(I.Compliance.FulfilledPerformance&gt;0,I.Performance.RangeCount&gt;=285,F355=""),"Incomplete","Complete")</f>
        <v>Complete</v>
      </c>
      <c r="I355" s="55" t="s">
        <v>553</v>
      </c>
    </row>
    <row r="356" spans="2:9" ht="15" customHeight="1" x14ac:dyDescent="0.25">
      <c r="B356" s="51" t="s">
        <v>124</v>
      </c>
      <c r="C356" s="52">
        <v>286</v>
      </c>
      <c r="D356" s="53" t="s">
        <v>4326</v>
      </c>
      <c r="E356" s="54"/>
      <c r="F356" s="52" t="str">
        <f>IF(INDEX(I.Performance.StartRange,286)="","",INDEX(I.Performance.StartRange,286))</f>
        <v/>
      </c>
      <c r="G356" s="54"/>
      <c r="H356" s="52" t="str">
        <f>IF(AND(I.Compliance.FulfilledPerformance&gt;0,I.Performance.RangeCount&gt;=286,F356=""),"Incomplete","Complete")</f>
        <v>Complete</v>
      </c>
      <c r="I356" s="55" t="s">
        <v>554</v>
      </c>
    </row>
    <row r="357" spans="2:9" ht="15" customHeight="1" x14ac:dyDescent="0.25">
      <c r="B357" s="51" t="s">
        <v>124</v>
      </c>
      <c r="C357" s="52">
        <v>287</v>
      </c>
      <c r="D357" s="53" t="s">
        <v>4326</v>
      </c>
      <c r="E357" s="54"/>
      <c r="F357" s="52" t="str">
        <f>IF(INDEX(I.Performance.StartRange,287)="","",INDEX(I.Performance.StartRange,287))</f>
        <v/>
      </c>
      <c r="G357" s="54"/>
      <c r="H357" s="52" t="str">
        <f>IF(AND(I.Compliance.FulfilledPerformance&gt;0,I.Performance.RangeCount&gt;=287,F357=""),"Incomplete","Complete")</f>
        <v>Complete</v>
      </c>
      <c r="I357" s="55" t="s">
        <v>555</v>
      </c>
    </row>
    <row r="358" spans="2:9" ht="15" customHeight="1" x14ac:dyDescent="0.25">
      <c r="B358" s="51" t="s">
        <v>124</v>
      </c>
      <c r="C358" s="52">
        <v>288</v>
      </c>
      <c r="D358" s="53" t="s">
        <v>4326</v>
      </c>
      <c r="E358" s="54"/>
      <c r="F358" s="52" t="str">
        <f>IF(INDEX(I.Performance.StartRange,288)="","",INDEX(I.Performance.StartRange,288))</f>
        <v/>
      </c>
      <c r="G358" s="54"/>
      <c r="H358" s="52" t="str">
        <f>IF(AND(I.Compliance.FulfilledPerformance&gt;0,I.Performance.RangeCount&gt;=288,F358=""),"Incomplete","Complete")</f>
        <v>Complete</v>
      </c>
      <c r="I358" s="55" t="s">
        <v>556</v>
      </c>
    </row>
    <row r="359" spans="2:9" ht="15" customHeight="1" x14ac:dyDescent="0.25">
      <c r="B359" s="51" t="s">
        <v>124</v>
      </c>
      <c r="C359" s="52">
        <v>289</v>
      </c>
      <c r="D359" s="53" t="s">
        <v>4326</v>
      </c>
      <c r="E359" s="54"/>
      <c r="F359" s="52" t="str">
        <f>IF(INDEX(I.Performance.StartRange,289)="","",INDEX(I.Performance.StartRange,289))</f>
        <v/>
      </c>
      <c r="G359" s="54"/>
      <c r="H359" s="52" t="str">
        <f>IF(AND(I.Compliance.FulfilledPerformance&gt;0,I.Performance.RangeCount&gt;=289,F359=""),"Incomplete","Complete")</f>
        <v>Complete</v>
      </c>
      <c r="I359" s="55" t="s">
        <v>557</v>
      </c>
    </row>
    <row r="360" spans="2:9" ht="15" customHeight="1" x14ac:dyDescent="0.25">
      <c r="B360" s="51" t="s">
        <v>124</v>
      </c>
      <c r="C360" s="52">
        <v>290</v>
      </c>
      <c r="D360" s="53" t="s">
        <v>4326</v>
      </c>
      <c r="E360" s="54"/>
      <c r="F360" s="52" t="str">
        <f>IF(INDEX(I.Performance.StartRange,290)="","",INDEX(I.Performance.StartRange,290))</f>
        <v/>
      </c>
      <c r="G360" s="54"/>
      <c r="H360" s="52" t="str">
        <f>IF(AND(I.Compliance.FulfilledPerformance&gt;0,I.Performance.RangeCount&gt;=290,F360=""),"Incomplete","Complete")</f>
        <v>Complete</v>
      </c>
      <c r="I360" s="55" t="s">
        <v>558</v>
      </c>
    </row>
    <row r="361" spans="2:9" ht="15" customHeight="1" x14ac:dyDescent="0.25">
      <c r="B361" s="51" t="s">
        <v>124</v>
      </c>
      <c r="C361" s="52">
        <v>291</v>
      </c>
      <c r="D361" s="53" t="s">
        <v>4326</v>
      </c>
      <c r="E361" s="54"/>
      <c r="F361" s="52" t="str">
        <f>IF(INDEX(I.Performance.StartRange,291)="","",INDEX(I.Performance.StartRange,291))</f>
        <v/>
      </c>
      <c r="G361" s="54"/>
      <c r="H361" s="52" t="str">
        <f>IF(AND(I.Compliance.FulfilledPerformance&gt;0,I.Performance.RangeCount&gt;=291,F361=""),"Incomplete","Complete")</f>
        <v>Complete</v>
      </c>
      <c r="I361" s="55" t="s">
        <v>559</v>
      </c>
    </row>
    <row r="362" spans="2:9" ht="15" customHeight="1" x14ac:dyDescent="0.25">
      <c r="B362" s="51" t="s">
        <v>124</v>
      </c>
      <c r="C362" s="52">
        <v>292</v>
      </c>
      <c r="D362" s="53" t="s">
        <v>4326</v>
      </c>
      <c r="E362" s="54"/>
      <c r="F362" s="52" t="str">
        <f>IF(INDEX(I.Performance.StartRange,292)="","",INDEX(I.Performance.StartRange,292))</f>
        <v/>
      </c>
      <c r="G362" s="54"/>
      <c r="H362" s="52" t="str">
        <f>IF(AND(I.Compliance.FulfilledPerformance&gt;0,I.Performance.RangeCount&gt;=292,F362=""),"Incomplete","Complete")</f>
        <v>Complete</v>
      </c>
      <c r="I362" s="55" t="s">
        <v>560</v>
      </c>
    </row>
    <row r="363" spans="2:9" ht="15" customHeight="1" x14ac:dyDescent="0.25">
      <c r="B363" s="51" t="s">
        <v>124</v>
      </c>
      <c r="C363" s="52">
        <v>293</v>
      </c>
      <c r="D363" s="53" t="s">
        <v>4326</v>
      </c>
      <c r="E363" s="54"/>
      <c r="F363" s="52" t="str">
        <f>IF(INDEX(I.Performance.StartRange,293)="","",INDEX(I.Performance.StartRange,293))</f>
        <v/>
      </c>
      <c r="G363" s="54"/>
      <c r="H363" s="52" t="str">
        <f>IF(AND(I.Compliance.FulfilledPerformance&gt;0,I.Performance.RangeCount&gt;=293,F363=""),"Incomplete","Complete")</f>
        <v>Complete</v>
      </c>
      <c r="I363" s="55" t="s">
        <v>561</v>
      </c>
    </row>
    <row r="364" spans="2:9" ht="15" customHeight="1" x14ac:dyDescent="0.25">
      <c r="B364" s="51" t="s">
        <v>124</v>
      </c>
      <c r="C364" s="52">
        <v>294</v>
      </c>
      <c r="D364" s="53" t="s">
        <v>4326</v>
      </c>
      <c r="E364" s="54"/>
      <c r="F364" s="52" t="str">
        <f>IF(INDEX(I.Performance.StartRange,294)="","",INDEX(I.Performance.StartRange,294))</f>
        <v/>
      </c>
      <c r="G364" s="54"/>
      <c r="H364" s="52" t="str">
        <f>IF(AND(I.Compliance.FulfilledPerformance&gt;0,I.Performance.RangeCount&gt;=294,F364=""),"Incomplete","Complete")</f>
        <v>Complete</v>
      </c>
      <c r="I364" s="55" t="s">
        <v>562</v>
      </c>
    </row>
    <row r="365" spans="2:9" ht="15" customHeight="1" x14ac:dyDescent="0.25">
      <c r="B365" s="51" t="s">
        <v>124</v>
      </c>
      <c r="C365" s="52">
        <v>295</v>
      </c>
      <c r="D365" s="53" t="s">
        <v>4326</v>
      </c>
      <c r="E365" s="54"/>
      <c r="F365" s="52" t="str">
        <f>IF(INDEX(I.Performance.StartRange,295)="","",INDEX(I.Performance.StartRange,295))</f>
        <v/>
      </c>
      <c r="G365" s="54"/>
      <c r="H365" s="52" t="str">
        <f>IF(AND(I.Compliance.FulfilledPerformance&gt;0,I.Performance.RangeCount&gt;=295,F365=""),"Incomplete","Complete")</f>
        <v>Complete</v>
      </c>
      <c r="I365" s="55" t="s">
        <v>563</v>
      </c>
    </row>
    <row r="366" spans="2:9" ht="15" customHeight="1" x14ac:dyDescent="0.25">
      <c r="B366" s="51" t="s">
        <v>124</v>
      </c>
      <c r="C366" s="52">
        <v>296</v>
      </c>
      <c r="D366" s="53" t="s">
        <v>4326</v>
      </c>
      <c r="E366" s="54"/>
      <c r="F366" s="52" t="str">
        <f>IF(INDEX(I.Performance.StartRange,296)="","",INDEX(I.Performance.StartRange,296))</f>
        <v/>
      </c>
      <c r="G366" s="54"/>
      <c r="H366" s="52" t="str">
        <f>IF(AND(I.Compliance.FulfilledPerformance&gt;0,I.Performance.RangeCount&gt;=296,F366=""),"Incomplete","Complete")</f>
        <v>Complete</v>
      </c>
      <c r="I366" s="55" t="s">
        <v>564</v>
      </c>
    </row>
    <row r="367" spans="2:9" ht="15" customHeight="1" x14ac:dyDescent="0.25">
      <c r="B367" s="51" t="s">
        <v>124</v>
      </c>
      <c r="C367" s="52">
        <v>297</v>
      </c>
      <c r="D367" s="53" t="s">
        <v>4326</v>
      </c>
      <c r="E367" s="54"/>
      <c r="F367" s="52" t="str">
        <f>IF(INDEX(I.Performance.StartRange,297)="","",INDEX(I.Performance.StartRange,297))</f>
        <v/>
      </c>
      <c r="G367" s="54"/>
      <c r="H367" s="52" t="str">
        <f>IF(AND(I.Compliance.FulfilledPerformance&gt;0,I.Performance.RangeCount&gt;=297,F367=""),"Incomplete","Complete")</f>
        <v>Complete</v>
      </c>
      <c r="I367" s="55" t="s">
        <v>565</v>
      </c>
    </row>
    <row r="368" spans="2:9" ht="15" customHeight="1" x14ac:dyDescent="0.25">
      <c r="B368" s="51" t="s">
        <v>124</v>
      </c>
      <c r="C368" s="52">
        <v>298</v>
      </c>
      <c r="D368" s="53" t="s">
        <v>4326</v>
      </c>
      <c r="E368" s="54"/>
      <c r="F368" s="52" t="str">
        <f>IF(INDEX(I.Performance.StartRange,298)="","",INDEX(I.Performance.StartRange,298))</f>
        <v/>
      </c>
      <c r="G368" s="54"/>
      <c r="H368" s="52" t="str">
        <f>IF(AND(I.Compliance.FulfilledPerformance&gt;0,I.Performance.RangeCount&gt;=298,F368=""),"Incomplete","Complete")</f>
        <v>Complete</v>
      </c>
      <c r="I368" s="55" t="s">
        <v>566</v>
      </c>
    </row>
    <row r="369" spans="2:9" ht="15" customHeight="1" x14ac:dyDescent="0.25">
      <c r="B369" s="51" t="s">
        <v>124</v>
      </c>
      <c r="C369" s="52">
        <v>299</v>
      </c>
      <c r="D369" s="53" t="s">
        <v>4326</v>
      </c>
      <c r="E369" s="54"/>
      <c r="F369" s="52" t="str">
        <f>IF(INDEX(I.Performance.StartRange,299)="","",INDEX(I.Performance.StartRange,299))</f>
        <v/>
      </c>
      <c r="G369" s="54"/>
      <c r="H369" s="52" t="str">
        <f>IF(AND(I.Compliance.FulfilledPerformance&gt;0,I.Performance.RangeCount&gt;=299,F369=""),"Incomplete","Complete")</f>
        <v>Complete</v>
      </c>
      <c r="I369" s="55" t="s">
        <v>567</v>
      </c>
    </row>
    <row r="370" spans="2:9" ht="15" customHeight="1" x14ac:dyDescent="0.25">
      <c r="B370" s="51" t="s">
        <v>124</v>
      </c>
      <c r="C370" s="52">
        <v>300</v>
      </c>
      <c r="D370" s="53" t="s">
        <v>4326</v>
      </c>
      <c r="E370" s="54"/>
      <c r="F370" s="52" t="str">
        <f>IF(INDEX(I.Performance.StartRange,300)="","",INDEX(I.Performance.StartRange,300))</f>
        <v/>
      </c>
      <c r="G370" s="54"/>
      <c r="H370" s="52" t="str">
        <f>IF(AND(I.Compliance.FulfilledPerformance&gt;0,I.Performance.RangeCount&gt;=300,F370=""),"Incomplete","Complete")</f>
        <v>Complete</v>
      </c>
      <c r="I370" s="55" t="s">
        <v>568</v>
      </c>
    </row>
    <row r="371" spans="2:9" ht="15" customHeight="1" x14ac:dyDescent="0.25">
      <c r="B371" s="51" t="s">
        <v>124</v>
      </c>
      <c r="C371" s="52">
        <v>301</v>
      </c>
      <c r="D371" s="53" t="s">
        <v>4326</v>
      </c>
      <c r="E371" s="54"/>
      <c r="F371" s="52" t="str">
        <f>IF(INDEX(I.Performance.StartRange,301)="","",INDEX(I.Performance.StartRange,301))</f>
        <v/>
      </c>
      <c r="G371" s="54"/>
      <c r="H371" s="52" t="str">
        <f>IF(AND(I.Compliance.FulfilledPerformance&gt;0,I.Performance.RangeCount&gt;=301,F371=""),"Incomplete","Complete")</f>
        <v>Complete</v>
      </c>
      <c r="I371" s="55" t="s">
        <v>569</v>
      </c>
    </row>
    <row r="372" spans="2:9" ht="15" customHeight="1" x14ac:dyDescent="0.25">
      <c r="B372" s="51" t="s">
        <v>124</v>
      </c>
      <c r="C372" s="52">
        <v>302</v>
      </c>
      <c r="D372" s="53" t="s">
        <v>4326</v>
      </c>
      <c r="E372" s="54"/>
      <c r="F372" s="52" t="str">
        <f>IF(INDEX(I.Performance.StartRange,302)="","",INDEX(I.Performance.StartRange,302))</f>
        <v/>
      </c>
      <c r="G372" s="54"/>
      <c r="H372" s="52" t="str">
        <f>IF(AND(I.Compliance.FulfilledPerformance&gt;0,I.Performance.RangeCount&gt;=302,F372=""),"Incomplete","Complete")</f>
        <v>Complete</v>
      </c>
      <c r="I372" s="55" t="s">
        <v>570</v>
      </c>
    </row>
    <row r="373" spans="2:9" ht="15" customHeight="1" x14ac:dyDescent="0.25">
      <c r="B373" s="51" t="s">
        <v>124</v>
      </c>
      <c r="C373" s="52">
        <v>303</v>
      </c>
      <c r="D373" s="53" t="s">
        <v>4326</v>
      </c>
      <c r="E373" s="54"/>
      <c r="F373" s="52" t="str">
        <f>IF(INDEX(I.Performance.StartRange,303)="","",INDEX(I.Performance.StartRange,303))</f>
        <v/>
      </c>
      <c r="G373" s="54"/>
      <c r="H373" s="52" t="str">
        <f>IF(AND(I.Compliance.FulfilledPerformance&gt;0,I.Performance.RangeCount&gt;=303,F373=""),"Incomplete","Complete")</f>
        <v>Complete</v>
      </c>
      <c r="I373" s="55" t="s">
        <v>571</v>
      </c>
    </row>
    <row r="374" spans="2:9" ht="15" customHeight="1" x14ac:dyDescent="0.25">
      <c r="B374" s="51" t="s">
        <v>124</v>
      </c>
      <c r="C374" s="52">
        <v>304</v>
      </c>
      <c r="D374" s="53" t="s">
        <v>4326</v>
      </c>
      <c r="E374" s="54"/>
      <c r="F374" s="52" t="str">
        <f>IF(INDEX(I.Performance.StartRange,304)="","",INDEX(I.Performance.StartRange,304))</f>
        <v/>
      </c>
      <c r="G374" s="54"/>
      <c r="H374" s="52" t="str">
        <f>IF(AND(I.Compliance.FulfilledPerformance&gt;0,I.Performance.RangeCount&gt;=304,F374=""),"Incomplete","Complete")</f>
        <v>Complete</v>
      </c>
      <c r="I374" s="55" t="s">
        <v>572</v>
      </c>
    </row>
    <row r="375" spans="2:9" ht="15" customHeight="1" x14ac:dyDescent="0.25">
      <c r="B375" s="51" t="s">
        <v>124</v>
      </c>
      <c r="C375" s="52">
        <v>305</v>
      </c>
      <c r="D375" s="53" t="s">
        <v>4326</v>
      </c>
      <c r="E375" s="54"/>
      <c r="F375" s="52" t="str">
        <f>IF(INDEX(I.Performance.StartRange,305)="","",INDEX(I.Performance.StartRange,305))</f>
        <v/>
      </c>
      <c r="G375" s="54"/>
      <c r="H375" s="52" t="str">
        <f>IF(AND(I.Compliance.FulfilledPerformance&gt;0,I.Performance.RangeCount&gt;=305,F375=""),"Incomplete","Complete")</f>
        <v>Complete</v>
      </c>
      <c r="I375" s="55" t="s">
        <v>573</v>
      </c>
    </row>
    <row r="376" spans="2:9" ht="15" customHeight="1" x14ac:dyDescent="0.25">
      <c r="B376" s="51" t="s">
        <v>124</v>
      </c>
      <c r="C376" s="52">
        <v>306</v>
      </c>
      <c r="D376" s="53" t="s">
        <v>4326</v>
      </c>
      <c r="E376" s="54"/>
      <c r="F376" s="52" t="str">
        <f>IF(INDEX(I.Performance.StartRange,306)="","",INDEX(I.Performance.StartRange,306))</f>
        <v/>
      </c>
      <c r="G376" s="54"/>
      <c r="H376" s="52" t="str">
        <f>IF(AND(I.Compliance.FulfilledPerformance&gt;0,I.Performance.RangeCount&gt;=306,F376=""),"Incomplete","Complete")</f>
        <v>Complete</v>
      </c>
      <c r="I376" s="55" t="s">
        <v>574</v>
      </c>
    </row>
    <row r="377" spans="2:9" ht="15" customHeight="1" x14ac:dyDescent="0.25">
      <c r="B377" s="51" t="s">
        <v>124</v>
      </c>
      <c r="C377" s="52">
        <v>307</v>
      </c>
      <c r="D377" s="53" t="s">
        <v>4326</v>
      </c>
      <c r="E377" s="54"/>
      <c r="F377" s="52" t="str">
        <f>IF(INDEX(I.Performance.StartRange,307)="","",INDEX(I.Performance.StartRange,307))</f>
        <v/>
      </c>
      <c r="G377" s="54"/>
      <c r="H377" s="52" t="str">
        <f>IF(AND(I.Compliance.FulfilledPerformance&gt;0,I.Performance.RangeCount&gt;=307,F377=""),"Incomplete","Complete")</f>
        <v>Complete</v>
      </c>
      <c r="I377" s="55" t="s">
        <v>575</v>
      </c>
    </row>
    <row r="378" spans="2:9" ht="15" customHeight="1" x14ac:dyDescent="0.25">
      <c r="B378" s="51" t="s">
        <v>124</v>
      </c>
      <c r="C378" s="52">
        <v>308</v>
      </c>
      <c r="D378" s="53" t="s">
        <v>4326</v>
      </c>
      <c r="E378" s="54"/>
      <c r="F378" s="52" t="str">
        <f>IF(INDEX(I.Performance.StartRange,308)="","",INDEX(I.Performance.StartRange,308))</f>
        <v/>
      </c>
      <c r="G378" s="54"/>
      <c r="H378" s="52" t="str">
        <f>IF(AND(I.Compliance.FulfilledPerformance&gt;0,I.Performance.RangeCount&gt;=308,F378=""),"Incomplete","Complete")</f>
        <v>Complete</v>
      </c>
      <c r="I378" s="55" t="s">
        <v>576</v>
      </c>
    </row>
    <row r="379" spans="2:9" ht="15" customHeight="1" x14ac:dyDescent="0.25">
      <c r="B379" s="51" t="s">
        <v>124</v>
      </c>
      <c r="C379" s="52">
        <v>309</v>
      </c>
      <c r="D379" s="53" t="s">
        <v>4326</v>
      </c>
      <c r="E379" s="54"/>
      <c r="F379" s="52" t="str">
        <f>IF(INDEX(I.Performance.StartRange,309)="","",INDEX(I.Performance.StartRange,309))</f>
        <v/>
      </c>
      <c r="G379" s="54"/>
      <c r="H379" s="52" t="str">
        <f>IF(AND(I.Compliance.FulfilledPerformance&gt;0,I.Performance.RangeCount&gt;=309,F379=""),"Incomplete","Complete")</f>
        <v>Complete</v>
      </c>
      <c r="I379" s="55" t="s">
        <v>577</v>
      </c>
    </row>
    <row r="380" spans="2:9" ht="15" customHeight="1" x14ac:dyDescent="0.25">
      <c r="B380" s="51" t="s">
        <v>124</v>
      </c>
      <c r="C380" s="52">
        <v>310</v>
      </c>
      <c r="D380" s="53" t="s">
        <v>4326</v>
      </c>
      <c r="E380" s="54"/>
      <c r="F380" s="52" t="str">
        <f>IF(INDEX(I.Performance.StartRange,310)="","",INDEX(I.Performance.StartRange,310))</f>
        <v/>
      </c>
      <c r="G380" s="54"/>
      <c r="H380" s="52" t="str">
        <f>IF(AND(I.Compliance.FulfilledPerformance&gt;0,I.Performance.RangeCount&gt;=310,F380=""),"Incomplete","Complete")</f>
        <v>Complete</v>
      </c>
      <c r="I380" s="55" t="s">
        <v>578</v>
      </c>
    </row>
    <row r="381" spans="2:9" ht="15" customHeight="1" x14ac:dyDescent="0.25">
      <c r="B381" s="51" t="s">
        <v>124</v>
      </c>
      <c r="C381" s="52">
        <v>311</v>
      </c>
      <c r="D381" s="53" t="s">
        <v>4326</v>
      </c>
      <c r="E381" s="54"/>
      <c r="F381" s="52" t="str">
        <f>IF(INDEX(I.Performance.StartRange,311)="","",INDEX(I.Performance.StartRange,311))</f>
        <v/>
      </c>
      <c r="G381" s="54"/>
      <c r="H381" s="52" t="str">
        <f>IF(AND(I.Compliance.FulfilledPerformance&gt;0,I.Performance.RangeCount&gt;=311,F381=""),"Incomplete","Complete")</f>
        <v>Complete</v>
      </c>
      <c r="I381" s="55" t="s">
        <v>579</v>
      </c>
    </row>
    <row r="382" spans="2:9" ht="15" customHeight="1" x14ac:dyDescent="0.25">
      <c r="B382" s="51" t="s">
        <v>124</v>
      </c>
      <c r="C382" s="52">
        <v>312</v>
      </c>
      <c r="D382" s="53" t="s">
        <v>4326</v>
      </c>
      <c r="E382" s="54"/>
      <c r="F382" s="52" t="str">
        <f>IF(INDEX(I.Performance.StartRange,312)="","",INDEX(I.Performance.StartRange,312))</f>
        <v/>
      </c>
      <c r="G382" s="54"/>
      <c r="H382" s="52" t="str">
        <f>IF(AND(I.Compliance.FulfilledPerformance&gt;0,I.Performance.RangeCount&gt;=312,F382=""),"Incomplete","Complete")</f>
        <v>Complete</v>
      </c>
      <c r="I382" s="55" t="s">
        <v>580</v>
      </c>
    </row>
    <row r="383" spans="2:9" ht="15" customHeight="1" x14ac:dyDescent="0.25">
      <c r="B383" s="51" t="s">
        <v>124</v>
      </c>
      <c r="C383" s="52">
        <v>313</v>
      </c>
      <c r="D383" s="53" t="s">
        <v>4326</v>
      </c>
      <c r="E383" s="54"/>
      <c r="F383" s="52" t="str">
        <f>IF(INDEX(I.Performance.StartRange,313)="","",INDEX(I.Performance.StartRange,313))</f>
        <v/>
      </c>
      <c r="G383" s="54"/>
      <c r="H383" s="52" t="str">
        <f>IF(AND(I.Compliance.FulfilledPerformance&gt;0,I.Performance.RangeCount&gt;=313,F383=""),"Incomplete","Complete")</f>
        <v>Complete</v>
      </c>
      <c r="I383" s="55" t="s">
        <v>581</v>
      </c>
    </row>
    <row r="384" spans="2:9" ht="15" customHeight="1" x14ac:dyDescent="0.25">
      <c r="B384" s="51" t="s">
        <v>124</v>
      </c>
      <c r="C384" s="52">
        <v>314</v>
      </c>
      <c r="D384" s="53" t="s">
        <v>4326</v>
      </c>
      <c r="E384" s="54"/>
      <c r="F384" s="52" t="str">
        <f>IF(INDEX(I.Performance.StartRange,314)="","",INDEX(I.Performance.StartRange,314))</f>
        <v/>
      </c>
      <c r="G384" s="54"/>
      <c r="H384" s="52" t="str">
        <f>IF(AND(I.Compliance.FulfilledPerformance&gt;0,I.Performance.RangeCount&gt;=314,F384=""),"Incomplete","Complete")</f>
        <v>Complete</v>
      </c>
      <c r="I384" s="55" t="s">
        <v>582</v>
      </c>
    </row>
    <row r="385" spans="2:9" ht="15" customHeight="1" x14ac:dyDescent="0.25">
      <c r="B385" s="51" t="s">
        <v>124</v>
      </c>
      <c r="C385" s="52">
        <v>315</v>
      </c>
      <c r="D385" s="53" t="s">
        <v>4326</v>
      </c>
      <c r="E385" s="54"/>
      <c r="F385" s="52" t="str">
        <f>IF(INDEX(I.Performance.StartRange,315)="","",INDEX(I.Performance.StartRange,315))</f>
        <v/>
      </c>
      <c r="G385" s="54"/>
      <c r="H385" s="52" t="str">
        <f>IF(AND(I.Compliance.FulfilledPerformance&gt;0,I.Performance.RangeCount&gt;=315,F385=""),"Incomplete","Complete")</f>
        <v>Complete</v>
      </c>
      <c r="I385" s="55" t="s">
        <v>583</v>
      </c>
    </row>
    <row r="386" spans="2:9" ht="15" customHeight="1" x14ac:dyDescent="0.25">
      <c r="B386" s="51" t="s">
        <v>124</v>
      </c>
      <c r="C386" s="52">
        <v>316</v>
      </c>
      <c r="D386" s="53" t="s">
        <v>4326</v>
      </c>
      <c r="E386" s="54"/>
      <c r="F386" s="52" t="str">
        <f>IF(INDEX(I.Performance.StartRange,316)="","",INDEX(I.Performance.StartRange,316))</f>
        <v/>
      </c>
      <c r="G386" s="54"/>
      <c r="H386" s="52" t="str">
        <f>IF(AND(I.Compliance.FulfilledPerformance&gt;0,I.Performance.RangeCount&gt;=316,F386=""),"Incomplete","Complete")</f>
        <v>Complete</v>
      </c>
      <c r="I386" s="55" t="s">
        <v>584</v>
      </c>
    </row>
    <row r="387" spans="2:9" ht="15" customHeight="1" x14ac:dyDescent="0.25">
      <c r="B387" s="51" t="s">
        <v>124</v>
      </c>
      <c r="C387" s="52">
        <v>317</v>
      </c>
      <c r="D387" s="53" t="s">
        <v>4326</v>
      </c>
      <c r="E387" s="54"/>
      <c r="F387" s="52" t="str">
        <f>IF(INDEX(I.Performance.StartRange,317)="","",INDEX(I.Performance.StartRange,317))</f>
        <v/>
      </c>
      <c r="G387" s="54"/>
      <c r="H387" s="52" t="str">
        <f>IF(AND(I.Compliance.FulfilledPerformance&gt;0,I.Performance.RangeCount&gt;=317,F387=""),"Incomplete","Complete")</f>
        <v>Complete</v>
      </c>
      <c r="I387" s="55" t="s">
        <v>585</v>
      </c>
    </row>
    <row r="388" spans="2:9" ht="15" customHeight="1" x14ac:dyDescent="0.25">
      <c r="B388" s="51" t="s">
        <v>124</v>
      </c>
      <c r="C388" s="52">
        <v>318</v>
      </c>
      <c r="D388" s="53" t="s">
        <v>4326</v>
      </c>
      <c r="E388" s="54"/>
      <c r="F388" s="52" t="str">
        <f>IF(INDEX(I.Performance.StartRange,318)="","",INDEX(I.Performance.StartRange,318))</f>
        <v/>
      </c>
      <c r="G388" s="54"/>
      <c r="H388" s="52" t="str">
        <f>IF(AND(I.Compliance.FulfilledPerformance&gt;0,I.Performance.RangeCount&gt;=318,F388=""),"Incomplete","Complete")</f>
        <v>Complete</v>
      </c>
      <c r="I388" s="55" t="s">
        <v>586</v>
      </c>
    </row>
    <row r="389" spans="2:9" ht="15" customHeight="1" x14ac:dyDescent="0.25">
      <c r="B389" s="51" t="s">
        <v>124</v>
      </c>
      <c r="C389" s="52">
        <v>319</v>
      </c>
      <c r="D389" s="53" t="s">
        <v>4326</v>
      </c>
      <c r="E389" s="54"/>
      <c r="F389" s="52" t="str">
        <f>IF(INDEX(I.Performance.StartRange,319)="","",INDEX(I.Performance.StartRange,319))</f>
        <v/>
      </c>
      <c r="G389" s="54"/>
      <c r="H389" s="52" t="str">
        <f>IF(AND(I.Compliance.FulfilledPerformance&gt;0,I.Performance.RangeCount&gt;=319,F389=""),"Incomplete","Complete")</f>
        <v>Complete</v>
      </c>
      <c r="I389" s="55" t="s">
        <v>587</v>
      </c>
    </row>
    <row r="390" spans="2:9" ht="15" customHeight="1" x14ac:dyDescent="0.25">
      <c r="B390" s="51" t="s">
        <v>124</v>
      </c>
      <c r="C390" s="52">
        <v>320</v>
      </c>
      <c r="D390" s="53" t="s">
        <v>4326</v>
      </c>
      <c r="E390" s="54"/>
      <c r="F390" s="52" t="str">
        <f>IF(INDEX(I.Performance.StartRange,320)="","",INDEX(I.Performance.StartRange,320))</f>
        <v/>
      </c>
      <c r="G390" s="54"/>
      <c r="H390" s="52" t="str">
        <f>IF(AND(I.Compliance.FulfilledPerformance&gt;0,I.Performance.RangeCount&gt;=320,F390=""),"Incomplete","Complete")</f>
        <v>Complete</v>
      </c>
      <c r="I390" s="55" t="s">
        <v>588</v>
      </c>
    </row>
    <row r="391" spans="2:9" ht="15" customHeight="1" x14ac:dyDescent="0.25">
      <c r="B391" s="51" t="s">
        <v>124</v>
      </c>
      <c r="C391" s="52">
        <v>321</v>
      </c>
      <c r="D391" s="53" t="s">
        <v>4326</v>
      </c>
      <c r="E391" s="54"/>
      <c r="F391" s="52" t="str">
        <f>IF(INDEX(I.Performance.StartRange,321)="","",INDEX(I.Performance.StartRange,321))</f>
        <v/>
      </c>
      <c r="G391" s="54"/>
      <c r="H391" s="52" t="str">
        <f>IF(AND(I.Compliance.FulfilledPerformance&gt;0,I.Performance.RangeCount&gt;=321,F391=""),"Incomplete","Complete")</f>
        <v>Complete</v>
      </c>
      <c r="I391" s="55" t="s">
        <v>589</v>
      </c>
    </row>
    <row r="392" spans="2:9" ht="15" customHeight="1" x14ac:dyDescent="0.25">
      <c r="B392" s="51" t="s">
        <v>124</v>
      </c>
      <c r="C392" s="52">
        <v>322</v>
      </c>
      <c r="D392" s="53" t="s">
        <v>4326</v>
      </c>
      <c r="E392" s="54"/>
      <c r="F392" s="52" t="str">
        <f>IF(INDEX(I.Performance.StartRange,322)="","",INDEX(I.Performance.StartRange,322))</f>
        <v/>
      </c>
      <c r="G392" s="54"/>
      <c r="H392" s="52" t="str">
        <f>IF(AND(I.Compliance.FulfilledPerformance&gt;0,I.Performance.RangeCount&gt;=322,F392=""),"Incomplete","Complete")</f>
        <v>Complete</v>
      </c>
      <c r="I392" s="55" t="s">
        <v>590</v>
      </c>
    </row>
    <row r="393" spans="2:9" ht="15" customHeight="1" x14ac:dyDescent="0.25">
      <c r="B393" s="51" t="s">
        <v>124</v>
      </c>
      <c r="C393" s="52">
        <v>323</v>
      </c>
      <c r="D393" s="53" t="s">
        <v>4326</v>
      </c>
      <c r="E393" s="54"/>
      <c r="F393" s="52" t="str">
        <f>IF(INDEX(I.Performance.StartRange,323)="","",INDEX(I.Performance.StartRange,323))</f>
        <v/>
      </c>
      <c r="G393" s="54"/>
      <c r="H393" s="52" t="str">
        <f>IF(AND(I.Compliance.FulfilledPerformance&gt;0,I.Performance.RangeCount&gt;=323,F393=""),"Incomplete","Complete")</f>
        <v>Complete</v>
      </c>
      <c r="I393" s="55" t="s">
        <v>591</v>
      </c>
    </row>
    <row r="394" spans="2:9" ht="15" customHeight="1" x14ac:dyDescent="0.25">
      <c r="B394" s="51" t="s">
        <v>124</v>
      </c>
      <c r="C394" s="52">
        <v>324</v>
      </c>
      <c r="D394" s="53" t="s">
        <v>4326</v>
      </c>
      <c r="E394" s="54"/>
      <c r="F394" s="52" t="str">
        <f>IF(INDEX(I.Performance.StartRange,324)="","",INDEX(I.Performance.StartRange,324))</f>
        <v/>
      </c>
      <c r="G394" s="54"/>
      <c r="H394" s="52" t="str">
        <f>IF(AND(I.Compliance.FulfilledPerformance&gt;0,I.Performance.RangeCount&gt;=324,F394=""),"Incomplete","Complete")</f>
        <v>Complete</v>
      </c>
      <c r="I394" s="55" t="s">
        <v>592</v>
      </c>
    </row>
    <row r="395" spans="2:9" ht="15" customHeight="1" x14ac:dyDescent="0.25">
      <c r="B395" s="51" t="s">
        <v>124</v>
      </c>
      <c r="C395" s="52">
        <v>325</v>
      </c>
      <c r="D395" s="53" t="s">
        <v>4326</v>
      </c>
      <c r="E395" s="54"/>
      <c r="F395" s="52" t="str">
        <f>IF(INDEX(I.Performance.StartRange,325)="","",INDEX(I.Performance.StartRange,325))</f>
        <v/>
      </c>
      <c r="G395" s="54"/>
      <c r="H395" s="52" t="str">
        <f>IF(AND(I.Compliance.FulfilledPerformance&gt;0,I.Performance.RangeCount&gt;=325,F395=""),"Incomplete","Complete")</f>
        <v>Complete</v>
      </c>
      <c r="I395" s="55" t="s">
        <v>593</v>
      </c>
    </row>
    <row r="396" spans="2:9" ht="15" customHeight="1" x14ac:dyDescent="0.25">
      <c r="B396" s="51" t="s">
        <v>124</v>
      </c>
      <c r="C396" s="52">
        <v>326</v>
      </c>
      <c r="D396" s="53" t="s">
        <v>4326</v>
      </c>
      <c r="E396" s="54"/>
      <c r="F396" s="52" t="str">
        <f>IF(INDEX(I.Performance.StartRange,326)="","",INDEX(I.Performance.StartRange,326))</f>
        <v/>
      </c>
      <c r="G396" s="54"/>
      <c r="H396" s="52" t="str">
        <f>IF(AND(I.Compliance.FulfilledPerformance&gt;0,I.Performance.RangeCount&gt;=326,F396=""),"Incomplete","Complete")</f>
        <v>Complete</v>
      </c>
      <c r="I396" s="55" t="s">
        <v>594</v>
      </c>
    </row>
    <row r="397" spans="2:9" ht="15" customHeight="1" x14ac:dyDescent="0.25">
      <c r="B397" s="51" t="s">
        <v>124</v>
      </c>
      <c r="C397" s="52">
        <v>327</v>
      </c>
      <c r="D397" s="53" t="s">
        <v>4326</v>
      </c>
      <c r="E397" s="54"/>
      <c r="F397" s="52" t="str">
        <f>IF(INDEX(I.Performance.StartRange,327)="","",INDEX(I.Performance.StartRange,327))</f>
        <v/>
      </c>
      <c r="G397" s="54"/>
      <c r="H397" s="52" t="str">
        <f>IF(AND(I.Compliance.FulfilledPerformance&gt;0,I.Performance.RangeCount&gt;=327,F397=""),"Incomplete","Complete")</f>
        <v>Complete</v>
      </c>
      <c r="I397" s="55" t="s">
        <v>595</v>
      </c>
    </row>
    <row r="398" spans="2:9" ht="15" customHeight="1" x14ac:dyDescent="0.25">
      <c r="B398" s="51" t="s">
        <v>124</v>
      </c>
      <c r="C398" s="52">
        <v>328</v>
      </c>
      <c r="D398" s="53" t="s">
        <v>4326</v>
      </c>
      <c r="E398" s="54"/>
      <c r="F398" s="52" t="str">
        <f>IF(INDEX(I.Performance.StartRange,328)="","",INDEX(I.Performance.StartRange,328))</f>
        <v/>
      </c>
      <c r="G398" s="54"/>
      <c r="H398" s="52" t="str">
        <f>IF(AND(I.Compliance.FulfilledPerformance&gt;0,I.Performance.RangeCount&gt;=328,F398=""),"Incomplete","Complete")</f>
        <v>Complete</v>
      </c>
      <c r="I398" s="55" t="s">
        <v>596</v>
      </c>
    </row>
    <row r="399" spans="2:9" ht="15" customHeight="1" x14ac:dyDescent="0.25">
      <c r="B399" s="51" t="s">
        <v>124</v>
      </c>
      <c r="C399" s="52">
        <v>329</v>
      </c>
      <c r="D399" s="53" t="s">
        <v>4326</v>
      </c>
      <c r="E399" s="54"/>
      <c r="F399" s="52" t="str">
        <f>IF(INDEX(I.Performance.StartRange,329)="","",INDEX(I.Performance.StartRange,329))</f>
        <v/>
      </c>
      <c r="G399" s="54"/>
      <c r="H399" s="52" t="str">
        <f>IF(AND(I.Compliance.FulfilledPerformance&gt;0,I.Performance.RangeCount&gt;=329,F399=""),"Incomplete","Complete")</f>
        <v>Complete</v>
      </c>
      <c r="I399" s="55" t="s">
        <v>597</v>
      </c>
    </row>
    <row r="400" spans="2:9" ht="15" customHeight="1" x14ac:dyDescent="0.25">
      <c r="B400" s="51" t="s">
        <v>124</v>
      </c>
      <c r="C400" s="52">
        <v>330</v>
      </c>
      <c r="D400" s="53" t="s">
        <v>4326</v>
      </c>
      <c r="E400" s="54"/>
      <c r="F400" s="52" t="str">
        <f>IF(INDEX(I.Performance.StartRange,330)="","",INDEX(I.Performance.StartRange,330))</f>
        <v/>
      </c>
      <c r="G400" s="54"/>
      <c r="H400" s="52" t="str">
        <f>IF(AND(I.Compliance.FulfilledPerformance&gt;0,I.Performance.RangeCount&gt;=330,F400=""),"Incomplete","Complete")</f>
        <v>Complete</v>
      </c>
      <c r="I400" s="55" t="s">
        <v>598</v>
      </c>
    </row>
    <row r="401" spans="2:9" ht="15" customHeight="1" x14ac:dyDescent="0.25">
      <c r="B401" s="51" t="s">
        <v>124</v>
      </c>
      <c r="C401" s="52">
        <v>331</v>
      </c>
      <c r="D401" s="53" t="s">
        <v>4326</v>
      </c>
      <c r="E401" s="54"/>
      <c r="F401" s="52" t="str">
        <f>IF(INDEX(I.Performance.StartRange,331)="","",INDEX(I.Performance.StartRange,331))</f>
        <v/>
      </c>
      <c r="G401" s="54"/>
      <c r="H401" s="52" t="str">
        <f>IF(AND(I.Compliance.FulfilledPerformance&gt;0,I.Performance.RangeCount&gt;=331,F401=""),"Incomplete","Complete")</f>
        <v>Complete</v>
      </c>
      <c r="I401" s="55" t="s">
        <v>599</v>
      </c>
    </row>
    <row r="402" spans="2:9" ht="15" customHeight="1" x14ac:dyDescent="0.25">
      <c r="B402" s="51" t="s">
        <v>124</v>
      </c>
      <c r="C402" s="52">
        <v>332</v>
      </c>
      <c r="D402" s="53" t="s">
        <v>4326</v>
      </c>
      <c r="E402" s="54"/>
      <c r="F402" s="52" t="str">
        <f>IF(INDEX(I.Performance.StartRange,332)="","",INDEX(I.Performance.StartRange,332))</f>
        <v/>
      </c>
      <c r="G402" s="54"/>
      <c r="H402" s="52" t="str">
        <f>IF(AND(I.Compliance.FulfilledPerformance&gt;0,I.Performance.RangeCount&gt;=332,F402=""),"Incomplete","Complete")</f>
        <v>Complete</v>
      </c>
      <c r="I402" s="55" t="s">
        <v>600</v>
      </c>
    </row>
    <row r="403" spans="2:9" ht="15" customHeight="1" x14ac:dyDescent="0.25">
      <c r="B403" s="51" t="s">
        <v>124</v>
      </c>
      <c r="C403" s="52">
        <v>333</v>
      </c>
      <c r="D403" s="53" t="s">
        <v>4326</v>
      </c>
      <c r="E403" s="54"/>
      <c r="F403" s="52" t="str">
        <f>IF(INDEX(I.Performance.StartRange,333)="","",INDEX(I.Performance.StartRange,333))</f>
        <v/>
      </c>
      <c r="G403" s="54"/>
      <c r="H403" s="52" t="str">
        <f>IF(AND(I.Compliance.FulfilledPerformance&gt;0,I.Performance.RangeCount&gt;=333,F403=""),"Incomplete","Complete")</f>
        <v>Complete</v>
      </c>
      <c r="I403" s="55" t="s">
        <v>601</v>
      </c>
    </row>
    <row r="404" spans="2:9" ht="15" customHeight="1" x14ac:dyDescent="0.25">
      <c r="B404" s="51" t="s">
        <v>124</v>
      </c>
      <c r="C404" s="52">
        <v>334</v>
      </c>
      <c r="D404" s="53" t="s">
        <v>4326</v>
      </c>
      <c r="E404" s="54"/>
      <c r="F404" s="52" t="str">
        <f>IF(INDEX(I.Performance.StartRange,334)="","",INDEX(I.Performance.StartRange,334))</f>
        <v/>
      </c>
      <c r="G404" s="54"/>
      <c r="H404" s="52" t="str">
        <f>IF(AND(I.Compliance.FulfilledPerformance&gt;0,I.Performance.RangeCount&gt;=334,F404=""),"Incomplete","Complete")</f>
        <v>Complete</v>
      </c>
      <c r="I404" s="55" t="s">
        <v>602</v>
      </c>
    </row>
    <row r="405" spans="2:9" ht="15" customHeight="1" x14ac:dyDescent="0.25">
      <c r="B405" s="51" t="s">
        <v>124</v>
      </c>
      <c r="C405" s="52">
        <v>335</v>
      </c>
      <c r="D405" s="53" t="s">
        <v>4326</v>
      </c>
      <c r="E405" s="54"/>
      <c r="F405" s="52" t="str">
        <f>IF(INDEX(I.Performance.StartRange,335)="","",INDEX(I.Performance.StartRange,335))</f>
        <v/>
      </c>
      <c r="G405" s="54"/>
      <c r="H405" s="52" t="str">
        <f>IF(AND(I.Compliance.FulfilledPerformance&gt;0,I.Performance.RangeCount&gt;=335,F405=""),"Incomplete","Complete")</f>
        <v>Complete</v>
      </c>
      <c r="I405" s="55" t="s">
        <v>603</v>
      </c>
    </row>
    <row r="406" spans="2:9" ht="15" customHeight="1" x14ac:dyDescent="0.25">
      <c r="B406" s="51" t="s">
        <v>124</v>
      </c>
      <c r="C406" s="52">
        <v>336</v>
      </c>
      <c r="D406" s="53" t="s">
        <v>4326</v>
      </c>
      <c r="E406" s="54"/>
      <c r="F406" s="52" t="str">
        <f>IF(INDEX(I.Performance.StartRange,336)="","",INDEX(I.Performance.StartRange,336))</f>
        <v/>
      </c>
      <c r="G406" s="54"/>
      <c r="H406" s="52" t="str">
        <f>IF(AND(I.Compliance.FulfilledPerformance&gt;0,I.Performance.RangeCount&gt;=336,F406=""),"Incomplete","Complete")</f>
        <v>Complete</v>
      </c>
      <c r="I406" s="55" t="s">
        <v>604</v>
      </c>
    </row>
    <row r="407" spans="2:9" ht="15" customHeight="1" x14ac:dyDescent="0.25">
      <c r="B407" s="51" t="s">
        <v>124</v>
      </c>
      <c r="C407" s="52">
        <v>337</v>
      </c>
      <c r="D407" s="53" t="s">
        <v>4326</v>
      </c>
      <c r="E407" s="54"/>
      <c r="F407" s="52" t="str">
        <f>IF(INDEX(I.Performance.StartRange,337)="","",INDEX(I.Performance.StartRange,337))</f>
        <v/>
      </c>
      <c r="G407" s="54"/>
      <c r="H407" s="52" t="str">
        <f>IF(AND(I.Compliance.FulfilledPerformance&gt;0,I.Performance.RangeCount&gt;=337,F407=""),"Incomplete","Complete")</f>
        <v>Complete</v>
      </c>
      <c r="I407" s="55" t="s">
        <v>605</v>
      </c>
    </row>
    <row r="408" spans="2:9" ht="15" customHeight="1" x14ac:dyDescent="0.25">
      <c r="B408" s="51" t="s">
        <v>124</v>
      </c>
      <c r="C408" s="52">
        <v>338</v>
      </c>
      <c r="D408" s="53" t="s">
        <v>4326</v>
      </c>
      <c r="E408" s="54"/>
      <c r="F408" s="52" t="str">
        <f>IF(INDEX(I.Performance.StartRange,338)="","",INDEX(I.Performance.StartRange,338))</f>
        <v/>
      </c>
      <c r="G408" s="54"/>
      <c r="H408" s="52" t="str">
        <f>IF(AND(I.Compliance.FulfilledPerformance&gt;0,I.Performance.RangeCount&gt;=338,F408=""),"Incomplete","Complete")</f>
        <v>Complete</v>
      </c>
      <c r="I408" s="55" t="s">
        <v>606</v>
      </c>
    </row>
    <row r="409" spans="2:9" ht="15" customHeight="1" x14ac:dyDescent="0.25">
      <c r="B409" s="51" t="s">
        <v>124</v>
      </c>
      <c r="C409" s="52">
        <v>339</v>
      </c>
      <c r="D409" s="53" t="s">
        <v>4326</v>
      </c>
      <c r="E409" s="54"/>
      <c r="F409" s="52" t="str">
        <f>IF(INDEX(I.Performance.StartRange,339)="","",INDEX(I.Performance.StartRange,339))</f>
        <v/>
      </c>
      <c r="G409" s="54"/>
      <c r="H409" s="52" t="str">
        <f>IF(AND(I.Compliance.FulfilledPerformance&gt;0,I.Performance.RangeCount&gt;=339,F409=""),"Incomplete","Complete")</f>
        <v>Complete</v>
      </c>
      <c r="I409" s="55" t="s">
        <v>607</v>
      </c>
    </row>
    <row r="410" spans="2:9" ht="15" customHeight="1" x14ac:dyDescent="0.25">
      <c r="B410" s="51" t="s">
        <v>124</v>
      </c>
      <c r="C410" s="52">
        <v>340</v>
      </c>
      <c r="D410" s="53" t="s">
        <v>4326</v>
      </c>
      <c r="E410" s="54"/>
      <c r="F410" s="52" t="str">
        <f>IF(INDEX(I.Performance.StartRange,340)="","",INDEX(I.Performance.StartRange,340))</f>
        <v/>
      </c>
      <c r="G410" s="54"/>
      <c r="H410" s="52" t="str">
        <f>IF(AND(I.Compliance.FulfilledPerformance&gt;0,I.Performance.RangeCount&gt;=340,F410=""),"Incomplete","Complete")</f>
        <v>Complete</v>
      </c>
      <c r="I410" s="55" t="s">
        <v>608</v>
      </c>
    </row>
    <row r="411" spans="2:9" ht="15" customHeight="1" x14ac:dyDescent="0.25">
      <c r="B411" s="51" t="s">
        <v>124</v>
      </c>
      <c r="C411" s="52">
        <v>341</v>
      </c>
      <c r="D411" s="53" t="s">
        <v>4326</v>
      </c>
      <c r="E411" s="54"/>
      <c r="F411" s="52" t="str">
        <f>IF(INDEX(I.Performance.StartRange,341)="","",INDEX(I.Performance.StartRange,341))</f>
        <v/>
      </c>
      <c r="G411" s="54"/>
      <c r="H411" s="52" t="str">
        <f>IF(AND(I.Compliance.FulfilledPerformance&gt;0,I.Performance.RangeCount&gt;=341,F411=""),"Incomplete","Complete")</f>
        <v>Complete</v>
      </c>
      <c r="I411" s="55" t="s">
        <v>609</v>
      </c>
    </row>
    <row r="412" spans="2:9" ht="15" customHeight="1" x14ac:dyDescent="0.25">
      <c r="B412" s="51" t="s">
        <v>124</v>
      </c>
      <c r="C412" s="52">
        <v>342</v>
      </c>
      <c r="D412" s="53" t="s">
        <v>4326</v>
      </c>
      <c r="E412" s="54"/>
      <c r="F412" s="52" t="str">
        <f>IF(INDEX(I.Performance.StartRange,342)="","",INDEX(I.Performance.StartRange,342))</f>
        <v/>
      </c>
      <c r="G412" s="54"/>
      <c r="H412" s="52" t="str">
        <f>IF(AND(I.Compliance.FulfilledPerformance&gt;0,I.Performance.RangeCount&gt;=342,F412=""),"Incomplete","Complete")</f>
        <v>Complete</v>
      </c>
      <c r="I412" s="55" t="s">
        <v>610</v>
      </c>
    </row>
    <row r="413" spans="2:9" ht="15" customHeight="1" x14ac:dyDescent="0.25">
      <c r="B413" s="51" t="s">
        <v>124</v>
      </c>
      <c r="C413" s="52">
        <v>343</v>
      </c>
      <c r="D413" s="53" t="s">
        <v>4326</v>
      </c>
      <c r="E413" s="54"/>
      <c r="F413" s="52" t="str">
        <f>IF(INDEX(I.Performance.StartRange,343)="","",INDEX(I.Performance.StartRange,343))</f>
        <v/>
      </c>
      <c r="G413" s="54"/>
      <c r="H413" s="52" t="str">
        <f>IF(AND(I.Compliance.FulfilledPerformance&gt;0,I.Performance.RangeCount&gt;=343,F413=""),"Incomplete","Complete")</f>
        <v>Complete</v>
      </c>
      <c r="I413" s="55" t="s">
        <v>611</v>
      </c>
    </row>
    <row r="414" spans="2:9" ht="15" customHeight="1" x14ac:dyDescent="0.25">
      <c r="B414" s="51" t="s">
        <v>124</v>
      </c>
      <c r="C414" s="52">
        <v>344</v>
      </c>
      <c r="D414" s="53" t="s">
        <v>4326</v>
      </c>
      <c r="E414" s="54"/>
      <c r="F414" s="52" t="str">
        <f>IF(INDEX(I.Performance.StartRange,344)="","",INDEX(I.Performance.StartRange,344))</f>
        <v/>
      </c>
      <c r="G414" s="54"/>
      <c r="H414" s="52" t="str">
        <f>IF(AND(I.Compliance.FulfilledPerformance&gt;0,I.Performance.RangeCount&gt;=344,F414=""),"Incomplete","Complete")</f>
        <v>Complete</v>
      </c>
      <c r="I414" s="55" t="s">
        <v>612</v>
      </c>
    </row>
    <row r="415" spans="2:9" ht="15" customHeight="1" x14ac:dyDescent="0.25">
      <c r="B415" s="51" t="s">
        <v>124</v>
      </c>
      <c r="C415" s="52">
        <v>345</v>
      </c>
      <c r="D415" s="53" t="s">
        <v>4326</v>
      </c>
      <c r="E415" s="54"/>
      <c r="F415" s="52" t="str">
        <f>IF(INDEX(I.Performance.StartRange,345)="","",INDEX(I.Performance.StartRange,345))</f>
        <v/>
      </c>
      <c r="G415" s="54"/>
      <c r="H415" s="52" t="str">
        <f>IF(AND(I.Compliance.FulfilledPerformance&gt;0,I.Performance.RangeCount&gt;=345,F415=""),"Incomplete","Complete")</f>
        <v>Complete</v>
      </c>
      <c r="I415" s="55" t="s">
        <v>613</v>
      </c>
    </row>
    <row r="416" spans="2:9" ht="15" customHeight="1" x14ac:dyDescent="0.25">
      <c r="B416" s="51" t="s">
        <v>124</v>
      </c>
      <c r="C416" s="52">
        <v>346</v>
      </c>
      <c r="D416" s="53" t="s">
        <v>4326</v>
      </c>
      <c r="E416" s="54"/>
      <c r="F416" s="52" t="str">
        <f>IF(INDEX(I.Performance.StartRange,346)="","",INDEX(I.Performance.StartRange,346))</f>
        <v/>
      </c>
      <c r="G416" s="54"/>
      <c r="H416" s="52" t="str">
        <f>IF(AND(I.Compliance.FulfilledPerformance&gt;0,I.Performance.RangeCount&gt;=346,F416=""),"Incomplete","Complete")</f>
        <v>Complete</v>
      </c>
      <c r="I416" s="55" t="s">
        <v>614</v>
      </c>
    </row>
    <row r="417" spans="2:9" ht="15" customHeight="1" x14ac:dyDescent="0.25">
      <c r="B417" s="51" t="s">
        <v>124</v>
      </c>
      <c r="C417" s="52">
        <v>347</v>
      </c>
      <c r="D417" s="53" t="s">
        <v>4326</v>
      </c>
      <c r="E417" s="54"/>
      <c r="F417" s="52" t="str">
        <f>IF(INDEX(I.Performance.StartRange,347)="","",INDEX(I.Performance.StartRange,347))</f>
        <v/>
      </c>
      <c r="G417" s="54"/>
      <c r="H417" s="52" t="str">
        <f>IF(AND(I.Compliance.FulfilledPerformance&gt;0,I.Performance.RangeCount&gt;=347,F417=""),"Incomplete","Complete")</f>
        <v>Complete</v>
      </c>
      <c r="I417" s="55" t="s">
        <v>615</v>
      </c>
    </row>
    <row r="418" spans="2:9" ht="15" customHeight="1" x14ac:dyDescent="0.25">
      <c r="B418" s="51" t="s">
        <v>124</v>
      </c>
      <c r="C418" s="52">
        <v>348</v>
      </c>
      <c r="D418" s="53" t="s">
        <v>4326</v>
      </c>
      <c r="E418" s="54"/>
      <c r="F418" s="52" t="str">
        <f>IF(INDEX(I.Performance.StartRange,348)="","",INDEX(I.Performance.StartRange,348))</f>
        <v/>
      </c>
      <c r="G418" s="54"/>
      <c r="H418" s="52" t="str">
        <f>IF(AND(I.Compliance.FulfilledPerformance&gt;0,I.Performance.RangeCount&gt;=348,F418=""),"Incomplete","Complete")</f>
        <v>Complete</v>
      </c>
      <c r="I418" s="55" t="s">
        <v>616</v>
      </c>
    </row>
    <row r="419" spans="2:9" ht="15" customHeight="1" x14ac:dyDescent="0.25">
      <c r="B419" s="51" t="s">
        <v>124</v>
      </c>
      <c r="C419" s="52">
        <v>349</v>
      </c>
      <c r="D419" s="53" t="s">
        <v>4326</v>
      </c>
      <c r="E419" s="54"/>
      <c r="F419" s="52" t="str">
        <f>IF(INDEX(I.Performance.StartRange,349)="","",INDEX(I.Performance.StartRange,349))</f>
        <v/>
      </c>
      <c r="G419" s="54"/>
      <c r="H419" s="52" t="str">
        <f>IF(AND(I.Compliance.FulfilledPerformance&gt;0,I.Performance.RangeCount&gt;=349,F419=""),"Incomplete","Complete")</f>
        <v>Complete</v>
      </c>
      <c r="I419" s="55" t="s">
        <v>617</v>
      </c>
    </row>
    <row r="420" spans="2:9" ht="15" customHeight="1" x14ac:dyDescent="0.25">
      <c r="B420" s="51" t="s">
        <v>124</v>
      </c>
      <c r="C420" s="52">
        <v>350</v>
      </c>
      <c r="D420" s="53" t="s">
        <v>4326</v>
      </c>
      <c r="E420" s="54"/>
      <c r="F420" s="52" t="str">
        <f>IF(INDEX(I.Performance.StartRange,350)="","",INDEX(I.Performance.StartRange,350))</f>
        <v/>
      </c>
      <c r="G420" s="54"/>
      <c r="H420" s="52" t="str">
        <f>IF(AND(I.Compliance.FulfilledPerformance&gt;0,I.Performance.RangeCount&gt;=350,F420=""),"Incomplete","Complete")</f>
        <v>Complete</v>
      </c>
      <c r="I420" s="55" t="s">
        <v>618</v>
      </c>
    </row>
    <row r="421" spans="2:9" ht="15" customHeight="1" x14ac:dyDescent="0.25">
      <c r="B421" s="51" t="s">
        <v>124</v>
      </c>
      <c r="C421" s="52">
        <v>351</v>
      </c>
      <c r="D421" s="53" t="s">
        <v>4326</v>
      </c>
      <c r="E421" s="54"/>
      <c r="F421" s="52" t="str">
        <f>IF(INDEX(I.Performance.StartRange,351)="","",INDEX(I.Performance.StartRange,351))</f>
        <v/>
      </c>
      <c r="G421" s="54"/>
      <c r="H421" s="52" t="str">
        <f>IF(AND(I.Compliance.FulfilledPerformance&gt;0,I.Performance.RangeCount&gt;=351,F421=""),"Incomplete","Complete")</f>
        <v>Complete</v>
      </c>
      <c r="I421" s="55" t="s">
        <v>619</v>
      </c>
    </row>
    <row r="422" spans="2:9" ht="15" customHeight="1" x14ac:dyDescent="0.25">
      <c r="B422" s="51" t="s">
        <v>124</v>
      </c>
      <c r="C422" s="52">
        <v>352</v>
      </c>
      <c r="D422" s="53" t="s">
        <v>4326</v>
      </c>
      <c r="E422" s="54"/>
      <c r="F422" s="52" t="str">
        <f>IF(INDEX(I.Performance.StartRange,352)="","",INDEX(I.Performance.StartRange,352))</f>
        <v/>
      </c>
      <c r="G422" s="54"/>
      <c r="H422" s="52" t="str">
        <f>IF(AND(I.Compliance.FulfilledPerformance&gt;0,I.Performance.RangeCount&gt;=352,F422=""),"Incomplete","Complete")</f>
        <v>Complete</v>
      </c>
      <c r="I422" s="55" t="s">
        <v>620</v>
      </c>
    </row>
    <row r="423" spans="2:9" ht="15" customHeight="1" x14ac:dyDescent="0.25">
      <c r="B423" s="51" t="s">
        <v>124</v>
      </c>
      <c r="C423" s="52">
        <v>353</v>
      </c>
      <c r="D423" s="53" t="s">
        <v>4326</v>
      </c>
      <c r="E423" s="54"/>
      <c r="F423" s="52" t="str">
        <f>IF(INDEX(I.Performance.StartRange,353)="","",INDEX(I.Performance.StartRange,353))</f>
        <v/>
      </c>
      <c r="G423" s="54"/>
      <c r="H423" s="52" t="str">
        <f>IF(AND(I.Compliance.FulfilledPerformance&gt;0,I.Performance.RangeCount&gt;=353,F423=""),"Incomplete","Complete")</f>
        <v>Complete</v>
      </c>
      <c r="I423" s="55" t="s">
        <v>621</v>
      </c>
    </row>
    <row r="424" spans="2:9" ht="15" customHeight="1" x14ac:dyDescent="0.25">
      <c r="B424" s="51" t="s">
        <v>124</v>
      </c>
      <c r="C424" s="52">
        <v>354</v>
      </c>
      <c r="D424" s="53" t="s">
        <v>4326</v>
      </c>
      <c r="E424" s="54"/>
      <c r="F424" s="52" t="str">
        <f>IF(INDEX(I.Performance.StartRange,354)="","",INDEX(I.Performance.StartRange,354))</f>
        <v/>
      </c>
      <c r="G424" s="54"/>
      <c r="H424" s="52" t="str">
        <f>IF(AND(I.Compliance.FulfilledPerformance&gt;0,I.Performance.RangeCount&gt;=354,F424=""),"Incomplete","Complete")</f>
        <v>Complete</v>
      </c>
      <c r="I424" s="55" t="s">
        <v>622</v>
      </c>
    </row>
    <row r="425" spans="2:9" ht="15" customHeight="1" x14ac:dyDescent="0.25">
      <c r="B425" s="51" t="s">
        <v>124</v>
      </c>
      <c r="C425" s="52">
        <v>355</v>
      </c>
      <c r="D425" s="53" t="s">
        <v>4326</v>
      </c>
      <c r="E425" s="54"/>
      <c r="F425" s="52" t="str">
        <f>IF(INDEX(I.Performance.StartRange,355)="","",INDEX(I.Performance.StartRange,355))</f>
        <v/>
      </c>
      <c r="G425" s="54"/>
      <c r="H425" s="52" t="str">
        <f>IF(AND(I.Compliance.FulfilledPerformance&gt;0,I.Performance.RangeCount&gt;=355,F425=""),"Incomplete","Complete")</f>
        <v>Complete</v>
      </c>
      <c r="I425" s="55" t="s">
        <v>623</v>
      </c>
    </row>
    <row r="426" spans="2:9" ht="15" customHeight="1" x14ac:dyDescent="0.25">
      <c r="B426" s="51" t="s">
        <v>124</v>
      </c>
      <c r="C426" s="52">
        <v>356</v>
      </c>
      <c r="D426" s="53" t="s">
        <v>4326</v>
      </c>
      <c r="E426" s="54"/>
      <c r="F426" s="52" t="str">
        <f>IF(INDEX(I.Performance.StartRange,356)="","",INDEX(I.Performance.StartRange,356))</f>
        <v/>
      </c>
      <c r="G426" s="54"/>
      <c r="H426" s="52" t="str">
        <f>IF(AND(I.Compliance.FulfilledPerformance&gt;0,I.Performance.RangeCount&gt;=356,F426=""),"Incomplete","Complete")</f>
        <v>Complete</v>
      </c>
      <c r="I426" s="55" t="s">
        <v>624</v>
      </c>
    </row>
    <row r="427" spans="2:9" ht="15" customHeight="1" x14ac:dyDescent="0.25">
      <c r="B427" s="51" t="s">
        <v>124</v>
      </c>
      <c r="C427" s="52">
        <v>357</v>
      </c>
      <c r="D427" s="53" t="s">
        <v>4326</v>
      </c>
      <c r="E427" s="54"/>
      <c r="F427" s="52" t="str">
        <f>IF(INDEX(I.Performance.StartRange,357)="","",INDEX(I.Performance.StartRange,357))</f>
        <v/>
      </c>
      <c r="G427" s="54"/>
      <c r="H427" s="52" t="str">
        <f>IF(AND(I.Compliance.FulfilledPerformance&gt;0,I.Performance.RangeCount&gt;=357,F427=""),"Incomplete","Complete")</f>
        <v>Complete</v>
      </c>
      <c r="I427" s="55" t="s">
        <v>625</v>
      </c>
    </row>
    <row r="428" spans="2:9" ht="15" customHeight="1" x14ac:dyDescent="0.25">
      <c r="B428" s="51" t="s">
        <v>124</v>
      </c>
      <c r="C428" s="52">
        <v>358</v>
      </c>
      <c r="D428" s="53" t="s">
        <v>4326</v>
      </c>
      <c r="E428" s="54"/>
      <c r="F428" s="52" t="str">
        <f>IF(INDEX(I.Performance.StartRange,358)="","",INDEX(I.Performance.StartRange,358))</f>
        <v/>
      </c>
      <c r="G428" s="54"/>
      <c r="H428" s="52" t="str">
        <f>IF(AND(I.Compliance.FulfilledPerformance&gt;0,I.Performance.RangeCount&gt;=358,F428=""),"Incomplete","Complete")</f>
        <v>Complete</v>
      </c>
      <c r="I428" s="55" t="s">
        <v>626</v>
      </c>
    </row>
    <row r="429" spans="2:9" ht="15" customHeight="1" x14ac:dyDescent="0.25">
      <c r="B429" s="51" t="s">
        <v>124</v>
      </c>
      <c r="C429" s="52">
        <v>359</v>
      </c>
      <c r="D429" s="53" t="s">
        <v>4326</v>
      </c>
      <c r="E429" s="54"/>
      <c r="F429" s="52" t="str">
        <f>IF(INDEX(I.Performance.StartRange,359)="","",INDEX(I.Performance.StartRange,359))</f>
        <v/>
      </c>
      <c r="G429" s="54"/>
      <c r="H429" s="52" t="str">
        <f>IF(AND(I.Compliance.FulfilledPerformance&gt;0,I.Performance.RangeCount&gt;=359,F429=""),"Incomplete","Complete")</f>
        <v>Complete</v>
      </c>
      <c r="I429" s="55" t="s">
        <v>627</v>
      </c>
    </row>
    <row r="430" spans="2:9" ht="15" customHeight="1" x14ac:dyDescent="0.25">
      <c r="B430" s="51" t="s">
        <v>124</v>
      </c>
      <c r="C430" s="52">
        <v>360</v>
      </c>
      <c r="D430" s="53" t="s">
        <v>4326</v>
      </c>
      <c r="E430" s="54"/>
      <c r="F430" s="52" t="str">
        <f>IF(INDEX(I.Performance.StartRange,360)="","",INDEX(I.Performance.StartRange,360))</f>
        <v/>
      </c>
      <c r="G430" s="54"/>
      <c r="H430" s="52" t="str">
        <f>IF(AND(I.Compliance.FulfilledPerformance&gt;0,I.Performance.RangeCount&gt;=360,F430=""),"Incomplete","Complete")</f>
        <v>Complete</v>
      </c>
      <c r="I430" s="55" t="s">
        <v>628</v>
      </c>
    </row>
    <row r="431" spans="2:9" ht="15" customHeight="1" x14ac:dyDescent="0.25">
      <c r="B431" s="51" t="s">
        <v>124</v>
      </c>
      <c r="C431" s="52">
        <v>361</v>
      </c>
      <c r="D431" s="53" t="s">
        <v>4326</v>
      </c>
      <c r="E431" s="54"/>
      <c r="F431" s="52" t="str">
        <f>IF(INDEX(I.Performance.StartRange,361)="","",INDEX(I.Performance.StartRange,361))</f>
        <v/>
      </c>
      <c r="G431" s="54"/>
      <c r="H431" s="52" t="str">
        <f>IF(AND(I.Compliance.FulfilledPerformance&gt;0,I.Performance.RangeCount&gt;=361,F431=""),"Incomplete","Complete")</f>
        <v>Complete</v>
      </c>
      <c r="I431" s="55" t="s">
        <v>629</v>
      </c>
    </row>
    <row r="432" spans="2:9" ht="15" customHeight="1" x14ac:dyDescent="0.25">
      <c r="B432" s="51" t="s">
        <v>124</v>
      </c>
      <c r="C432" s="52">
        <v>362</v>
      </c>
      <c r="D432" s="53" t="s">
        <v>4326</v>
      </c>
      <c r="E432" s="54"/>
      <c r="F432" s="52" t="str">
        <f>IF(INDEX(I.Performance.StartRange,362)="","",INDEX(I.Performance.StartRange,362))</f>
        <v/>
      </c>
      <c r="G432" s="54"/>
      <c r="H432" s="52" t="str">
        <f>IF(AND(I.Compliance.FulfilledPerformance&gt;0,I.Performance.RangeCount&gt;=362,F432=""),"Incomplete","Complete")</f>
        <v>Complete</v>
      </c>
      <c r="I432" s="55" t="s">
        <v>630</v>
      </c>
    </row>
    <row r="433" spans="2:9" ht="15" customHeight="1" x14ac:dyDescent="0.25">
      <c r="B433" s="51" t="s">
        <v>124</v>
      </c>
      <c r="C433" s="52">
        <v>363</v>
      </c>
      <c r="D433" s="53" t="s">
        <v>4326</v>
      </c>
      <c r="E433" s="54"/>
      <c r="F433" s="52" t="str">
        <f>IF(INDEX(I.Performance.StartRange,363)="","",INDEX(I.Performance.StartRange,363))</f>
        <v/>
      </c>
      <c r="G433" s="54"/>
      <c r="H433" s="52" t="str">
        <f>IF(AND(I.Compliance.FulfilledPerformance&gt;0,I.Performance.RangeCount&gt;=363,F433=""),"Incomplete","Complete")</f>
        <v>Complete</v>
      </c>
      <c r="I433" s="55" t="s">
        <v>631</v>
      </c>
    </row>
    <row r="434" spans="2:9" ht="15" customHeight="1" x14ac:dyDescent="0.25">
      <c r="B434" s="51" t="s">
        <v>124</v>
      </c>
      <c r="C434" s="52">
        <v>364</v>
      </c>
      <c r="D434" s="53" t="s">
        <v>4326</v>
      </c>
      <c r="E434" s="54"/>
      <c r="F434" s="52" t="str">
        <f>IF(INDEX(I.Performance.StartRange,364)="","",INDEX(I.Performance.StartRange,364))</f>
        <v/>
      </c>
      <c r="G434" s="54"/>
      <c r="H434" s="52" t="str">
        <f>IF(AND(I.Compliance.FulfilledPerformance&gt;0,I.Performance.RangeCount&gt;=364,F434=""),"Incomplete","Complete")</f>
        <v>Complete</v>
      </c>
      <c r="I434" s="55" t="s">
        <v>632</v>
      </c>
    </row>
    <row r="435" spans="2:9" ht="15" customHeight="1" x14ac:dyDescent="0.25">
      <c r="B435" s="51" t="s">
        <v>124</v>
      </c>
      <c r="C435" s="52">
        <v>365</v>
      </c>
      <c r="D435" s="53" t="s">
        <v>4326</v>
      </c>
      <c r="E435" s="54"/>
      <c r="F435" s="52" t="str">
        <f>IF(INDEX(I.Performance.StartRange,365)="","",INDEX(I.Performance.StartRange,365))</f>
        <v/>
      </c>
      <c r="G435" s="54"/>
      <c r="H435" s="52" t="str">
        <f>IF(AND(I.Compliance.FulfilledPerformance&gt;0,I.Performance.RangeCount&gt;=365,F435=""),"Incomplete","Complete")</f>
        <v>Complete</v>
      </c>
      <c r="I435" s="55" t="s">
        <v>633</v>
      </c>
    </row>
    <row r="436" spans="2:9" ht="15" customHeight="1" x14ac:dyDescent="0.25">
      <c r="B436" s="51" t="s">
        <v>124</v>
      </c>
      <c r="C436" s="52">
        <v>366</v>
      </c>
      <c r="D436" s="53" t="s">
        <v>4326</v>
      </c>
      <c r="E436" s="54"/>
      <c r="F436" s="52" t="str">
        <f>IF(INDEX(I.Performance.StartRange,366)="","",INDEX(I.Performance.StartRange,366))</f>
        <v/>
      </c>
      <c r="G436" s="54"/>
      <c r="H436" s="52" t="str">
        <f>IF(AND(I.Compliance.FulfilledPerformance&gt;0,I.Performance.RangeCount&gt;=366,F436=""),"Incomplete","Complete")</f>
        <v>Complete</v>
      </c>
      <c r="I436" s="55" t="s">
        <v>634</v>
      </c>
    </row>
    <row r="437" spans="2:9" ht="15" customHeight="1" x14ac:dyDescent="0.25">
      <c r="B437" s="51" t="s">
        <v>124</v>
      </c>
      <c r="C437" s="52">
        <v>367</v>
      </c>
      <c r="D437" s="53" t="s">
        <v>4326</v>
      </c>
      <c r="E437" s="54"/>
      <c r="F437" s="52" t="str">
        <f>IF(INDEX(I.Performance.StartRange,367)="","",INDEX(I.Performance.StartRange,367))</f>
        <v/>
      </c>
      <c r="G437" s="54"/>
      <c r="H437" s="52" t="str">
        <f>IF(AND(I.Compliance.FulfilledPerformance&gt;0,I.Performance.RangeCount&gt;=367,F437=""),"Incomplete","Complete")</f>
        <v>Complete</v>
      </c>
      <c r="I437" s="55" t="s">
        <v>635</v>
      </c>
    </row>
    <row r="438" spans="2:9" ht="15" customHeight="1" x14ac:dyDescent="0.25">
      <c r="B438" s="51" t="s">
        <v>124</v>
      </c>
      <c r="C438" s="52">
        <v>368</v>
      </c>
      <c r="D438" s="53" t="s">
        <v>4326</v>
      </c>
      <c r="E438" s="54"/>
      <c r="F438" s="52" t="str">
        <f>IF(INDEX(I.Performance.StartRange,368)="","",INDEX(I.Performance.StartRange,368))</f>
        <v/>
      </c>
      <c r="G438" s="54"/>
      <c r="H438" s="52" t="str">
        <f>IF(AND(I.Compliance.FulfilledPerformance&gt;0,I.Performance.RangeCount&gt;=368,F438=""),"Incomplete","Complete")</f>
        <v>Complete</v>
      </c>
      <c r="I438" s="55" t="s">
        <v>636</v>
      </c>
    </row>
    <row r="439" spans="2:9" ht="15" customHeight="1" x14ac:dyDescent="0.25">
      <c r="B439" s="51" t="s">
        <v>124</v>
      </c>
      <c r="C439" s="52">
        <v>369</v>
      </c>
      <c r="D439" s="53" t="s">
        <v>4326</v>
      </c>
      <c r="E439" s="54"/>
      <c r="F439" s="52" t="str">
        <f>IF(INDEX(I.Performance.StartRange,369)="","",INDEX(I.Performance.StartRange,369))</f>
        <v/>
      </c>
      <c r="G439" s="54"/>
      <c r="H439" s="52" t="str">
        <f>IF(AND(I.Compliance.FulfilledPerformance&gt;0,I.Performance.RangeCount&gt;=369,F439=""),"Incomplete","Complete")</f>
        <v>Complete</v>
      </c>
      <c r="I439" s="55" t="s">
        <v>637</v>
      </c>
    </row>
    <row r="440" spans="2:9" ht="15" customHeight="1" x14ac:dyDescent="0.25">
      <c r="B440" s="51" t="s">
        <v>124</v>
      </c>
      <c r="C440" s="52">
        <v>370</v>
      </c>
      <c r="D440" s="53" t="s">
        <v>4326</v>
      </c>
      <c r="E440" s="54"/>
      <c r="F440" s="52" t="str">
        <f>IF(INDEX(I.Performance.StartRange,370)="","",INDEX(I.Performance.StartRange,370))</f>
        <v/>
      </c>
      <c r="G440" s="54"/>
      <c r="H440" s="52" t="str">
        <f>IF(AND(I.Compliance.FulfilledPerformance&gt;0,I.Performance.RangeCount&gt;=370,F440=""),"Incomplete","Complete")</f>
        <v>Complete</v>
      </c>
      <c r="I440" s="55" t="s">
        <v>638</v>
      </c>
    </row>
    <row r="441" spans="2:9" ht="15" customHeight="1" x14ac:dyDescent="0.25">
      <c r="B441" s="51" t="s">
        <v>124</v>
      </c>
      <c r="C441" s="52">
        <v>371</v>
      </c>
      <c r="D441" s="53" t="s">
        <v>4326</v>
      </c>
      <c r="E441" s="54"/>
      <c r="F441" s="52" t="str">
        <f>IF(INDEX(I.Performance.StartRange,371)="","",INDEX(I.Performance.StartRange,371))</f>
        <v/>
      </c>
      <c r="G441" s="54"/>
      <c r="H441" s="52" t="str">
        <f>IF(AND(I.Compliance.FulfilledPerformance&gt;0,I.Performance.RangeCount&gt;=371,F441=""),"Incomplete","Complete")</f>
        <v>Complete</v>
      </c>
      <c r="I441" s="55" t="s">
        <v>639</v>
      </c>
    </row>
    <row r="442" spans="2:9" ht="15" customHeight="1" x14ac:dyDescent="0.25">
      <c r="B442" s="51" t="s">
        <v>124</v>
      </c>
      <c r="C442" s="52">
        <v>372</v>
      </c>
      <c r="D442" s="53" t="s">
        <v>4326</v>
      </c>
      <c r="E442" s="54"/>
      <c r="F442" s="52" t="str">
        <f>IF(INDEX(I.Performance.StartRange,372)="","",INDEX(I.Performance.StartRange,372))</f>
        <v/>
      </c>
      <c r="G442" s="54"/>
      <c r="H442" s="52" t="str">
        <f>IF(AND(I.Compliance.FulfilledPerformance&gt;0,I.Performance.RangeCount&gt;=372,F442=""),"Incomplete","Complete")</f>
        <v>Complete</v>
      </c>
      <c r="I442" s="55" t="s">
        <v>640</v>
      </c>
    </row>
    <row r="443" spans="2:9" ht="15" customHeight="1" x14ac:dyDescent="0.25">
      <c r="B443" s="51" t="s">
        <v>124</v>
      </c>
      <c r="C443" s="52">
        <v>373</v>
      </c>
      <c r="D443" s="53" t="s">
        <v>4326</v>
      </c>
      <c r="E443" s="54"/>
      <c r="F443" s="52" t="str">
        <f>IF(INDEX(I.Performance.StartRange,373)="","",INDEX(I.Performance.StartRange,373))</f>
        <v/>
      </c>
      <c r="G443" s="54"/>
      <c r="H443" s="52" t="str">
        <f>IF(AND(I.Compliance.FulfilledPerformance&gt;0,I.Performance.RangeCount&gt;=373,F443=""),"Incomplete","Complete")</f>
        <v>Complete</v>
      </c>
      <c r="I443" s="55" t="s">
        <v>641</v>
      </c>
    </row>
    <row r="444" spans="2:9" ht="15" customHeight="1" x14ac:dyDescent="0.25">
      <c r="B444" s="51" t="s">
        <v>124</v>
      </c>
      <c r="C444" s="52">
        <v>374</v>
      </c>
      <c r="D444" s="53" t="s">
        <v>4326</v>
      </c>
      <c r="E444" s="54"/>
      <c r="F444" s="52" t="str">
        <f>IF(INDEX(I.Performance.StartRange,374)="","",INDEX(I.Performance.StartRange,374))</f>
        <v/>
      </c>
      <c r="G444" s="54"/>
      <c r="H444" s="52" t="str">
        <f>IF(AND(I.Compliance.FulfilledPerformance&gt;0,I.Performance.RangeCount&gt;=374,F444=""),"Incomplete","Complete")</f>
        <v>Complete</v>
      </c>
      <c r="I444" s="55" t="s">
        <v>642</v>
      </c>
    </row>
    <row r="445" spans="2:9" ht="15" customHeight="1" x14ac:dyDescent="0.25">
      <c r="B445" s="51" t="s">
        <v>124</v>
      </c>
      <c r="C445" s="52">
        <v>375</v>
      </c>
      <c r="D445" s="53" t="s">
        <v>4326</v>
      </c>
      <c r="E445" s="54"/>
      <c r="F445" s="52" t="str">
        <f>IF(INDEX(I.Performance.StartRange,375)="","",INDEX(I.Performance.StartRange,375))</f>
        <v/>
      </c>
      <c r="G445" s="54"/>
      <c r="H445" s="52" t="str">
        <f>IF(AND(I.Compliance.FulfilledPerformance&gt;0,I.Performance.RangeCount&gt;=375,F445=""),"Incomplete","Complete")</f>
        <v>Complete</v>
      </c>
      <c r="I445" s="55" t="s">
        <v>643</v>
      </c>
    </row>
    <row r="446" spans="2:9" ht="15" customHeight="1" x14ac:dyDescent="0.25">
      <c r="B446" s="51" t="s">
        <v>124</v>
      </c>
      <c r="C446" s="52">
        <v>376</v>
      </c>
      <c r="D446" s="53" t="s">
        <v>4326</v>
      </c>
      <c r="E446" s="54"/>
      <c r="F446" s="52" t="str">
        <f>IF(INDEX(I.Performance.StartRange,376)="","",INDEX(I.Performance.StartRange,376))</f>
        <v/>
      </c>
      <c r="G446" s="54"/>
      <c r="H446" s="52" t="str">
        <f>IF(AND(I.Compliance.FulfilledPerformance&gt;0,I.Performance.RangeCount&gt;=376,F446=""),"Incomplete","Complete")</f>
        <v>Complete</v>
      </c>
      <c r="I446" s="55" t="s">
        <v>644</v>
      </c>
    </row>
    <row r="447" spans="2:9" ht="15" customHeight="1" x14ac:dyDescent="0.25">
      <c r="B447" s="51" t="s">
        <v>124</v>
      </c>
      <c r="C447" s="52">
        <v>377</v>
      </c>
      <c r="D447" s="53" t="s">
        <v>4326</v>
      </c>
      <c r="E447" s="54"/>
      <c r="F447" s="52" t="str">
        <f>IF(INDEX(I.Performance.StartRange,377)="","",INDEX(I.Performance.StartRange,377))</f>
        <v/>
      </c>
      <c r="G447" s="54"/>
      <c r="H447" s="52" t="str">
        <f>IF(AND(I.Compliance.FulfilledPerformance&gt;0,I.Performance.RangeCount&gt;=377,F447=""),"Incomplete","Complete")</f>
        <v>Complete</v>
      </c>
      <c r="I447" s="55" t="s">
        <v>645</v>
      </c>
    </row>
    <row r="448" spans="2:9" ht="15" customHeight="1" x14ac:dyDescent="0.25">
      <c r="B448" s="51" t="s">
        <v>124</v>
      </c>
      <c r="C448" s="52">
        <v>378</v>
      </c>
      <c r="D448" s="53" t="s">
        <v>4326</v>
      </c>
      <c r="E448" s="54"/>
      <c r="F448" s="52" t="str">
        <f>IF(INDEX(I.Performance.StartRange,378)="","",INDEX(I.Performance.StartRange,378))</f>
        <v/>
      </c>
      <c r="G448" s="54"/>
      <c r="H448" s="52" t="str">
        <f>IF(AND(I.Compliance.FulfilledPerformance&gt;0,I.Performance.RangeCount&gt;=378,F448=""),"Incomplete","Complete")</f>
        <v>Complete</v>
      </c>
      <c r="I448" s="55" t="s">
        <v>646</v>
      </c>
    </row>
    <row r="449" spans="2:9" ht="15" customHeight="1" x14ac:dyDescent="0.25">
      <c r="B449" s="51" t="s">
        <v>124</v>
      </c>
      <c r="C449" s="52">
        <v>379</v>
      </c>
      <c r="D449" s="53" t="s">
        <v>4326</v>
      </c>
      <c r="E449" s="54"/>
      <c r="F449" s="52" t="str">
        <f>IF(INDEX(I.Performance.StartRange,379)="","",INDEX(I.Performance.StartRange,379))</f>
        <v/>
      </c>
      <c r="G449" s="54"/>
      <c r="H449" s="52" t="str">
        <f>IF(AND(I.Compliance.FulfilledPerformance&gt;0,I.Performance.RangeCount&gt;=379,F449=""),"Incomplete","Complete")</f>
        <v>Complete</v>
      </c>
      <c r="I449" s="55" t="s">
        <v>647</v>
      </c>
    </row>
    <row r="450" spans="2:9" ht="15" customHeight="1" x14ac:dyDescent="0.25">
      <c r="B450" s="51" t="s">
        <v>124</v>
      </c>
      <c r="C450" s="52">
        <v>380</v>
      </c>
      <c r="D450" s="53" t="s">
        <v>4326</v>
      </c>
      <c r="E450" s="54"/>
      <c r="F450" s="52" t="str">
        <f>IF(INDEX(I.Performance.StartRange,380)="","",INDEX(I.Performance.StartRange,380))</f>
        <v/>
      </c>
      <c r="G450" s="54"/>
      <c r="H450" s="52" t="str">
        <f>IF(AND(I.Compliance.FulfilledPerformance&gt;0,I.Performance.RangeCount&gt;=380,F450=""),"Incomplete","Complete")</f>
        <v>Complete</v>
      </c>
      <c r="I450" s="55" t="s">
        <v>648</v>
      </c>
    </row>
    <row r="451" spans="2:9" ht="15" customHeight="1" x14ac:dyDescent="0.25">
      <c r="B451" s="51" t="s">
        <v>124</v>
      </c>
      <c r="C451" s="52">
        <v>381</v>
      </c>
      <c r="D451" s="53" t="s">
        <v>4326</v>
      </c>
      <c r="E451" s="54"/>
      <c r="F451" s="52" t="str">
        <f>IF(INDEX(I.Performance.StartRange,381)="","",INDEX(I.Performance.StartRange,381))</f>
        <v/>
      </c>
      <c r="G451" s="54"/>
      <c r="H451" s="52" t="str">
        <f>IF(AND(I.Compliance.FulfilledPerformance&gt;0,I.Performance.RangeCount&gt;=381,F451=""),"Incomplete","Complete")</f>
        <v>Complete</v>
      </c>
      <c r="I451" s="55" t="s">
        <v>649</v>
      </c>
    </row>
    <row r="452" spans="2:9" ht="15" customHeight="1" x14ac:dyDescent="0.25">
      <c r="B452" s="51" t="s">
        <v>124</v>
      </c>
      <c r="C452" s="52">
        <v>382</v>
      </c>
      <c r="D452" s="53" t="s">
        <v>4326</v>
      </c>
      <c r="E452" s="54"/>
      <c r="F452" s="52" t="str">
        <f>IF(INDEX(I.Performance.StartRange,382)="","",INDEX(I.Performance.StartRange,382))</f>
        <v/>
      </c>
      <c r="G452" s="54"/>
      <c r="H452" s="52" t="str">
        <f>IF(AND(I.Compliance.FulfilledPerformance&gt;0,I.Performance.RangeCount&gt;=382,F452=""),"Incomplete","Complete")</f>
        <v>Complete</v>
      </c>
      <c r="I452" s="55" t="s">
        <v>650</v>
      </c>
    </row>
    <row r="453" spans="2:9" ht="15" customHeight="1" x14ac:dyDescent="0.25">
      <c r="B453" s="51" t="s">
        <v>124</v>
      </c>
      <c r="C453" s="52">
        <v>383</v>
      </c>
      <c r="D453" s="53" t="s">
        <v>4326</v>
      </c>
      <c r="E453" s="54"/>
      <c r="F453" s="52" t="str">
        <f>IF(INDEX(I.Performance.StartRange,383)="","",INDEX(I.Performance.StartRange,383))</f>
        <v/>
      </c>
      <c r="G453" s="54"/>
      <c r="H453" s="52" t="str">
        <f>IF(AND(I.Compliance.FulfilledPerformance&gt;0,I.Performance.RangeCount&gt;=383,F453=""),"Incomplete","Complete")</f>
        <v>Complete</v>
      </c>
      <c r="I453" s="55" t="s">
        <v>651</v>
      </c>
    </row>
    <row r="454" spans="2:9" ht="15" customHeight="1" x14ac:dyDescent="0.25">
      <c r="B454" s="51" t="s">
        <v>124</v>
      </c>
      <c r="C454" s="52">
        <v>384</v>
      </c>
      <c r="D454" s="53" t="s">
        <v>4326</v>
      </c>
      <c r="E454" s="54"/>
      <c r="F454" s="52" t="str">
        <f>IF(INDEX(I.Performance.StartRange,384)="","",INDEX(I.Performance.StartRange,384))</f>
        <v/>
      </c>
      <c r="G454" s="54"/>
      <c r="H454" s="52" t="str">
        <f>IF(AND(I.Compliance.FulfilledPerformance&gt;0,I.Performance.RangeCount&gt;=384,F454=""),"Incomplete","Complete")</f>
        <v>Complete</v>
      </c>
      <c r="I454" s="55" t="s">
        <v>652</v>
      </c>
    </row>
    <row r="455" spans="2:9" ht="15" customHeight="1" x14ac:dyDescent="0.25">
      <c r="B455" s="51" t="s">
        <v>124</v>
      </c>
      <c r="C455" s="52">
        <v>385</v>
      </c>
      <c r="D455" s="53" t="s">
        <v>4326</v>
      </c>
      <c r="E455" s="54"/>
      <c r="F455" s="52" t="str">
        <f>IF(INDEX(I.Performance.StartRange,385)="","",INDEX(I.Performance.StartRange,385))</f>
        <v/>
      </c>
      <c r="G455" s="54"/>
      <c r="H455" s="52" t="str">
        <f>IF(AND(I.Compliance.FulfilledPerformance&gt;0,I.Performance.RangeCount&gt;=385,F455=""),"Incomplete","Complete")</f>
        <v>Complete</v>
      </c>
      <c r="I455" s="55" t="s">
        <v>653</v>
      </c>
    </row>
    <row r="456" spans="2:9" ht="15" customHeight="1" x14ac:dyDescent="0.25">
      <c r="B456" s="51" t="s">
        <v>124</v>
      </c>
      <c r="C456" s="52">
        <v>386</v>
      </c>
      <c r="D456" s="53" t="s">
        <v>4326</v>
      </c>
      <c r="E456" s="54"/>
      <c r="F456" s="52" t="str">
        <f>IF(INDEX(I.Performance.StartRange,386)="","",INDEX(I.Performance.StartRange,386))</f>
        <v/>
      </c>
      <c r="G456" s="54"/>
      <c r="H456" s="52" t="str">
        <f>IF(AND(I.Compliance.FulfilledPerformance&gt;0,I.Performance.RangeCount&gt;=386,F456=""),"Incomplete","Complete")</f>
        <v>Complete</v>
      </c>
      <c r="I456" s="55" t="s">
        <v>654</v>
      </c>
    </row>
    <row r="457" spans="2:9" ht="15" customHeight="1" x14ac:dyDescent="0.25">
      <c r="B457" s="51" t="s">
        <v>124</v>
      </c>
      <c r="C457" s="52">
        <v>387</v>
      </c>
      <c r="D457" s="53" t="s">
        <v>4326</v>
      </c>
      <c r="E457" s="54"/>
      <c r="F457" s="52" t="str">
        <f>IF(INDEX(I.Performance.StartRange,387)="","",INDEX(I.Performance.StartRange,387))</f>
        <v/>
      </c>
      <c r="G457" s="54"/>
      <c r="H457" s="52" t="str">
        <f>IF(AND(I.Compliance.FulfilledPerformance&gt;0,I.Performance.RangeCount&gt;=387,F457=""),"Incomplete","Complete")</f>
        <v>Complete</v>
      </c>
      <c r="I457" s="55" t="s">
        <v>655</v>
      </c>
    </row>
    <row r="458" spans="2:9" ht="15" customHeight="1" x14ac:dyDescent="0.25">
      <c r="B458" s="51" t="s">
        <v>124</v>
      </c>
      <c r="C458" s="52">
        <v>388</v>
      </c>
      <c r="D458" s="53" t="s">
        <v>4326</v>
      </c>
      <c r="E458" s="54"/>
      <c r="F458" s="52" t="str">
        <f>IF(INDEX(I.Performance.StartRange,388)="","",INDEX(I.Performance.StartRange,388))</f>
        <v/>
      </c>
      <c r="G458" s="54"/>
      <c r="H458" s="52" t="str">
        <f>IF(AND(I.Compliance.FulfilledPerformance&gt;0,I.Performance.RangeCount&gt;=388,F458=""),"Incomplete","Complete")</f>
        <v>Complete</v>
      </c>
      <c r="I458" s="55" t="s">
        <v>656</v>
      </c>
    </row>
    <row r="459" spans="2:9" ht="15" customHeight="1" x14ac:dyDescent="0.25">
      <c r="B459" s="51" t="s">
        <v>124</v>
      </c>
      <c r="C459" s="52">
        <v>389</v>
      </c>
      <c r="D459" s="53" t="s">
        <v>4326</v>
      </c>
      <c r="E459" s="54"/>
      <c r="F459" s="52" t="str">
        <f>IF(INDEX(I.Performance.StartRange,389)="","",INDEX(I.Performance.StartRange,389))</f>
        <v/>
      </c>
      <c r="G459" s="54"/>
      <c r="H459" s="52" t="str">
        <f>IF(AND(I.Compliance.FulfilledPerformance&gt;0,I.Performance.RangeCount&gt;=389,F459=""),"Incomplete","Complete")</f>
        <v>Complete</v>
      </c>
      <c r="I459" s="55" t="s">
        <v>657</v>
      </c>
    </row>
    <row r="460" spans="2:9" ht="15" customHeight="1" x14ac:dyDescent="0.25">
      <c r="B460" s="51" t="s">
        <v>124</v>
      </c>
      <c r="C460" s="52">
        <v>390</v>
      </c>
      <c r="D460" s="53" t="s">
        <v>4326</v>
      </c>
      <c r="E460" s="54"/>
      <c r="F460" s="52" t="str">
        <f>IF(INDEX(I.Performance.StartRange,390)="","",INDEX(I.Performance.StartRange,390))</f>
        <v/>
      </c>
      <c r="G460" s="54"/>
      <c r="H460" s="52" t="str">
        <f>IF(AND(I.Compliance.FulfilledPerformance&gt;0,I.Performance.RangeCount&gt;=390,F460=""),"Incomplete","Complete")</f>
        <v>Complete</v>
      </c>
      <c r="I460" s="55" t="s">
        <v>658</v>
      </c>
    </row>
    <row r="461" spans="2:9" ht="15" customHeight="1" x14ac:dyDescent="0.25">
      <c r="B461" s="51" t="s">
        <v>124</v>
      </c>
      <c r="C461" s="52">
        <v>391</v>
      </c>
      <c r="D461" s="53" t="s">
        <v>4326</v>
      </c>
      <c r="E461" s="54"/>
      <c r="F461" s="52" t="str">
        <f>IF(INDEX(I.Performance.StartRange,391)="","",INDEX(I.Performance.StartRange,391))</f>
        <v/>
      </c>
      <c r="G461" s="54"/>
      <c r="H461" s="52" t="str">
        <f>IF(AND(I.Compliance.FulfilledPerformance&gt;0,I.Performance.RangeCount&gt;=391,F461=""),"Incomplete","Complete")</f>
        <v>Complete</v>
      </c>
      <c r="I461" s="55" t="s">
        <v>659</v>
      </c>
    </row>
    <row r="462" spans="2:9" ht="15" customHeight="1" x14ac:dyDescent="0.25">
      <c r="B462" s="51" t="s">
        <v>124</v>
      </c>
      <c r="C462" s="52">
        <v>392</v>
      </c>
      <c r="D462" s="53" t="s">
        <v>4326</v>
      </c>
      <c r="E462" s="54"/>
      <c r="F462" s="52" t="str">
        <f>IF(INDEX(I.Performance.StartRange,392)="","",INDEX(I.Performance.StartRange,392))</f>
        <v/>
      </c>
      <c r="G462" s="54"/>
      <c r="H462" s="52" t="str">
        <f>IF(AND(I.Compliance.FulfilledPerformance&gt;0,I.Performance.RangeCount&gt;=392,F462=""),"Incomplete","Complete")</f>
        <v>Complete</v>
      </c>
      <c r="I462" s="55" t="s">
        <v>660</v>
      </c>
    </row>
    <row r="463" spans="2:9" ht="15" customHeight="1" x14ac:dyDescent="0.25">
      <c r="B463" s="51" t="s">
        <v>124</v>
      </c>
      <c r="C463" s="52">
        <v>393</v>
      </c>
      <c r="D463" s="53" t="s">
        <v>4326</v>
      </c>
      <c r="E463" s="54"/>
      <c r="F463" s="52" t="str">
        <f>IF(INDEX(I.Performance.StartRange,393)="","",INDEX(I.Performance.StartRange,393))</f>
        <v/>
      </c>
      <c r="G463" s="54"/>
      <c r="H463" s="52" t="str">
        <f>IF(AND(I.Compliance.FulfilledPerformance&gt;0,I.Performance.RangeCount&gt;=393,F463=""),"Incomplete","Complete")</f>
        <v>Complete</v>
      </c>
      <c r="I463" s="55" t="s">
        <v>661</v>
      </c>
    </row>
    <row r="464" spans="2:9" ht="15" customHeight="1" x14ac:dyDescent="0.25">
      <c r="B464" s="51" t="s">
        <v>124</v>
      </c>
      <c r="C464" s="52">
        <v>394</v>
      </c>
      <c r="D464" s="53" t="s">
        <v>4326</v>
      </c>
      <c r="E464" s="54"/>
      <c r="F464" s="52" t="str">
        <f>IF(INDEX(I.Performance.StartRange,394)="","",INDEX(I.Performance.StartRange,394))</f>
        <v/>
      </c>
      <c r="G464" s="54"/>
      <c r="H464" s="52" t="str">
        <f>IF(AND(I.Compliance.FulfilledPerformance&gt;0,I.Performance.RangeCount&gt;=394,F464=""),"Incomplete","Complete")</f>
        <v>Complete</v>
      </c>
      <c r="I464" s="55" t="s">
        <v>662</v>
      </c>
    </row>
    <row r="465" spans="2:9" ht="15" customHeight="1" x14ac:dyDescent="0.25">
      <c r="B465" s="51" t="s">
        <v>124</v>
      </c>
      <c r="C465" s="52">
        <v>395</v>
      </c>
      <c r="D465" s="53" t="s">
        <v>4326</v>
      </c>
      <c r="E465" s="54"/>
      <c r="F465" s="52" t="str">
        <f>IF(INDEX(I.Performance.StartRange,395)="","",INDEX(I.Performance.StartRange,395))</f>
        <v/>
      </c>
      <c r="G465" s="54"/>
      <c r="H465" s="52" t="str">
        <f>IF(AND(I.Compliance.FulfilledPerformance&gt;0,I.Performance.RangeCount&gt;=395,F465=""),"Incomplete","Complete")</f>
        <v>Complete</v>
      </c>
      <c r="I465" s="55" t="s">
        <v>663</v>
      </c>
    </row>
    <row r="466" spans="2:9" ht="15" customHeight="1" x14ac:dyDescent="0.25">
      <c r="B466" s="51" t="s">
        <v>124</v>
      </c>
      <c r="C466" s="52">
        <v>396</v>
      </c>
      <c r="D466" s="53" t="s">
        <v>4326</v>
      </c>
      <c r="E466" s="54"/>
      <c r="F466" s="52" t="str">
        <f>IF(INDEX(I.Performance.StartRange,396)="","",INDEX(I.Performance.StartRange,396))</f>
        <v/>
      </c>
      <c r="G466" s="54"/>
      <c r="H466" s="52" t="str">
        <f>IF(AND(I.Compliance.FulfilledPerformance&gt;0,I.Performance.RangeCount&gt;=396,F466=""),"Incomplete","Complete")</f>
        <v>Complete</v>
      </c>
      <c r="I466" s="55" t="s">
        <v>664</v>
      </c>
    </row>
    <row r="467" spans="2:9" ht="15" customHeight="1" x14ac:dyDescent="0.25">
      <c r="B467" s="51" t="s">
        <v>124</v>
      </c>
      <c r="C467" s="52">
        <v>397</v>
      </c>
      <c r="D467" s="53" t="s">
        <v>4326</v>
      </c>
      <c r="E467" s="54"/>
      <c r="F467" s="52" t="str">
        <f>IF(INDEX(I.Performance.StartRange,397)="","",INDEX(I.Performance.StartRange,397))</f>
        <v/>
      </c>
      <c r="G467" s="54"/>
      <c r="H467" s="52" t="str">
        <f>IF(AND(I.Compliance.FulfilledPerformance&gt;0,I.Performance.RangeCount&gt;=397,F467=""),"Incomplete","Complete")</f>
        <v>Complete</v>
      </c>
      <c r="I467" s="55" t="s">
        <v>665</v>
      </c>
    </row>
    <row r="468" spans="2:9" ht="15" customHeight="1" x14ac:dyDescent="0.25">
      <c r="B468" s="51" t="s">
        <v>124</v>
      </c>
      <c r="C468" s="52">
        <v>398</v>
      </c>
      <c r="D468" s="53" t="s">
        <v>4326</v>
      </c>
      <c r="E468" s="54"/>
      <c r="F468" s="52" t="str">
        <f>IF(INDEX(I.Performance.StartRange,398)="","",INDEX(I.Performance.StartRange,398))</f>
        <v/>
      </c>
      <c r="G468" s="54"/>
      <c r="H468" s="52" t="str">
        <f>IF(AND(I.Compliance.FulfilledPerformance&gt;0,I.Performance.RangeCount&gt;=398,F468=""),"Incomplete","Complete")</f>
        <v>Complete</v>
      </c>
      <c r="I468" s="55" t="s">
        <v>666</v>
      </c>
    </row>
    <row r="469" spans="2:9" ht="15" customHeight="1" x14ac:dyDescent="0.25">
      <c r="B469" s="51" t="s">
        <v>124</v>
      </c>
      <c r="C469" s="52">
        <v>399</v>
      </c>
      <c r="D469" s="53" t="s">
        <v>4326</v>
      </c>
      <c r="E469" s="54"/>
      <c r="F469" s="52" t="str">
        <f>IF(INDEX(I.Performance.StartRange,399)="","",INDEX(I.Performance.StartRange,399))</f>
        <v/>
      </c>
      <c r="G469" s="54"/>
      <c r="H469" s="52" t="str">
        <f>IF(AND(I.Compliance.FulfilledPerformance&gt;0,I.Performance.RangeCount&gt;=399,F469=""),"Incomplete","Complete")</f>
        <v>Complete</v>
      </c>
      <c r="I469" s="55" t="s">
        <v>667</v>
      </c>
    </row>
    <row r="470" spans="2:9" ht="15" customHeight="1" x14ac:dyDescent="0.25">
      <c r="B470" s="51" t="s">
        <v>124</v>
      </c>
      <c r="C470" s="52">
        <v>400</v>
      </c>
      <c r="D470" s="53" t="s">
        <v>4326</v>
      </c>
      <c r="E470" s="54"/>
      <c r="F470" s="52" t="str">
        <f>IF(INDEX(I.Performance.StartRange,400)="","",INDEX(I.Performance.StartRange,400))</f>
        <v/>
      </c>
      <c r="G470" s="54"/>
      <c r="H470" s="52" t="str">
        <f>IF(AND(I.Compliance.FulfilledPerformance&gt;0,I.Performance.RangeCount&gt;=400,F470=""),"Incomplete","Complete")</f>
        <v>Complete</v>
      </c>
      <c r="I470" s="55" t="s">
        <v>668</v>
      </c>
    </row>
    <row r="471" spans="2:9" ht="15" customHeight="1" x14ac:dyDescent="0.25">
      <c r="B471" s="51" t="s">
        <v>124</v>
      </c>
      <c r="C471" s="52">
        <v>401</v>
      </c>
      <c r="D471" s="53" t="s">
        <v>4326</v>
      </c>
      <c r="E471" s="54"/>
      <c r="F471" s="52" t="str">
        <f>IF(INDEX(I.Performance.StartRange,401)="","",INDEX(I.Performance.StartRange,401))</f>
        <v/>
      </c>
      <c r="G471" s="54"/>
      <c r="H471" s="52" t="str">
        <f>IF(AND(I.Compliance.FulfilledPerformance&gt;0,I.Performance.RangeCount&gt;=401,F471=""),"Incomplete","Complete")</f>
        <v>Complete</v>
      </c>
      <c r="I471" s="55" t="s">
        <v>669</v>
      </c>
    </row>
    <row r="472" spans="2:9" ht="15" customHeight="1" x14ac:dyDescent="0.25">
      <c r="B472" s="51" t="s">
        <v>124</v>
      </c>
      <c r="C472" s="52">
        <v>402</v>
      </c>
      <c r="D472" s="53" t="s">
        <v>4326</v>
      </c>
      <c r="E472" s="54"/>
      <c r="F472" s="52" t="str">
        <f>IF(INDEX(I.Performance.StartRange,402)="","",INDEX(I.Performance.StartRange,402))</f>
        <v/>
      </c>
      <c r="G472" s="54"/>
      <c r="H472" s="52" t="str">
        <f>IF(AND(I.Compliance.FulfilledPerformance&gt;0,I.Performance.RangeCount&gt;=402,F472=""),"Incomplete","Complete")</f>
        <v>Complete</v>
      </c>
      <c r="I472" s="55" t="s">
        <v>670</v>
      </c>
    </row>
    <row r="473" spans="2:9" ht="15" customHeight="1" x14ac:dyDescent="0.25">
      <c r="B473" s="51" t="s">
        <v>124</v>
      </c>
      <c r="C473" s="52">
        <v>403</v>
      </c>
      <c r="D473" s="53" t="s">
        <v>4326</v>
      </c>
      <c r="E473" s="54"/>
      <c r="F473" s="52" t="str">
        <f>IF(INDEX(I.Performance.StartRange,403)="","",INDEX(I.Performance.StartRange,403))</f>
        <v/>
      </c>
      <c r="G473" s="54"/>
      <c r="H473" s="52" t="str">
        <f>IF(AND(I.Compliance.FulfilledPerformance&gt;0,I.Performance.RangeCount&gt;=403,F473=""),"Incomplete","Complete")</f>
        <v>Complete</v>
      </c>
      <c r="I473" s="55" t="s">
        <v>671</v>
      </c>
    </row>
    <row r="474" spans="2:9" ht="15" customHeight="1" x14ac:dyDescent="0.25">
      <c r="B474" s="51" t="s">
        <v>124</v>
      </c>
      <c r="C474" s="52">
        <v>404</v>
      </c>
      <c r="D474" s="53" t="s">
        <v>4326</v>
      </c>
      <c r="E474" s="54"/>
      <c r="F474" s="52" t="str">
        <f>IF(INDEX(I.Performance.StartRange,404)="","",INDEX(I.Performance.StartRange,404))</f>
        <v/>
      </c>
      <c r="G474" s="54"/>
      <c r="H474" s="52" t="str">
        <f>IF(AND(I.Compliance.FulfilledPerformance&gt;0,I.Performance.RangeCount&gt;=404,F474=""),"Incomplete","Complete")</f>
        <v>Complete</v>
      </c>
      <c r="I474" s="55" t="s">
        <v>672</v>
      </c>
    </row>
    <row r="475" spans="2:9" ht="15" customHeight="1" x14ac:dyDescent="0.25">
      <c r="B475" s="51" t="s">
        <v>124</v>
      </c>
      <c r="C475" s="52">
        <v>405</v>
      </c>
      <c r="D475" s="53" t="s">
        <v>4326</v>
      </c>
      <c r="E475" s="54"/>
      <c r="F475" s="52" t="str">
        <f>IF(INDEX(I.Performance.StartRange,405)="","",INDEX(I.Performance.StartRange,405))</f>
        <v/>
      </c>
      <c r="G475" s="54"/>
      <c r="H475" s="52" t="str">
        <f>IF(AND(I.Compliance.FulfilledPerformance&gt;0,I.Performance.RangeCount&gt;=405,F475=""),"Incomplete","Complete")</f>
        <v>Complete</v>
      </c>
      <c r="I475" s="55" t="s">
        <v>673</v>
      </c>
    </row>
    <row r="476" spans="2:9" ht="15" customHeight="1" x14ac:dyDescent="0.25">
      <c r="B476" s="51" t="s">
        <v>124</v>
      </c>
      <c r="C476" s="52">
        <v>406</v>
      </c>
      <c r="D476" s="53" t="s">
        <v>4326</v>
      </c>
      <c r="E476" s="54"/>
      <c r="F476" s="52" t="str">
        <f>IF(INDEX(I.Performance.StartRange,406)="","",INDEX(I.Performance.StartRange,406))</f>
        <v/>
      </c>
      <c r="G476" s="54"/>
      <c r="H476" s="52" t="str">
        <f>IF(AND(I.Compliance.FulfilledPerformance&gt;0,I.Performance.RangeCount&gt;=406,F476=""),"Incomplete","Complete")</f>
        <v>Complete</v>
      </c>
      <c r="I476" s="55" t="s">
        <v>674</v>
      </c>
    </row>
    <row r="477" spans="2:9" ht="15" customHeight="1" x14ac:dyDescent="0.25">
      <c r="B477" s="51" t="s">
        <v>124</v>
      </c>
      <c r="C477" s="52">
        <v>407</v>
      </c>
      <c r="D477" s="53" t="s">
        <v>4326</v>
      </c>
      <c r="E477" s="54"/>
      <c r="F477" s="52" t="str">
        <f>IF(INDEX(I.Performance.StartRange,407)="","",INDEX(I.Performance.StartRange,407))</f>
        <v/>
      </c>
      <c r="G477" s="54"/>
      <c r="H477" s="52" t="str">
        <f>IF(AND(I.Compliance.FulfilledPerformance&gt;0,I.Performance.RangeCount&gt;=407,F477=""),"Incomplete","Complete")</f>
        <v>Complete</v>
      </c>
      <c r="I477" s="55" t="s">
        <v>675</v>
      </c>
    </row>
    <row r="478" spans="2:9" ht="15" customHeight="1" x14ac:dyDescent="0.25">
      <c r="B478" s="51" t="s">
        <v>124</v>
      </c>
      <c r="C478" s="52">
        <v>408</v>
      </c>
      <c r="D478" s="53" t="s">
        <v>4326</v>
      </c>
      <c r="E478" s="54"/>
      <c r="F478" s="52" t="str">
        <f>IF(INDEX(I.Performance.StartRange,408)="","",INDEX(I.Performance.StartRange,408))</f>
        <v/>
      </c>
      <c r="G478" s="54"/>
      <c r="H478" s="52" t="str">
        <f>IF(AND(I.Compliance.FulfilledPerformance&gt;0,I.Performance.RangeCount&gt;=408,F478=""),"Incomplete","Complete")</f>
        <v>Complete</v>
      </c>
      <c r="I478" s="55" t="s">
        <v>676</v>
      </c>
    </row>
    <row r="479" spans="2:9" ht="15" customHeight="1" x14ac:dyDescent="0.25">
      <c r="B479" s="51" t="s">
        <v>124</v>
      </c>
      <c r="C479" s="52">
        <v>409</v>
      </c>
      <c r="D479" s="53" t="s">
        <v>4326</v>
      </c>
      <c r="E479" s="54"/>
      <c r="F479" s="52" t="str">
        <f>IF(INDEX(I.Performance.StartRange,409)="","",INDEX(I.Performance.StartRange,409))</f>
        <v/>
      </c>
      <c r="G479" s="54"/>
      <c r="H479" s="52" t="str">
        <f>IF(AND(I.Compliance.FulfilledPerformance&gt;0,I.Performance.RangeCount&gt;=409,F479=""),"Incomplete","Complete")</f>
        <v>Complete</v>
      </c>
      <c r="I479" s="55" t="s">
        <v>677</v>
      </c>
    </row>
    <row r="480" spans="2:9" ht="15" customHeight="1" x14ac:dyDescent="0.25">
      <c r="B480" s="51" t="s">
        <v>124</v>
      </c>
      <c r="C480" s="52">
        <v>410</v>
      </c>
      <c r="D480" s="53" t="s">
        <v>4326</v>
      </c>
      <c r="E480" s="54"/>
      <c r="F480" s="52" t="str">
        <f>IF(INDEX(I.Performance.StartRange,410)="","",INDEX(I.Performance.StartRange,410))</f>
        <v/>
      </c>
      <c r="G480" s="54"/>
      <c r="H480" s="52" t="str">
        <f>IF(AND(I.Compliance.FulfilledPerformance&gt;0,I.Performance.RangeCount&gt;=410,F480=""),"Incomplete","Complete")</f>
        <v>Complete</v>
      </c>
      <c r="I480" s="55" t="s">
        <v>678</v>
      </c>
    </row>
    <row r="481" spans="2:9" ht="15" customHeight="1" x14ac:dyDescent="0.25">
      <c r="B481" s="51" t="s">
        <v>124</v>
      </c>
      <c r="C481" s="52">
        <v>411</v>
      </c>
      <c r="D481" s="53" t="s">
        <v>4326</v>
      </c>
      <c r="E481" s="54"/>
      <c r="F481" s="52" t="str">
        <f>IF(INDEX(I.Performance.StartRange,411)="","",INDEX(I.Performance.StartRange,411))</f>
        <v/>
      </c>
      <c r="G481" s="54"/>
      <c r="H481" s="52" t="str">
        <f>IF(AND(I.Compliance.FulfilledPerformance&gt;0,I.Performance.RangeCount&gt;=411,F481=""),"Incomplete","Complete")</f>
        <v>Complete</v>
      </c>
      <c r="I481" s="55" t="s">
        <v>679</v>
      </c>
    </row>
    <row r="482" spans="2:9" ht="15" customHeight="1" x14ac:dyDescent="0.25">
      <c r="B482" s="51" t="s">
        <v>124</v>
      </c>
      <c r="C482" s="52">
        <v>412</v>
      </c>
      <c r="D482" s="53" t="s">
        <v>4326</v>
      </c>
      <c r="E482" s="54"/>
      <c r="F482" s="52" t="str">
        <f>IF(INDEX(I.Performance.StartRange,412)="","",INDEX(I.Performance.StartRange,412))</f>
        <v/>
      </c>
      <c r="G482" s="54"/>
      <c r="H482" s="52" t="str">
        <f>IF(AND(I.Compliance.FulfilledPerformance&gt;0,I.Performance.RangeCount&gt;=412,F482=""),"Incomplete","Complete")</f>
        <v>Complete</v>
      </c>
      <c r="I482" s="55" t="s">
        <v>680</v>
      </c>
    </row>
    <row r="483" spans="2:9" ht="15" customHeight="1" x14ac:dyDescent="0.25">
      <c r="B483" s="51" t="s">
        <v>124</v>
      </c>
      <c r="C483" s="52">
        <v>413</v>
      </c>
      <c r="D483" s="53" t="s">
        <v>4326</v>
      </c>
      <c r="E483" s="54"/>
      <c r="F483" s="52" t="str">
        <f>IF(INDEX(I.Performance.StartRange,413)="","",INDEX(I.Performance.StartRange,413))</f>
        <v/>
      </c>
      <c r="G483" s="54"/>
      <c r="H483" s="52" t="str">
        <f>IF(AND(I.Compliance.FulfilledPerformance&gt;0,I.Performance.RangeCount&gt;=413,F483=""),"Incomplete","Complete")</f>
        <v>Complete</v>
      </c>
      <c r="I483" s="55" t="s">
        <v>681</v>
      </c>
    </row>
    <row r="484" spans="2:9" ht="15" customHeight="1" x14ac:dyDescent="0.25">
      <c r="B484" s="51" t="s">
        <v>124</v>
      </c>
      <c r="C484" s="52">
        <v>414</v>
      </c>
      <c r="D484" s="53" t="s">
        <v>4326</v>
      </c>
      <c r="E484" s="54"/>
      <c r="F484" s="52" t="str">
        <f>IF(INDEX(I.Performance.StartRange,414)="","",INDEX(I.Performance.StartRange,414))</f>
        <v/>
      </c>
      <c r="G484" s="54"/>
      <c r="H484" s="52" t="str">
        <f>IF(AND(I.Compliance.FulfilledPerformance&gt;0,I.Performance.RangeCount&gt;=414,F484=""),"Incomplete","Complete")</f>
        <v>Complete</v>
      </c>
      <c r="I484" s="55" t="s">
        <v>682</v>
      </c>
    </row>
    <row r="485" spans="2:9" ht="15" customHeight="1" x14ac:dyDescent="0.25">
      <c r="B485" s="51" t="s">
        <v>124</v>
      </c>
      <c r="C485" s="52">
        <v>415</v>
      </c>
      <c r="D485" s="53" t="s">
        <v>4326</v>
      </c>
      <c r="E485" s="54"/>
      <c r="F485" s="52" t="str">
        <f>IF(INDEX(I.Performance.StartRange,415)="","",INDEX(I.Performance.StartRange,415))</f>
        <v/>
      </c>
      <c r="G485" s="54"/>
      <c r="H485" s="52" t="str">
        <f>IF(AND(I.Compliance.FulfilledPerformance&gt;0,I.Performance.RangeCount&gt;=415,F485=""),"Incomplete","Complete")</f>
        <v>Complete</v>
      </c>
      <c r="I485" s="55" t="s">
        <v>683</v>
      </c>
    </row>
    <row r="486" spans="2:9" ht="15" customHeight="1" x14ac:dyDescent="0.25">
      <c r="B486" s="51" t="s">
        <v>124</v>
      </c>
      <c r="C486" s="52">
        <v>416</v>
      </c>
      <c r="D486" s="53" t="s">
        <v>4326</v>
      </c>
      <c r="E486" s="54"/>
      <c r="F486" s="52" t="str">
        <f>IF(INDEX(I.Performance.StartRange,416)="","",INDEX(I.Performance.StartRange,416))</f>
        <v/>
      </c>
      <c r="G486" s="54"/>
      <c r="H486" s="52" t="str">
        <f>IF(AND(I.Compliance.FulfilledPerformance&gt;0,I.Performance.RangeCount&gt;=416,F486=""),"Incomplete","Complete")</f>
        <v>Complete</v>
      </c>
      <c r="I486" s="55" t="s">
        <v>684</v>
      </c>
    </row>
    <row r="487" spans="2:9" ht="15" customHeight="1" x14ac:dyDescent="0.25">
      <c r="B487" s="51" t="s">
        <v>124</v>
      </c>
      <c r="C487" s="52">
        <v>417</v>
      </c>
      <c r="D487" s="53" t="s">
        <v>4326</v>
      </c>
      <c r="E487" s="54"/>
      <c r="F487" s="52" t="str">
        <f>IF(INDEX(I.Performance.StartRange,417)="","",INDEX(I.Performance.StartRange,417))</f>
        <v/>
      </c>
      <c r="G487" s="54"/>
      <c r="H487" s="52" t="str">
        <f>IF(AND(I.Compliance.FulfilledPerformance&gt;0,I.Performance.RangeCount&gt;=417,F487=""),"Incomplete","Complete")</f>
        <v>Complete</v>
      </c>
      <c r="I487" s="55" t="s">
        <v>685</v>
      </c>
    </row>
    <row r="488" spans="2:9" ht="15" customHeight="1" x14ac:dyDescent="0.25">
      <c r="B488" s="51" t="s">
        <v>124</v>
      </c>
      <c r="C488" s="52">
        <v>418</v>
      </c>
      <c r="D488" s="53" t="s">
        <v>4326</v>
      </c>
      <c r="E488" s="54"/>
      <c r="F488" s="52" t="str">
        <f>IF(INDEX(I.Performance.StartRange,418)="","",INDEX(I.Performance.StartRange,418))</f>
        <v/>
      </c>
      <c r="G488" s="54"/>
      <c r="H488" s="52" t="str">
        <f>IF(AND(I.Compliance.FulfilledPerformance&gt;0,I.Performance.RangeCount&gt;=418,F488=""),"Incomplete","Complete")</f>
        <v>Complete</v>
      </c>
      <c r="I488" s="55" t="s">
        <v>686</v>
      </c>
    </row>
    <row r="489" spans="2:9" ht="15" customHeight="1" x14ac:dyDescent="0.25">
      <c r="B489" s="51" t="s">
        <v>124</v>
      </c>
      <c r="C489" s="52">
        <v>419</v>
      </c>
      <c r="D489" s="53" t="s">
        <v>4326</v>
      </c>
      <c r="E489" s="54"/>
      <c r="F489" s="52" t="str">
        <f>IF(INDEX(I.Performance.StartRange,419)="","",INDEX(I.Performance.StartRange,419))</f>
        <v/>
      </c>
      <c r="G489" s="54"/>
      <c r="H489" s="52" t="str">
        <f>IF(AND(I.Compliance.FulfilledPerformance&gt;0,I.Performance.RangeCount&gt;=419,F489=""),"Incomplete","Complete")</f>
        <v>Complete</v>
      </c>
      <c r="I489" s="55" t="s">
        <v>687</v>
      </c>
    </row>
    <row r="490" spans="2:9" ht="15" customHeight="1" x14ac:dyDescent="0.25">
      <c r="B490" s="51" t="s">
        <v>124</v>
      </c>
      <c r="C490" s="52">
        <v>420</v>
      </c>
      <c r="D490" s="53" t="s">
        <v>4326</v>
      </c>
      <c r="E490" s="54"/>
      <c r="F490" s="52" t="str">
        <f>IF(INDEX(I.Performance.StartRange,420)="","",INDEX(I.Performance.StartRange,420))</f>
        <v/>
      </c>
      <c r="G490" s="54"/>
      <c r="H490" s="52" t="str">
        <f>IF(AND(I.Compliance.FulfilledPerformance&gt;0,I.Performance.RangeCount&gt;=420,F490=""),"Incomplete","Complete")</f>
        <v>Complete</v>
      </c>
      <c r="I490" s="55" t="s">
        <v>688</v>
      </c>
    </row>
    <row r="491" spans="2:9" ht="15" customHeight="1" x14ac:dyDescent="0.25">
      <c r="B491" s="51" t="s">
        <v>124</v>
      </c>
      <c r="C491" s="52">
        <v>421</v>
      </c>
      <c r="D491" s="53" t="s">
        <v>4326</v>
      </c>
      <c r="E491" s="54"/>
      <c r="F491" s="52" t="str">
        <f>IF(INDEX(I.Performance.StartRange,421)="","",INDEX(I.Performance.StartRange,421))</f>
        <v/>
      </c>
      <c r="G491" s="54"/>
      <c r="H491" s="52" t="str">
        <f>IF(AND(I.Compliance.FulfilledPerformance&gt;0,I.Performance.RangeCount&gt;=421,F491=""),"Incomplete","Complete")</f>
        <v>Complete</v>
      </c>
      <c r="I491" s="55" t="s">
        <v>689</v>
      </c>
    </row>
    <row r="492" spans="2:9" ht="15" customHeight="1" x14ac:dyDescent="0.25">
      <c r="B492" s="51" t="s">
        <v>124</v>
      </c>
      <c r="C492" s="52">
        <v>422</v>
      </c>
      <c r="D492" s="53" t="s">
        <v>4326</v>
      </c>
      <c r="E492" s="54"/>
      <c r="F492" s="52" t="str">
        <f>IF(INDEX(I.Performance.StartRange,422)="","",INDEX(I.Performance.StartRange,422))</f>
        <v/>
      </c>
      <c r="G492" s="54"/>
      <c r="H492" s="52" t="str">
        <f>IF(AND(I.Compliance.FulfilledPerformance&gt;0,I.Performance.RangeCount&gt;=422,F492=""),"Incomplete","Complete")</f>
        <v>Complete</v>
      </c>
      <c r="I492" s="55" t="s">
        <v>690</v>
      </c>
    </row>
    <row r="493" spans="2:9" ht="15" customHeight="1" x14ac:dyDescent="0.25">
      <c r="B493" s="51" t="s">
        <v>124</v>
      </c>
      <c r="C493" s="52">
        <v>423</v>
      </c>
      <c r="D493" s="53" t="s">
        <v>4326</v>
      </c>
      <c r="E493" s="54"/>
      <c r="F493" s="52" t="str">
        <f>IF(INDEX(I.Performance.StartRange,423)="","",INDEX(I.Performance.StartRange,423))</f>
        <v/>
      </c>
      <c r="G493" s="54"/>
      <c r="H493" s="52" t="str">
        <f>IF(AND(I.Compliance.FulfilledPerformance&gt;0,I.Performance.RangeCount&gt;=423,F493=""),"Incomplete","Complete")</f>
        <v>Complete</v>
      </c>
      <c r="I493" s="55" t="s">
        <v>691</v>
      </c>
    </row>
    <row r="494" spans="2:9" ht="15" customHeight="1" x14ac:dyDescent="0.25">
      <c r="B494" s="51" t="s">
        <v>124</v>
      </c>
      <c r="C494" s="52">
        <v>424</v>
      </c>
      <c r="D494" s="53" t="s">
        <v>4326</v>
      </c>
      <c r="E494" s="54"/>
      <c r="F494" s="52" t="str">
        <f>IF(INDEX(I.Performance.StartRange,424)="","",INDEX(I.Performance.StartRange,424))</f>
        <v/>
      </c>
      <c r="G494" s="54"/>
      <c r="H494" s="52" t="str">
        <f>IF(AND(I.Compliance.FulfilledPerformance&gt;0,I.Performance.RangeCount&gt;=424,F494=""),"Incomplete","Complete")</f>
        <v>Complete</v>
      </c>
      <c r="I494" s="55" t="s">
        <v>692</v>
      </c>
    </row>
    <row r="495" spans="2:9" ht="15" customHeight="1" x14ac:dyDescent="0.25">
      <c r="B495" s="51" t="s">
        <v>124</v>
      </c>
      <c r="C495" s="52">
        <v>425</v>
      </c>
      <c r="D495" s="53" t="s">
        <v>4326</v>
      </c>
      <c r="E495" s="54"/>
      <c r="F495" s="52" t="str">
        <f>IF(INDEX(I.Performance.StartRange,425)="","",INDEX(I.Performance.StartRange,425))</f>
        <v/>
      </c>
      <c r="G495" s="54"/>
      <c r="H495" s="52" t="str">
        <f>IF(AND(I.Compliance.FulfilledPerformance&gt;0,I.Performance.RangeCount&gt;=425,F495=""),"Incomplete","Complete")</f>
        <v>Complete</v>
      </c>
      <c r="I495" s="55" t="s">
        <v>693</v>
      </c>
    </row>
    <row r="496" spans="2:9" ht="15" customHeight="1" x14ac:dyDescent="0.25">
      <c r="B496" s="51" t="s">
        <v>124</v>
      </c>
      <c r="C496" s="52">
        <v>426</v>
      </c>
      <c r="D496" s="53" t="s">
        <v>4326</v>
      </c>
      <c r="E496" s="54"/>
      <c r="F496" s="52" t="str">
        <f>IF(INDEX(I.Performance.StartRange,426)="","",INDEX(I.Performance.StartRange,426))</f>
        <v/>
      </c>
      <c r="G496" s="54"/>
      <c r="H496" s="52" t="str">
        <f>IF(AND(I.Compliance.FulfilledPerformance&gt;0,I.Performance.RangeCount&gt;=426,F496=""),"Incomplete","Complete")</f>
        <v>Complete</v>
      </c>
      <c r="I496" s="55" t="s">
        <v>694</v>
      </c>
    </row>
    <row r="497" spans="2:9" ht="15" customHeight="1" x14ac:dyDescent="0.25">
      <c r="B497" s="51" t="s">
        <v>124</v>
      </c>
      <c r="C497" s="52">
        <v>427</v>
      </c>
      <c r="D497" s="53" t="s">
        <v>4326</v>
      </c>
      <c r="E497" s="54"/>
      <c r="F497" s="52" t="str">
        <f>IF(INDEX(I.Performance.StartRange,427)="","",INDEX(I.Performance.StartRange,427))</f>
        <v/>
      </c>
      <c r="G497" s="54"/>
      <c r="H497" s="52" t="str">
        <f>IF(AND(I.Compliance.FulfilledPerformance&gt;0,I.Performance.RangeCount&gt;=427,F497=""),"Incomplete","Complete")</f>
        <v>Complete</v>
      </c>
      <c r="I497" s="55" t="s">
        <v>695</v>
      </c>
    </row>
    <row r="498" spans="2:9" ht="15" customHeight="1" x14ac:dyDescent="0.25">
      <c r="B498" s="51" t="s">
        <v>124</v>
      </c>
      <c r="C498" s="52">
        <v>428</v>
      </c>
      <c r="D498" s="53" t="s">
        <v>4326</v>
      </c>
      <c r="E498" s="54"/>
      <c r="F498" s="52" t="str">
        <f>IF(INDEX(I.Performance.StartRange,428)="","",INDEX(I.Performance.StartRange,428))</f>
        <v/>
      </c>
      <c r="G498" s="54"/>
      <c r="H498" s="52" t="str">
        <f>IF(AND(I.Compliance.FulfilledPerformance&gt;0,I.Performance.RangeCount&gt;=428,F498=""),"Incomplete","Complete")</f>
        <v>Complete</v>
      </c>
      <c r="I498" s="55" t="s">
        <v>696</v>
      </c>
    </row>
    <row r="499" spans="2:9" ht="15" customHeight="1" x14ac:dyDescent="0.25">
      <c r="B499" s="51" t="s">
        <v>124</v>
      </c>
      <c r="C499" s="52">
        <v>429</v>
      </c>
      <c r="D499" s="53" t="s">
        <v>4326</v>
      </c>
      <c r="E499" s="54"/>
      <c r="F499" s="52" t="str">
        <f>IF(INDEX(I.Performance.StartRange,429)="","",INDEX(I.Performance.StartRange,429))</f>
        <v/>
      </c>
      <c r="G499" s="54"/>
      <c r="H499" s="52" t="str">
        <f>IF(AND(I.Compliance.FulfilledPerformance&gt;0,I.Performance.RangeCount&gt;=429,F499=""),"Incomplete","Complete")</f>
        <v>Complete</v>
      </c>
      <c r="I499" s="55" t="s">
        <v>697</v>
      </c>
    </row>
    <row r="500" spans="2:9" ht="15" customHeight="1" x14ac:dyDescent="0.25">
      <c r="B500" s="51" t="s">
        <v>124</v>
      </c>
      <c r="C500" s="52">
        <v>430</v>
      </c>
      <c r="D500" s="53" t="s">
        <v>4326</v>
      </c>
      <c r="E500" s="54"/>
      <c r="F500" s="52" t="str">
        <f>IF(INDEX(I.Performance.StartRange,430)="","",INDEX(I.Performance.StartRange,430))</f>
        <v/>
      </c>
      <c r="G500" s="54"/>
      <c r="H500" s="52" t="str">
        <f>IF(AND(I.Compliance.FulfilledPerformance&gt;0,I.Performance.RangeCount&gt;=430,F500=""),"Incomplete","Complete")</f>
        <v>Complete</v>
      </c>
      <c r="I500" s="55" t="s">
        <v>698</v>
      </c>
    </row>
    <row r="501" spans="2:9" ht="15" customHeight="1" x14ac:dyDescent="0.25">
      <c r="B501" s="51" t="s">
        <v>124</v>
      </c>
      <c r="C501" s="52">
        <v>431</v>
      </c>
      <c r="D501" s="53" t="s">
        <v>4326</v>
      </c>
      <c r="E501" s="54"/>
      <c r="F501" s="52" t="str">
        <f>IF(INDEX(I.Performance.StartRange,431)="","",INDEX(I.Performance.StartRange,431))</f>
        <v/>
      </c>
      <c r="G501" s="54"/>
      <c r="H501" s="52" t="str">
        <f>IF(AND(I.Compliance.FulfilledPerformance&gt;0,I.Performance.RangeCount&gt;=431,F501=""),"Incomplete","Complete")</f>
        <v>Complete</v>
      </c>
      <c r="I501" s="55" t="s">
        <v>699</v>
      </c>
    </row>
    <row r="502" spans="2:9" ht="15" customHeight="1" x14ac:dyDescent="0.25">
      <c r="B502" s="51" t="s">
        <v>124</v>
      </c>
      <c r="C502" s="52">
        <v>432</v>
      </c>
      <c r="D502" s="53" t="s">
        <v>4326</v>
      </c>
      <c r="E502" s="54"/>
      <c r="F502" s="52" t="str">
        <f>IF(INDEX(I.Performance.StartRange,432)="","",INDEX(I.Performance.StartRange,432))</f>
        <v/>
      </c>
      <c r="G502" s="54"/>
      <c r="H502" s="52" t="str">
        <f>IF(AND(I.Compliance.FulfilledPerformance&gt;0,I.Performance.RangeCount&gt;=432,F502=""),"Incomplete","Complete")</f>
        <v>Complete</v>
      </c>
      <c r="I502" s="55" t="s">
        <v>700</v>
      </c>
    </row>
    <row r="503" spans="2:9" ht="15" customHeight="1" x14ac:dyDescent="0.25">
      <c r="B503" s="51" t="s">
        <v>124</v>
      </c>
      <c r="C503" s="52">
        <v>433</v>
      </c>
      <c r="D503" s="53" t="s">
        <v>4326</v>
      </c>
      <c r="E503" s="54"/>
      <c r="F503" s="52" t="str">
        <f>IF(INDEX(I.Performance.StartRange,433)="","",INDEX(I.Performance.StartRange,433))</f>
        <v/>
      </c>
      <c r="G503" s="54"/>
      <c r="H503" s="52" t="str">
        <f>IF(AND(I.Compliance.FulfilledPerformance&gt;0,I.Performance.RangeCount&gt;=433,F503=""),"Incomplete","Complete")</f>
        <v>Complete</v>
      </c>
      <c r="I503" s="55" t="s">
        <v>701</v>
      </c>
    </row>
    <row r="504" spans="2:9" ht="15" customHeight="1" x14ac:dyDescent="0.25">
      <c r="B504" s="51" t="s">
        <v>124</v>
      </c>
      <c r="C504" s="52">
        <v>434</v>
      </c>
      <c r="D504" s="53" t="s">
        <v>4326</v>
      </c>
      <c r="E504" s="54"/>
      <c r="F504" s="52" t="str">
        <f>IF(INDEX(I.Performance.StartRange,434)="","",INDEX(I.Performance.StartRange,434))</f>
        <v/>
      </c>
      <c r="G504" s="54"/>
      <c r="H504" s="52" t="str">
        <f>IF(AND(I.Compliance.FulfilledPerformance&gt;0,I.Performance.RangeCount&gt;=434,F504=""),"Incomplete","Complete")</f>
        <v>Complete</v>
      </c>
      <c r="I504" s="55" t="s">
        <v>702</v>
      </c>
    </row>
    <row r="505" spans="2:9" ht="15" customHeight="1" x14ac:dyDescent="0.25">
      <c r="B505" s="51" t="s">
        <v>124</v>
      </c>
      <c r="C505" s="52">
        <v>435</v>
      </c>
      <c r="D505" s="53" t="s">
        <v>4326</v>
      </c>
      <c r="E505" s="54"/>
      <c r="F505" s="52" t="str">
        <f>IF(INDEX(I.Performance.StartRange,435)="","",INDEX(I.Performance.StartRange,435))</f>
        <v/>
      </c>
      <c r="G505" s="54"/>
      <c r="H505" s="52" t="str">
        <f>IF(AND(I.Compliance.FulfilledPerformance&gt;0,I.Performance.RangeCount&gt;=435,F505=""),"Incomplete","Complete")</f>
        <v>Complete</v>
      </c>
      <c r="I505" s="55" t="s">
        <v>703</v>
      </c>
    </row>
    <row r="506" spans="2:9" ht="15" customHeight="1" x14ac:dyDescent="0.25">
      <c r="B506" s="51" t="s">
        <v>124</v>
      </c>
      <c r="C506" s="52">
        <v>436</v>
      </c>
      <c r="D506" s="53" t="s">
        <v>4326</v>
      </c>
      <c r="E506" s="54"/>
      <c r="F506" s="52" t="str">
        <f>IF(INDEX(I.Performance.StartRange,436)="","",INDEX(I.Performance.StartRange,436))</f>
        <v/>
      </c>
      <c r="G506" s="54"/>
      <c r="H506" s="52" t="str">
        <f>IF(AND(I.Compliance.FulfilledPerformance&gt;0,I.Performance.RangeCount&gt;=436,F506=""),"Incomplete","Complete")</f>
        <v>Complete</v>
      </c>
      <c r="I506" s="55" t="s">
        <v>704</v>
      </c>
    </row>
    <row r="507" spans="2:9" ht="15" customHeight="1" x14ac:dyDescent="0.25">
      <c r="B507" s="51" t="s">
        <v>124</v>
      </c>
      <c r="C507" s="52">
        <v>437</v>
      </c>
      <c r="D507" s="53" t="s">
        <v>4326</v>
      </c>
      <c r="E507" s="54"/>
      <c r="F507" s="52" t="str">
        <f>IF(INDEX(I.Performance.StartRange,437)="","",INDEX(I.Performance.StartRange,437))</f>
        <v/>
      </c>
      <c r="G507" s="54"/>
      <c r="H507" s="52" t="str">
        <f>IF(AND(I.Compliance.FulfilledPerformance&gt;0,I.Performance.RangeCount&gt;=437,F507=""),"Incomplete","Complete")</f>
        <v>Complete</v>
      </c>
      <c r="I507" s="55" t="s">
        <v>705</v>
      </c>
    </row>
    <row r="508" spans="2:9" ht="15" customHeight="1" x14ac:dyDescent="0.25">
      <c r="B508" s="51" t="s">
        <v>124</v>
      </c>
      <c r="C508" s="52">
        <v>438</v>
      </c>
      <c r="D508" s="53" t="s">
        <v>4326</v>
      </c>
      <c r="E508" s="54"/>
      <c r="F508" s="52" t="str">
        <f>IF(INDEX(I.Performance.StartRange,438)="","",INDEX(I.Performance.StartRange,438))</f>
        <v/>
      </c>
      <c r="G508" s="54"/>
      <c r="H508" s="52" t="str">
        <f>IF(AND(I.Compliance.FulfilledPerformance&gt;0,I.Performance.RangeCount&gt;=438,F508=""),"Incomplete","Complete")</f>
        <v>Complete</v>
      </c>
      <c r="I508" s="55" t="s">
        <v>706</v>
      </c>
    </row>
    <row r="509" spans="2:9" ht="15" customHeight="1" x14ac:dyDescent="0.25">
      <c r="B509" s="51" t="s">
        <v>124</v>
      </c>
      <c r="C509" s="52">
        <v>439</v>
      </c>
      <c r="D509" s="53" t="s">
        <v>4326</v>
      </c>
      <c r="E509" s="54"/>
      <c r="F509" s="52" t="str">
        <f>IF(INDEX(I.Performance.StartRange,439)="","",INDEX(I.Performance.StartRange,439))</f>
        <v/>
      </c>
      <c r="G509" s="54"/>
      <c r="H509" s="52" t="str">
        <f>IF(AND(I.Compliance.FulfilledPerformance&gt;0,I.Performance.RangeCount&gt;=439,F509=""),"Incomplete","Complete")</f>
        <v>Complete</v>
      </c>
      <c r="I509" s="55" t="s">
        <v>707</v>
      </c>
    </row>
    <row r="510" spans="2:9" ht="15" customHeight="1" x14ac:dyDescent="0.25">
      <c r="B510" s="51" t="s">
        <v>124</v>
      </c>
      <c r="C510" s="52">
        <v>440</v>
      </c>
      <c r="D510" s="53" t="s">
        <v>4326</v>
      </c>
      <c r="E510" s="54"/>
      <c r="F510" s="52" t="str">
        <f>IF(INDEX(I.Performance.StartRange,440)="","",INDEX(I.Performance.StartRange,440))</f>
        <v/>
      </c>
      <c r="G510" s="54"/>
      <c r="H510" s="52" t="str">
        <f>IF(AND(I.Compliance.FulfilledPerformance&gt;0,I.Performance.RangeCount&gt;=440,F510=""),"Incomplete","Complete")</f>
        <v>Complete</v>
      </c>
      <c r="I510" s="55" t="s">
        <v>708</v>
      </c>
    </row>
    <row r="511" spans="2:9" ht="15" customHeight="1" x14ac:dyDescent="0.25">
      <c r="B511" s="51" t="s">
        <v>124</v>
      </c>
      <c r="C511" s="52">
        <v>441</v>
      </c>
      <c r="D511" s="53" t="s">
        <v>4326</v>
      </c>
      <c r="E511" s="54"/>
      <c r="F511" s="52" t="str">
        <f>IF(INDEX(I.Performance.StartRange,441)="","",INDEX(I.Performance.StartRange,441))</f>
        <v/>
      </c>
      <c r="G511" s="54"/>
      <c r="H511" s="52" t="str">
        <f>IF(AND(I.Compliance.FulfilledPerformance&gt;0,I.Performance.RangeCount&gt;=441,F511=""),"Incomplete","Complete")</f>
        <v>Complete</v>
      </c>
      <c r="I511" s="55" t="s">
        <v>709</v>
      </c>
    </row>
    <row r="512" spans="2:9" ht="15" customHeight="1" x14ac:dyDescent="0.25">
      <c r="B512" s="51" t="s">
        <v>124</v>
      </c>
      <c r="C512" s="52">
        <v>442</v>
      </c>
      <c r="D512" s="53" t="s">
        <v>4326</v>
      </c>
      <c r="E512" s="54"/>
      <c r="F512" s="52" t="str">
        <f>IF(INDEX(I.Performance.StartRange,442)="","",INDEX(I.Performance.StartRange,442))</f>
        <v/>
      </c>
      <c r="G512" s="54"/>
      <c r="H512" s="52" t="str">
        <f>IF(AND(I.Compliance.FulfilledPerformance&gt;0,I.Performance.RangeCount&gt;=442,F512=""),"Incomplete","Complete")</f>
        <v>Complete</v>
      </c>
      <c r="I512" s="55" t="s">
        <v>710</v>
      </c>
    </row>
    <row r="513" spans="2:9" ht="15" customHeight="1" x14ac:dyDescent="0.25">
      <c r="B513" s="51" t="s">
        <v>124</v>
      </c>
      <c r="C513" s="52">
        <v>443</v>
      </c>
      <c r="D513" s="53" t="s">
        <v>4326</v>
      </c>
      <c r="E513" s="54"/>
      <c r="F513" s="52" t="str">
        <f>IF(INDEX(I.Performance.StartRange,443)="","",INDEX(I.Performance.StartRange,443))</f>
        <v/>
      </c>
      <c r="G513" s="54"/>
      <c r="H513" s="52" t="str">
        <f>IF(AND(I.Compliance.FulfilledPerformance&gt;0,I.Performance.RangeCount&gt;=443,F513=""),"Incomplete","Complete")</f>
        <v>Complete</v>
      </c>
      <c r="I513" s="55" t="s">
        <v>711</v>
      </c>
    </row>
    <row r="514" spans="2:9" ht="15" customHeight="1" x14ac:dyDescent="0.25">
      <c r="B514" s="51" t="s">
        <v>124</v>
      </c>
      <c r="C514" s="52">
        <v>444</v>
      </c>
      <c r="D514" s="53" t="s">
        <v>4326</v>
      </c>
      <c r="E514" s="54"/>
      <c r="F514" s="52" t="str">
        <f>IF(INDEX(I.Performance.StartRange,444)="","",INDEX(I.Performance.StartRange,444))</f>
        <v/>
      </c>
      <c r="G514" s="54"/>
      <c r="H514" s="52" t="str">
        <f>IF(AND(I.Compliance.FulfilledPerformance&gt;0,I.Performance.RangeCount&gt;=444,F514=""),"Incomplete","Complete")</f>
        <v>Complete</v>
      </c>
      <c r="I514" s="55" t="s">
        <v>712</v>
      </c>
    </row>
    <row r="515" spans="2:9" ht="15" customHeight="1" x14ac:dyDescent="0.25">
      <c r="B515" s="51" t="s">
        <v>124</v>
      </c>
      <c r="C515" s="52">
        <v>445</v>
      </c>
      <c r="D515" s="53" t="s">
        <v>4326</v>
      </c>
      <c r="E515" s="54"/>
      <c r="F515" s="52" t="str">
        <f>IF(INDEX(I.Performance.StartRange,445)="","",INDEX(I.Performance.StartRange,445))</f>
        <v/>
      </c>
      <c r="G515" s="54"/>
      <c r="H515" s="52" t="str">
        <f>IF(AND(I.Compliance.FulfilledPerformance&gt;0,I.Performance.RangeCount&gt;=445,F515=""),"Incomplete","Complete")</f>
        <v>Complete</v>
      </c>
      <c r="I515" s="55" t="s">
        <v>713</v>
      </c>
    </row>
    <row r="516" spans="2:9" ht="15" customHeight="1" x14ac:dyDescent="0.25">
      <c r="B516" s="51" t="s">
        <v>124</v>
      </c>
      <c r="C516" s="52">
        <v>446</v>
      </c>
      <c r="D516" s="53" t="s">
        <v>4326</v>
      </c>
      <c r="E516" s="54"/>
      <c r="F516" s="52" t="str">
        <f>IF(INDEX(I.Performance.StartRange,446)="","",INDEX(I.Performance.StartRange,446))</f>
        <v/>
      </c>
      <c r="G516" s="54"/>
      <c r="H516" s="52" t="str">
        <f>IF(AND(I.Compliance.FulfilledPerformance&gt;0,I.Performance.RangeCount&gt;=446,F516=""),"Incomplete","Complete")</f>
        <v>Complete</v>
      </c>
      <c r="I516" s="55" t="s">
        <v>714</v>
      </c>
    </row>
    <row r="517" spans="2:9" ht="15" customHeight="1" x14ac:dyDescent="0.25">
      <c r="B517" s="51" t="s">
        <v>124</v>
      </c>
      <c r="C517" s="52">
        <v>447</v>
      </c>
      <c r="D517" s="53" t="s">
        <v>4326</v>
      </c>
      <c r="E517" s="54"/>
      <c r="F517" s="52" t="str">
        <f>IF(INDEX(I.Performance.StartRange,447)="","",INDEX(I.Performance.StartRange,447))</f>
        <v/>
      </c>
      <c r="G517" s="54"/>
      <c r="H517" s="52" t="str">
        <f>IF(AND(I.Compliance.FulfilledPerformance&gt;0,I.Performance.RangeCount&gt;=447,F517=""),"Incomplete","Complete")</f>
        <v>Complete</v>
      </c>
      <c r="I517" s="55" t="s">
        <v>715</v>
      </c>
    </row>
    <row r="518" spans="2:9" ht="15" customHeight="1" x14ac:dyDescent="0.25">
      <c r="B518" s="51" t="s">
        <v>124</v>
      </c>
      <c r="C518" s="52">
        <v>448</v>
      </c>
      <c r="D518" s="53" t="s">
        <v>4326</v>
      </c>
      <c r="E518" s="54"/>
      <c r="F518" s="52" t="str">
        <f>IF(INDEX(I.Performance.StartRange,448)="","",INDEX(I.Performance.StartRange,448))</f>
        <v/>
      </c>
      <c r="G518" s="54"/>
      <c r="H518" s="52" t="str">
        <f>IF(AND(I.Compliance.FulfilledPerformance&gt;0,I.Performance.RangeCount&gt;=448,F518=""),"Incomplete","Complete")</f>
        <v>Complete</v>
      </c>
      <c r="I518" s="55" t="s">
        <v>716</v>
      </c>
    </row>
    <row r="519" spans="2:9" ht="15" customHeight="1" x14ac:dyDescent="0.25">
      <c r="B519" s="51" t="s">
        <v>124</v>
      </c>
      <c r="C519" s="52">
        <v>449</v>
      </c>
      <c r="D519" s="53" t="s">
        <v>4326</v>
      </c>
      <c r="E519" s="54"/>
      <c r="F519" s="52" t="str">
        <f>IF(INDEX(I.Performance.StartRange,449)="","",INDEX(I.Performance.StartRange,449))</f>
        <v/>
      </c>
      <c r="G519" s="54"/>
      <c r="H519" s="52" t="str">
        <f>IF(AND(I.Compliance.FulfilledPerformance&gt;0,I.Performance.RangeCount&gt;=449,F519=""),"Incomplete","Complete")</f>
        <v>Complete</v>
      </c>
      <c r="I519" s="55" t="s">
        <v>717</v>
      </c>
    </row>
    <row r="520" spans="2:9" ht="15" customHeight="1" x14ac:dyDescent="0.25">
      <c r="B520" s="51" t="s">
        <v>124</v>
      </c>
      <c r="C520" s="52">
        <v>450</v>
      </c>
      <c r="D520" s="53" t="s">
        <v>4326</v>
      </c>
      <c r="E520" s="54"/>
      <c r="F520" s="52" t="str">
        <f>IF(INDEX(I.Performance.StartRange,450)="","",INDEX(I.Performance.StartRange,450))</f>
        <v/>
      </c>
      <c r="G520" s="54"/>
      <c r="H520" s="52" t="str">
        <f>IF(AND(I.Compliance.FulfilledPerformance&gt;0,I.Performance.RangeCount&gt;=450,F520=""),"Incomplete","Complete")</f>
        <v>Complete</v>
      </c>
      <c r="I520" s="55" t="s">
        <v>718</v>
      </c>
    </row>
    <row r="521" spans="2:9" ht="15" customHeight="1" x14ac:dyDescent="0.25">
      <c r="B521" s="51" t="s">
        <v>124</v>
      </c>
      <c r="C521" s="52">
        <v>451</v>
      </c>
      <c r="D521" s="53" t="s">
        <v>4326</v>
      </c>
      <c r="E521" s="54"/>
      <c r="F521" s="52" t="str">
        <f>IF(INDEX(I.Performance.StartRange,451)="","",INDEX(I.Performance.StartRange,451))</f>
        <v/>
      </c>
      <c r="G521" s="54"/>
      <c r="H521" s="52" t="str">
        <f>IF(AND(I.Compliance.FulfilledPerformance&gt;0,I.Performance.RangeCount&gt;=451,F521=""),"Incomplete","Complete")</f>
        <v>Complete</v>
      </c>
      <c r="I521" s="55" t="s">
        <v>719</v>
      </c>
    </row>
    <row r="522" spans="2:9" ht="15" customHeight="1" x14ac:dyDescent="0.25">
      <c r="B522" s="51" t="s">
        <v>124</v>
      </c>
      <c r="C522" s="52">
        <v>452</v>
      </c>
      <c r="D522" s="53" t="s">
        <v>4326</v>
      </c>
      <c r="E522" s="54"/>
      <c r="F522" s="52" t="str">
        <f>IF(INDEX(I.Performance.StartRange,452)="","",INDEX(I.Performance.StartRange,452))</f>
        <v/>
      </c>
      <c r="G522" s="54"/>
      <c r="H522" s="52" t="str">
        <f>IF(AND(I.Compliance.FulfilledPerformance&gt;0,I.Performance.RangeCount&gt;=452,F522=""),"Incomplete","Complete")</f>
        <v>Complete</v>
      </c>
      <c r="I522" s="55" t="s">
        <v>720</v>
      </c>
    </row>
    <row r="523" spans="2:9" ht="15" customHeight="1" x14ac:dyDescent="0.25">
      <c r="B523" s="51" t="s">
        <v>124</v>
      </c>
      <c r="C523" s="52">
        <v>453</v>
      </c>
      <c r="D523" s="53" t="s">
        <v>4326</v>
      </c>
      <c r="E523" s="54"/>
      <c r="F523" s="52" t="str">
        <f>IF(INDEX(I.Performance.StartRange,453)="","",INDEX(I.Performance.StartRange,453))</f>
        <v/>
      </c>
      <c r="G523" s="54"/>
      <c r="H523" s="52" t="str">
        <f>IF(AND(I.Compliance.FulfilledPerformance&gt;0,I.Performance.RangeCount&gt;=453,F523=""),"Incomplete","Complete")</f>
        <v>Complete</v>
      </c>
      <c r="I523" s="55" t="s">
        <v>721</v>
      </c>
    </row>
    <row r="524" spans="2:9" ht="15" customHeight="1" x14ac:dyDescent="0.25">
      <c r="B524" s="51" t="s">
        <v>124</v>
      </c>
      <c r="C524" s="52">
        <v>454</v>
      </c>
      <c r="D524" s="53" t="s">
        <v>4326</v>
      </c>
      <c r="E524" s="54"/>
      <c r="F524" s="52" t="str">
        <f>IF(INDEX(I.Performance.StartRange,454)="","",INDEX(I.Performance.StartRange,454))</f>
        <v/>
      </c>
      <c r="G524" s="54"/>
      <c r="H524" s="52" t="str">
        <f>IF(AND(I.Compliance.FulfilledPerformance&gt;0,I.Performance.RangeCount&gt;=454,F524=""),"Incomplete","Complete")</f>
        <v>Complete</v>
      </c>
      <c r="I524" s="55" t="s">
        <v>722</v>
      </c>
    </row>
    <row r="525" spans="2:9" ht="15" customHeight="1" x14ac:dyDescent="0.25">
      <c r="B525" s="51" t="s">
        <v>124</v>
      </c>
      <c r="C525" s="52">
        <v>455</v>
      </c>
      <c r="D525" s="53" t="s">
        <v>4326</v>
      </c>
      <c r="E525" s="54"/>
      <c r="F525" s="52" t="str">
        <f>IF(INDEX(I.Performance.StartRange,455)="","",INDEX(I.Performance.StartRange,455))</f>
        <v/>
      </c>
      <c r="G525" s="54"/>
      <c r="H525" s="52" t="str">
        <f>IF(AND(I.Compliance.FulfilledPerformance&gt;0,I.Performance.RangeCount&gt;=455,F525=""),"Incomplete","Complete")</f>
        <v>Complete</v>
      </c>
      <c r="I525" s="55" t="s">
        <v>723</v>
      </c>
    </row>
    <row r="526" spans="2:9" ht="15" customHeight="1" x14ac:dyDescent="0.25">
      <c r="B526" s="51" t="s">
        <v>124</v>
      </c>
      <c r="C526" s="52">
        <v>456</v>
      </c>
      <c r="D526" s="53" t="s">
        <v>4326</v>
      </c>
      <c r="E526" s="54"/>
      <c r="F526" s="52" t="str">
        <f>IF(INDEX(I.Performance.StartRange,456)="","",INDEX(I.Performance.StartRange,456))</f>
        <v/>
      </c>
      <c r="G526" s="54"/>
      <c r="H526" s="52" t="str">
        <f>IF(AND(I.Compliance.FulfilledPerformance&gt;0,I.Performance.RangeCount&gt;=456,F526=""),"Incomplete","Complete")</f>
        <v>Complete</v>
      </c>
      <c r="I526" s="55" t="s">
        <v>724</v>
      </c>
    </row>
    <row r="527" spans="2:9" ht="15" customHeight="1" x14ac:dyDescent="0.25">
      <c r="B527" s="51" t="s">
        <v>124</v>
      </c>
      <c r="C527" s="52">
        <v>457</v>
      </c>
      <c r="D527" s="53" t="s">
        <v>4326</v>
      </c>
      <c r="E527" s="54"/>
      <c r="F527" s="52" t="str">
        <f>IF(INDEX(I.Performance.StartRange,457)="","",INDEX(I.Performance.StartRange,457))</f>
        <v/>
      </c>
      <c r="G527" s="54"/>
      <c r="H527" s="52" t="str">
        <f>IF(AND(I.Compliance.FulfilledPerformance&gt;0,I.Performance.RangeCount&gt;=457,F527=""),"Incomplete","Complete")</f>
        <v>Complete</v>
      </c>
      <c r="I527" s="55" t="s">
        <v>725</v>
      </c>
    </row>
    <row r="528" spans="2:9" ht="15" customHeight="1" x14ac:dyDescent="0.25">
      <c r="B528" s="51" t="s">
        <v>124</v>
      </c>
      <c r="C528" s="52">
        <v>458</v>
      </c>
      <c r="D528" s="53" t="s">
        <v>4326</v>
      </c>
      <c r="E528" s="54"/>
      <c r="F528" s="52" t="str">
        <f>IF(INDEX(I.Performance.StartRange,458)="","",INDEX(I.Performance.StartRange,458))</f>
        <v/>
      </c>
      <c r="G528" s="54"/>
      <c r="H528" s="52" t="str">
        <f>IF(AND(I.Compliance.FulfilledPerformance&gt;0,I.Performance.RangeCount&gt;=458,F528=""),"Incomplete","Complete")</f>
        <v>Complete</v>
      </c>
      <c r="I528" s="55" t="s">
        <v>726</v>
      </c>
    </row>
    <row r="529" spans="2:9" ht="15" customHeight="1" x14ac:dyDescent="0.25">
      <c r="B529" s="51" t="s">
        <v>124</v>
      </c>
      <c r="C529" s="52">
        <v>459</v>
      </c>
      <c r="D529" s="53" t="s">
        <v>4326</v>
      </c>
      <c r="E529" s="54"/>
      <c r="F529" s="52" t="str">
        <f>IF(INDEX(I.Performance.StartRange,459)="","",INDEX(I.Performance.StartRange,459))</f>
        <v/>
      </c>
      <c r="G529" s="54"/>
      <c r="H529" s="52" t="str">
        <f>IF(AND(I.Compliance.FulfilledPerformance&gt;0,I.Performance.RangeCount&gt;=459,F529=""),"Incomplete","Complete")</f>
        <v>Complete</v>
      </c>
      <c r="I529" s="55" t="s">
        <v>727</v>
      </c>
    </row>
    <row r="530" spans="2:9" ht="15" customHeight="1" x14ac:dyDescent="0.25">
      <c r="B530" s="51" t="s">
        <v>124</v>
      </c>
      <c r="C530" s="52">
        <v>460</v>
      </c>
      <c r="D530" s="53" t="s">
        <v>4326</v>
      </c>
      <c r="E530" s="54"/>
      <c r="F530" s="52" t="str">
        <f>IF(INDEX(I.Performance.StartRange,460)="","",INDEX(I.Performance.StartRange,460))</f>
        <v/>
      </c>
      <c r="G530" s="54"/>
      <c r="H530" s="52" t="str">
        <f>IF(AND(I.Compliance.FulfilledPerformance&gt;0,I.Performance.RangeCount&gt;=460,F530=""),"Incomplete","Complete")</f>
        <v>Complete</v>
      </c>
      <c r="I530" s="55" t="s">
        <v>728</v>
      </c>
    </row>
    <row r="531" spans="2:9" ht="15" customHeight="1" x14ac:dyDescent="0.25">
      <c r="B531" s="51" t="s">
        <v>124</v>
      </c>
      <c r="C531" s="52">
        <v>461</v>
      </c>
      <c r="D531" s="53" t="s">
        <v>4326</v>
      </c>
      <c r="E531" s="54"/>
      <c r="F531" s="52" t="str">
        <f>IF(INDEX(I.Performance.StartRange,461)="","",INDEX(I.Performance.StartRange,461))</f>
        <v/>
      </c>
      <c r="G531" s="54"/>
      <c r="H531" s="52" t="str">
        <f>IF(AND(I.Compliance.FulfilledPerformance&gt;0,I.Performance.RangeCount&gt;=461,F531=""),"Incomplete","Complete")</f>
        <v>Complete</v>
      </c>
      <c r="I531" s="55" t="s">
        <v>729</v>
      </c>
    </row>
    <row r="532" spans="2:9" ht="15" customHeight="1" x14ac:dyDescent="0.25">
      <c r="B532" s="51" t="s">
        <v>124</v>
      </c>
      <c r="C532" s="52">
        <v>462</v>
      </c>
      <c r="D532" s="53" t="s">
        <v>4326</v>
      </c>
      <c r="E532" s="54"/>
      <c r="F532" s="52" t="str">
        <f>IF(INDEX(I.Performance.StartRange,462)="","",INDEX(I.Performance.StartRange,462))</f>
        <v/>
      </c>
      <c r="G532" s="54"/>
      <c r="H532" s="52" t="str">
        <f>IF(AND(I.Compliance.FulfilledPerformance&gt;0,I.Performance.RangeCount&gt;=462,F532=""),"Incomplete","Complete")</f>
        <v>Complete</v>
      </c>
      <c r="I532" s="55" t="s">
        <v>730</v>
      </c>
    </row>
    <row r="533" spans="2:9" ht="15" customHeight="1" x14ac:dyDescent="0.25">
      <c r="B533" s="51" t="s">
        <v>124</v>
      </c>
      <c r="C533" s="52">
        <v>463</v>
      </c>
      <c r="D533" s="53" t="s">
        <v>4326</v>
      </c>
      <c r="E533" s="54"/>
      <c r="F533" s="52" t="str">
        <f>IF(INDEX(I.Performance.StartRange,463)="","",INDEX(I.Performance.StartRange,463))</f>
        <v/>
      </c>
      <c r="G533" s="54"/>
      <c r="H533" s="52" t="str">
        <f>IF(AND(I.Compliance.FulfilledPerformance&gt;0,I.Performance.RangeCount&gt;=463,F533=""),"Incomplete","Complete")</f>
        <v>Complete</v>
      </c>
      <c r="I533" s="55" t="s">
        <v>731</v>
      </c>
    </row>
    <row r="534" spans="2:9" ht="15" customHeight="1" x14ac:dyDescent="0.25">
      <c r="B534" s="51" t="s">
        <v>124</v>
      </c>
      <c r="C534" s="52">
        <v>464</v>
      </c>
      <c r="D534" s="53" t="s">
        <v>4326</v>
      </c>
      <c r="E534" s="54"/>
      <c r="F534" s="52" t="str">
        <f>IF(INDEX(I.Performance.StartRange,464)="","",INDEX(I.Performance.StartRange,464))</f>
        <v/>
      </c>
      <c r="G534" s="54"/>
      <c r="H534" s="52" t="str">
        <f>IF(AND(I.Compliance.FulfilledPerformance&gt;0,I.Performance.RangeCount&gt;=464,F534=""),"Incomplete","Complete")</f>
        <v>Complete</v>
      </c>
      <c r="I534" s="55" t="s">
        <v>732</v>
      </c>
    </row>
    <row r="535" spans="2:9" ht="15" customHeight="1" x14ac:dyDescent="0.25">
      <c r="B535" s="51" t="s">
        <v>124</v>
      </c>
      <c r="C535" s="52">
        <v>465</v>
      </c>
      <c r="D535" s="53" t="s">
        <v>4326</v>
      </c>
      <c r="E535" s="54"/>
      <c r="F535" s="52" t="str">
        <f>IF(INDEX(I.Performance.StartRange,465)="","",INDEX(I.Performance.StartRange,465))</f>
        <v/>
      </c>
      <c r="G535" s="54"/>
      <c r="H535" s="52" t="str">
        <f>IF(AND(I.Compliance.FulfilledPerformance&gt;0,I.Performance.RangeCount&gt;=465,F535=""),"Incomplete","Complete")</f>
        <v>Complete</v>
      </c>
      <c r="I535" s="55" t="s">
        <v>733</v>
      </c>
    </row>
    <row r="536" spans="2:9" ht="15" customHeight="1" x14ac:dyDescent="0.25">
      <c r="B536" s="51" t="s">
        <v>124</v>
      </c>
      <c r="C536" s="52">
        <v>466</v>
      </c>
      <c r="D536" s="53" t="s">
        <v>4326</v>
      </c>
      <c r="E536" s="54"/>
      <c r="F536" s="52" t="str">
        <f>IF(INDEX(I.Performance.StartRange,466)="","",INDEX(I.Performance.StartRange,466))</f>
        <v/>
      </c>
      <c r="G536" s="54"/>
      <c r="H536" s="52" t="str">
        <f>IF(AND(I.Compliance.FulfilledPerformance&gt;0,I.Performance.RangeCount&gt;=466,F536=""),"Incomplete","Complete")</f>
        <v>Complete</v>
      </c>
      <c r="I536" s="55" t="s">
        <v>734</v>
      </c>
    </row>
    <row r="537" spans="2:9" ht="15" customHeight="1" x14ac:dyDescent="0.25">
      <c r="B537" s="51" t="s">
        <v>124</v>
      </c>
      <c r="C537" s="52">
        <v>467</v>
      </c>
      <c r="D537" s="53" t="s">
        <v>4326</v>
      </c>
      <c r="E537" s="54"/>
      <c r="F537" s="52" t="str">
        <f>IF(INDEX(I.Performance.StartRange,467)="","",INDEX(I.Performance.StartRange,467))</f>
        <v/>
      </c>
      <c r="G537" s="54"/>
      <c r="H537" s="52" t="str">
        <f>IF(AND(I.Compliance.FulfilledPerformance&gt;0,I.Performance.RangeCount&gt;=467,F537=""),"Incomplete","Complete")</f>
        <v>Complete</v>
      </c>
      <c r="I537" s="55" t="s">
        <v>735</v>
      </c>
    </row>
    <row r="538" spans="2:9" ht="15" customHeight="1" x14ac:dyDescent="0.25">
      <c r="B538" s="51" t="s">
        <v>124</v>
      </c>
      <c r="C538" s="52">
        <v>468</v>
      </c>
      <c r="D538" s="53" t="s">
        <v>4326</v>
      </c>
      <c r="E538" s="54"/>
      <c r="F538" s="52" t="str">
        <f>IF(INDEX(I.Performance.StartRange,468)="","",INDEX(I.Performance.StartRange,468))</f>
        <v/>
      </c>
      <c r="G538" s="54"/>
      <c r="H538" s="52" t="str">
        <f>IF(AND(I.Compliance.FulfilledPerformance&gt;0,I.Performance.RangeCount&gt;=468,F538=""),"Incomplete","Complete")</f>
        <v>Complete</v>
      </c>
      <c r="I538" s="55" t="s">
        <v>736</v>
      </c>
    </row>
    <row r="539" spans="2:9" ht="15" customHeight="1" x14ac:dyDescent="0.25">
      <c r="B539" s="51" t="s">
        <v>124</v>
      </c>
      <c r="C539" s="52">
        <v>469</v>
      </c>
      <c r="D539" s="53" t="s">
        <v>4326</v>
      </c>
      <c r="E539" s="54"/>
      <c r="F539" s="52" t="str">
        <f>IF(INDEX(I.Performance.StartRange,469)="","",INDEX(I.Performance.StartRange,469))</f>
        <v/>
      </c>
      <c r="G539" s="54"/>
      <c r="H539" s="52" t="str">
        <f>IF(AND(I.Compliance.FulfilledPerformance&gt;0,I.Performance.RangeCount&gt;=469,F539=""),"Incomplete","Complete")</f>
        <v>Complete</v>
      </c>
      <c r="I539" s="55" t="s">
        <v>737</v>
      </c>
    </row>
    <row r="540" spans="2:9" ht="15" customHeight="1" x14ac:dyDescent="0.25">
      <c r="B540" s="51" t="s">
        <v>124</v>
      </c>
      <c r="C540" s="52">
        <v>470</v>
      </c>
      <c r="D540" s="53" t="s">
        <v>4326</v>
      </c>
      <c r="E540" s="54"/>
      <c r="F540" s="52" t="str">
        <f>IF(INDEX(I.Performance.StartRange,470)="","",INDEX(I.Performance.StartRange,470))</f>
        <v/>
      </c>
      <c r="G540" s="54"/>
      <c r="H540" s="52" t="str">
        <f>IF(AND(I.Compliance.FulfilledPerformance&gt;0,I.Performance.RangeCount&gt;=470,F540=""),"Incomplete","Complete")</f>
        <v>Complete</v>
      </c>
      <c r="I540" s="55" t="s">
        <v>738</v>
      </c>
    </row>
    <row r="541" spans="2:9" ht="15" customHeight="1" x14ac:dyDescent="0.25">
      <c r="B541" s="51" t="s">
        <v>124</v>
      </c>
      <c r="C541" s="52">
        <v>471</v>
      </c>
      <c r="D541" s="53" t="s">
        <v>4326</v>
      </c>
      <c r="E541" s="54"/>
      <c r="F541" s="52" t="str">
        <f>IF(INDEX(I.Performance.StartRange,471)="","",INDEX(I.Performance.StartRange,471))</f>
        <v/>
      </c>
      <c r="G541" s="54"/>
      <c r="H541" s="52" t="str">
        <f>IF(AND(I.Compliance.FulfilledPerformance&gt;0,I.Performance.RangeCount&gt;=471,F541=""),"Incomplete","Complete")</f>
        <v>Complete</v>
      </c>
      <c r="I541" s="55" t="s">
        <v>739</v>
      </c>
    </row>
    <row r="542" spans="2:9" ht="15" customHeight="1" x14ac:dyDescent="0.25">
      <c r="B542" s="51" t="s">
        <v>124</v>
      </c>
      <c r="C542" s="52">
        <v>472</v>
      </c>
      <c r="D542" s="53" t="s">
        <v>4326</v>
      </c>
      <c r="E542" s="54"/>
      <c r="F542" s="52" t="str">
        <f>IF(INDEX(I.Performance.StartRange,472)="","",INDEX(I.Performance.StartRange,472))</f>
        <v/>
      </c>
      <c r="G542" s="54"/>
      <c r="H542" s="52" t="str">
        <f>IF(AND(I.Compliance.FulfilledPerformance&gt;0,I.Performance.RangeCount&gt;=472,F542=""),"Incomplete","Complete")</f>
        <v>Complete</v>
      </c>
      <c r="I542" s="55" t="s">
        <v>740</v>
      </c>
    </row>
    <row r="543" spans="2:9" ht="15" customHeight="1" x14ac:dyDescent="0.25">
      <c r="B543" s="51" t="s">
        <v>124</v>
      </c>
      <c r="C543" s="52">
        <v>473</v>
      </c>
      <c r="D543" s="53" t="s">
        <v>4326</v>
      </c>
      <c r="E543" s="54"/>
      <c r="F543" s="52" t="str">
        <f>IF(INDEX(I.Performance.StartRange,473)="","",INDEX(I.Performance.StartRange,473))</f>
        <v/>
      </c>
      <c r="G543" s="54"/>
      <c r="H543" s="52" t="str">
        <f>IF(AND(I.Compliance.FulfilledPerformance&gt;0,I.Performance.RangeCount&gt;=473,F543=""),"Incomplete","Complete")</f>
        <v>Complete</v>
      </c>
      <c r="I543" s="55" t="s">
        <v>741</v>
      </c>
    </row>
    <row r="544" spans="2:9" ht="15" customHeight="1" x14ac:dyDescent="0.25">
      <c r="B544" s="51" t="s">
        <v>124</v>
      </c>
      <c r="C544" s="52">
        <v>474</v>
      </c>
      <c r="D544" s="53" t="s">
        <v>4326</v>
      </c>
      <c r="E544" s="54"/>
      <c r="F544" s="52" t="str">
        <f>IF(INDEX(I.Performance.StartRange,474)="","",INDEX(I.Performance.StartRange,474))</f>
        <v/>
      </c>
      <c r="G544" s="54"/>
      <c r="H544" s="52" t="str">
        <f>IF(AND(I.Compliance.FulfilledPerformance&gt;0,I.Performance.RangeCount&gt;=474,F544=""),"Incomplete","Complete")</f>
        <v>Complete</v>
      </c>
      <c r="I544" s="55" t="s">
        <v>742</v>
      </c>
    </row>
    <row r="545" spans="2:9" ht="15" customHeight="1" x14ac:dyDescent="0.25">
      <c r="B545" s="51" t="s">
        <v>124</v>
      </c>
      <c r="C545" s="52">
        <v>475</v>
      </c>
      <c r="D545" s="53" t="s">
        <v>4326</v>
      </c>
      <c r="E545" s="54"/>
      <c r="F545" s="52" t="str">
        <f>IF(INDEX(I.Performance.StartRange,475)="","",INDEX(I.Performance.StartRange,475))</f>
        <v/>
      </c>
      <c r="G545" s="54"/>
      <c r="H545" s="52" t="str">
        <f>IF(AND(I.Compliance.FulfilledPerformance&gt;0,I.Performance.RangeCount&gt;=475,F545=""),"Incomplete","Complete")</f>
        <v>Complete</v>
      </c>
      <c r="I545" s="55" t="s">
        <v>743</v>
      </c>
    </row>
    <row r="546" spans="2:9" ht="15" customHeight="1" x14ac:dyDescent="0.25">
      <c r="B546" s="51" t="s">
        <v>124</v>
      </c>
      <c r="C546" s="52">
        <v>476</v>
      </c>
      <c r="D546" s="53" t="s">
        <v>4326</v>
      </c>
      <c r="E546" s="54"/>
      <c r="F546" s="52" t="str">
        <f>IF(INDEX(I.Performance.StartRange,476)="","",INDEX(I.Performance.StartRange,476))</f>
        <v/>
      </c>
      <c r="G546" s="54"/>
      <c r="H546" s="52" t="str">
        <f>IF(AND(I.Compliance.FulfilledPerformance&gt;0,I.Performance.RangeCount&gt;=476,F546=""),"Incomplete","Complete")</f>
        <v>Complete</v>
      </c>
      <c r="I546" s="55" t="s">
        <v>744</v>
      </c>
    </row>
    <row r="547" spans="2:9" ht="15" customHeight="1" x14ac:dyDescent="0.25">
      <c r="B547" s="51" t="s">
        <v>124</v>
      </c>
      <c r="C547" s="52">
        <v>477</v>
      </c>
      <c r="D547" s="53" t="s">
        <v>4326</v>
      </c>
      <c r="E547" s="54"/>
      <c r="F547" s="52" t="str">
        <f>IF(INDEX(I.Performance.StartRange,477)="","",INDEX(I.Performance.StartRange,477))</f>
        <v/>
      </c>
      <c r="G547" s="54"/>
      <c r="H547" s="52" t="str">
        <f>IF(AND(I.Compliance.FulfilledPerformance&gt;0,I.Performance.RangeCount&gt;=477,F547=""),"Incomplete","Complete")</f>
        <v>Complete</v>
      </c>
      <c r="I547" s="55" t="s">
        <v>745</v>
      </c>
    </row>
    <row r="548" spans="2:9" ht="15" customHeight="1" x14ac:dyDescent="0.25">
      <c r="B548" s="51" t="s">
        <v>124</v>
      </c>
      <c r="C548" s="52">
        <v>478</v>
      </c>
      <c r="D548" s="53" t="s">
        <v>4326</v>
      </c>
      <c r="E548" s="54"/>
      <c r="F548" s="52" t="str">
        <f>IF(INDEX(I.Performance.StartRange,478)="","",INDEX(I.Performance.StartRange,478))</f>
        <v/>
      </c>
      <c r="G548" s="54"/>
      <c r="H548" s="52" t="str">
        <f>IF(AND(I.Compliance.FulfilledPerformance&gt;0,I.Performance.RangeCount&gt;=478,F548=""),"Incomplete","Complete")</f>
        <v>Complete</v>
      </c>
      <c r="I548" s="55" t="s">
        <v>746</v>
      </c>
    </row>
    <row r="549" spans="2:9" ht="15" customHeight="1" x14ac:dyDescent="0.25">
      <c r="B549" s="51" t="s">
        <v>124</v>
      </c>
      <c r="C549" s="52">
        <v>479</v>
      </c>
      <c r="D549" s="53" t="s">
        <v>4326</v>
      </c>
      <c r="E549" s="54"/>
      <c r="F549" s="52" t="str">
        <f>IF(INDEX(I.Performance.StartRange,479)="","",INDEX(I.Performance.StartRange,479))</f>
        <v/>
      </c>
      <c r="G549" s="54"/>
      <c r="H549" s="52" t="str">
        <f>IF(AND(I.Compliance.FulfilledPerformance&gt;0,I.Performance.RangeCount&gt;=479,F549=""),"Incomplete","Complete")</f>
        <v>Complete</v>
      </c>
      <c r="I549" s="55" t="s">
        <v>747</v>
      </c>
    </row>
    <row r="550" spans="2:9" ht="15" customHeight="1" x14ac:dyDescent="0.25">
      <c r="B550" s="51" t="s">
        <v>124</v>
      </c>
      <c r="C550" s="52">
        <v>480</v>
      </c>
      <c r="D550" s="53" t="s">
        <v>4326</v>
      </c>
      <c r="E550" s="54"/>
      <c r="F550" s="52" t="str">
        <f>IF(INDEX(I.Performance.StartRange,480)="","",INDEX(I.Performance.StartRange,480))</f>
        <v/>
      </c>
      <c r="G550" s="54"/>
      <c r="H550" s="52" t="str">
        <f>IF(AND(I.Compliance.FulfilledPerformance&gt;0,I.Performance.RangeCount&gt;=480,F550=""),"Incomplete","Complete")</f>
        <v>Complete</v>
      </c>
      <c r="I550" s="55" t="s">
        <v>748</v>
      </c>
    </row>
    <row r="551" spans="2:9" ht="15" customHeight="1" x14ac:dyDescent="0.25">
      <c r="B551" s="51" t="s">
        <v>124</v>
      </c>
      <c r="C551" s="52">
        <v>481</v>
      </c>
      <c r="D551" s="53" t="s">
        <v>4326</v>
      </c>
      <c r="E551" s="54"/>
      <c r="F551" s="52" t="str">
        <f>IF(INDEX(I.Performance.StartRange,481)="","",INDEX(I.Performance.StartRange,481))</f>
        <v/>
      </c>
      <c r="G551" s="54"/>
      <c r="H551" s="52" t="str">
        <f>IF(AND(I.Compliance.FulfilledPerformance&gt;0,I.Performance.RangeCount&gt;=481,F551=""),"Incomplete","Complete")</f>
        <v>Complete</v>
      </c>
      <c r="I551" s="55" t="s">
        <v>749</v>
      </c>
    </row>
    <row r="552" spans="2:9" ht="15" customHeight="1" x14ac:dyDescent="0.25">
      <c r="B552" s="51" t="s">
        <v>124</v>
      </c>
      <c r="C552" s="52">
        <v>482</v>
      </c>
      <c r="D552" s="53" t="s">
        <v>4326</v>
      </c>
      <c r="E552" s="54"/>
      <c r="F552" s="52" t="str">
        <f>IF(INDEX(I.Performance.StartRange,482)="","",INDEX(I.Performance.StartRange,482))</f>
        <v/>
      </c>
      <c r="G552" s="54"/>
      <c r="H552" s="52" t="str">
        <f>IF(AND(I.Compliance.FulfilledPerformance&gt;0,I.Performance.RangeCount&gt;=482,F552=""),"Incomplete","Complete")</f>
        <v>Complete</v>
      </c>
      <c r="I552" s="55" t="s">
        <v>750</v>
      </c>
    </row>
    <row r="553" spans="2:9" ht="15" customHeight="1" x14ac:dyDescent="0.25">
      <c r="B553" s="51" t="s">
        <v>124</v>
      </c>
      <c r="C553" s="52">
        <v>483</v>
      </c>
      <c r="D553" s="53" t="s">
        <v>4326</v>
      </c>
      <c r="E553" s="54"/>
      <c r="F553" s="52" t="str">
        <f>IF(INDEX(I.Performance.StartRange,483)="","",INDEX(I.Performance.StartRange,483))</f>
        <v/>
      </c>
      <c r="G553" s="54"/>
      <c r="H553" s="52" t="str">
        <f>IF(AND(I.Compliance.FulfilledPerformance&gt;0,I.Performance.RangeCount&gt;=483,F553=""),"Incomplete","Complete")</f>
        <v>Complete</v>
      </c>
      <c r="I553" s="55" t="s">
        <v>751</v>
      </c>
    </row>
    <row r="554" spans="2:9" ht="15" customHeight="1" x14ac:dyDescent="0.25">
      <c r="B554" s="51" t="s">
        <v>124</v>
      </c>
      <c r="C554" s="52">
        <v>484</v>
      </c>
      <c r="D554" s="53" t="s">
        <v>4326</v>
      </c>
      <c r="E554" s="54"/>
      <c r="F554" s="52" t="str">
        <f>IF(INDEX(I.Performance.StartRange,484)="","",INDEX(I.Performance.StartRange,484))</f>
        <v/>
      </c>
      <c r="G554" s="54"/>
      <c r="H554" s="52" t="str">
        <f>IF(AND(I.Compliance.FulfilledPerformance&gt;0,I.Performance.RangeCount&gt;=484,F554=""),"Incomplete","Complete")</f>
        <v>Complete</v>
      </c>
      <c r="I554" s="55" t="s">
        <v>752</v>
      </c>
    </row>
    <row r="555" spans="2:9" ht="15" customHeight="1" x14ac:dyDescent="0.25">
      <c r="B555" s="51" t="s">
        <v>124</v>
      </c>
      <c r="C555" s="52">
        <v>485</v>
      </c>
      <c r="D555" s="53" t="s">
        <v>4326</v>
      </c>
      <c r="E555" s="54"/>
      <c r="F555" s="52" t="str">
        <f>IF(INDEX(I.Performance.StartRange,485)="","",INDEX(I.Performance.StartRange,485))</f>
        <v/>
      </c>
      <c r="G555" s="54"/>
      <c r="H555" s="52" t="str">
        <f>IF(AND(I.Compliance.FulfilledPerformance&gt;0,I.Performance.RangeCount&gt;=485,F555=""),"Incomplete","Complete")</f>
        <v>Complete</v>
      </c>
      <c r="I555" s="55" t="s">
        <v>753</v>
      </c>
    </row>
    <row r="556" spans="2:9" ht="15" customHeight="1" x14ac:dyDescent="0.25">
      <c r="B556" s="51" t="s">
        <v>124</v>
      </c>
      <c r="C556" s="52">
        <v>486</v>
      </c>
      <c r="D556" s="53" t="s">
        <v>4326</v>
      </c>
      <c r="E556" s="54"/>
      <c r="F556" s="52" t="str">
        <f>IF(INDEX(I.Performance.StartRange,486)="","",INDEX(I.Performance.StartRange,486))</f>
        <v/>
      </c>
      <c r="G556" s="54"/>
      <c r="H556" s="52" t="str">
        <f>IF(AND(I.Compliance.FulfilledPerformance&gt;0,I.Performance.RangeCount&gt;=486,F556=""),"Incomplete","Complete")</f>
        <v>Complete</v>
      </c>
      <c r="I556" s="55" t="s">
        <v>754</v>
      </c>
    </row>
    <row r="557" spans="2:9" ht="15" customHeight="1" x14ac:dyDescent="0.25">
      <c r="B557" s="51" t="s">
        <v>124</v>
      </c>
      <c r="C557" s="52">
        <v>487</v>
      </c>
      <c r="D557" s="53" t="s">
        <v>4326</v>
      </c>
      <c r="E557" s="54"/>
      <c r="F557" s="52" t="str">
        <f>IF(INDEX(I.Performance.StartRange,487)="","",INDEX(I.Performance.StartRange,487))</f>
        <v/>
      </c>
      <c r="G557" s="54"/>
      <c r="H557" s="52" t="str">
        <f>IF(AND(I.Compliance.FulfilledPerformance&gt;0,I.Performance.RangeCount&gt;=487,F557=""),"Incomplete","Complete")</f>
        <v>Complete</v>
      </c>
      <c r="I557" s="55" t="s">
        <v>755</v>
      </c>
    </row>
    <row r="558" spans="2:9" ht="15" customHeight="1" x14ac:dyDescent="0.25">
      <c r="B558" s="51" t="s">
        <v>124</v>
      </c>
      <c r="C558" s="52">
        <v>488</v>
      </c>
      <c r="D558" s="53" t="s">
        <v>4326</v>
      </c>
      <c r="E558" s="54"/>
      <c r="F558" s="52" t="str">
        <f>IF(INDEX(I.Performance.StartRange,488)="","",INDEX(I.Performance.StartRange,488))</f>
        <v/>
      </c>
      <c r="G558" s="54"/>
      <c r="H558" s="52" t="str">
        <f>IF(AND(I.Compliance.FulfilledPerformance&gt;0,I.Performance.RangeCount&gt;=488,F558=""),"Incomplete","Complete")</f>
        <v>Complete</v>
      </c>
      <c r="I558" s="55" t="s">
        <v>756</v>
      </c>
    </row>
    <row r="559" spans="2:9" ht="15" customHeight="1" x14ac:dyDescent="0.25">
      <c r="B559" s="51" t="s">
        <v>124</v>
      </c>
      <c r="C559" s="52">
        <v>489</v>
      </c>
      <c r="D559" s="53" t="s">
        <v>4326</v>
      </c>
      <c r="E559" s="54"/>
      <c r="F559" s="52" t="str">
        <f>IF(INDEX(I.Performance.StartRange,489)="","",INDEX(I.Performance.StartRange,489))</f>
        <v/>
      </c>
      <c r="G559" s="54"/>
      <c r="H559" s="52" t="str">
        <f>IF(AND(I.Compliance.FulfilledPerformance&gt;0,I.Performance.RangeCount&gt;=489,F559=""),"Incomplete","Complete")</f>
        <v>Complete</v>
      </c>
      <c r="I559" s="55" t="s">
        <v>757</v>
      </c>
    </row>
    <row r="560" spans="2:9" ht="15" customHeight="1" x14ac:dyDescent="0.25">
      <c r="B560" s="51" t="s">
        <v>124</v>
      </c>
      <c r="C560" s="52">
        <v>490</v>
      </c>
      <c r="D560" s="53" t="s">
        <v>4326</v>
      </c>
      <c r="E560" s="54"/>
      <c r="F560" s="52" t="str">
        <f>IF(INDEX(I.Performance.StartRange,490)="","",INDEX(I.Performance.StartRange,490))</f>
        <v/>
      </c>
      <c r="G560" s="54"/>
      <c r="H560" s="52" t="str">
        <f>IF(AND(I.Compliance.FulfilledPerformance&gt;0,I.Performance.RangeCount&gt;=490,F560=""),"Incomplete","Complete")</f>
        <v>Complete</v>
      </c>
      <c r="I560" s="55" t="s">
        <v>758</v>
      </c>
    </row>
    <row r="561" spans="2:9" ht="15" customHeight="1" x14ac:dyDescent="0.25">
      <c r="B561" s="51" t="s">
        <v>124</v>
      </c>
      <c r="C561" s="52">
        <v>491</v>
      </c>
      <c r="D561" s="53" t="s">
        <v>4326</v>
      </c>
      <c r="E561" s="54"/>
      <c r="F561" s="52" t="str">
        <f>IF(INDEX(I.Performance.StartRange,491)="","",INDEX(I.Performance.StartRange,491))</f>
        <v/>
      </c>
      <c r="G561" s="54"/>
      <c r="H561" s="52" t="str">
        <f>IF(AND(I.Compliance.FulfilledPerformance&gt;0,I.Performance.RangeCount&gt;=491,F561=""),"Incomplete","Complete")</f>
        <v>Complete</v>
      </c>
      <c r="I561" s="55" t="s">
        <v>759</v>
      </c>
    </row>
    <row r="562" spans="2:9" ht="15" customHeight="1" x14ac:dyDescent="0.25">
      <c r="B562" s="51" t="s">
        <v>124</v>
      </c>
      <c r="C562" s="52">
        <v>492</v>
      </c>
      <c r="D562" s="53" t="s">
        <v>4326</v>
      </c>
      <c r="E562" s="54"/>
      <c r="F562" s="52" t="str">
        <f>IF(INDEX(I.Performance.StartRange,492)="","",INDEX(I.Performance.StartRange,492))</f>
        <v/>
      </c>
      <c r="G562" s="54"/>
      <c r="H562" s="52" t="str">
        <f>IF(AND(I.Compliance.FulfilledPerformance&gt;0,I.Performance.RangeCount&gt;=492,F562=""),"Incomplete","Complete")</f>
        <v>Complete</v>
      </c>
      <c r="I562" s="55" t="s">
        <v>760</v>
      </c>
    </row>
    <row r="563" spans="2:9" ht="15" customHeight="1" x14ac:dyDescent="0.25">
      <c r="B563" s="51" t="s">
        <v>124</v>
      </c>
      <c r="C563" s="52">
        <v>493</v>
      </c>
      <c r="D563" s="53" t="s">
        <v>4326</v>
      </c>
      <c r="E563" s="54"/>
      <c r="F563" s="52" t="str">
        <f>IF(INDEX(I.Performance.StartRange,493)="","",INDEX(I.Performance.StartRange,493))</f>
        <v/>
      </c>
      <c r="G563" s="54"/>
      <c r="H563" s="52" t="str">
        <f>IF(AND(I.Compliance.FulfilledPerformance&gt;0,I.Performance.RangeCount&gt;=493,F563=""),"Incomplete","Complete")</f>
        <v>Complete</v>
      </c>
      <c r="I563" s="55" t="s">
        <v>761</v>
      </c>
    </row>
    <row r="564" spans="2:9" ht="15" customHeight="1" x14ac:dyDescent="0.25">
      <c r="B564" s="51" t="s">
        <v>124</v>
      </c>
      <c r="C564" s="52">
        <v>494</v>
      </c>
      <c r="D564" s="53" t="s">
        <v>4326</v>
      </c>
      <c r="E564" s="54"/>
      <c r="F564" s="52" t="str">
        <f>IF(INDEX(I.Performance.StartRange,494)="","",INDEX(I.Performance.StartRange,494))</f>
        <v/>
      </c>
      <c r="G564" s="54"/>
      <c r="H564" s="52" t="str">
        <f>IF(AND(I.Compliance.FulfilledPerformance&gt;0,I.Performance.RangeCount&gt;=494,F564=""),"Incomplete","Complete")</f>
        <v>Complete</v>
      </c>
      <c r="I564" s="55" t="s">
        <v>762</v>
      </c>
    </row>
    <row r="565" spans="2:9" ht="15" customHeight="1" x14ac:dyDescent="0.25">
      <c r="B565" s="51" t="s">
        <v>124</v>
      </c>
      <c r="C565" s="52">
        <v>495</v>
      </c>
      <c r="D565" s="53" t="s">
        <v>4326</v>
      </c>
      <c r="E565" s="54"/>
      <c r="F565" s="52" t="str">
        <f>IF(INDEX(I.Performance.StartRange,495)="","",INDEX(I.Performance.StartRange,495))</f>
        <v/>
      </c>
      <c r="G565" s="54"/>
      <c r="H565" s="52" t="str">
        <f>IF(AND(I.Compliance.FulfilledPerformance&gt;0,I.Performance.RangeCount&gt;=495,F565=""),"Incomplete","Complete")</f>
        <v>Complete</v>
      </c>
      <c r="I565" s="55" t="s">
        <v>763</v>
      </c>
    </row>
    <row r="566" spans="2:9" ht="15" customHeight="1" x14ac:dyDescent="0.25">
      <c r="B566" s="51" t="s">
        <v>124</v>
      </c>
      <c r="C566" s="52">
        <v>496</v>
      </c>
      <c r="D566" s="53" t="s">
        <v>4326</v>
      </c>
      <c r="E566" s="54"/>
      <c r="F566" s="52" t="str">
        <f>IF(INDEX(I.Performance.StartRange,496)="","",INDEX(I.Performance.StartRange,496))</f>
        <v/>
      </c>
      <c r="G566" s="54"/>
      <c r="H566" s="52" t="str">
        <f>IF(AND(I.Compliance.FulfilledPerformance&gt;0,I.Performance.RangeCount&gt;=496,F566=""),"Incomplete","Complete")</f>
        <v>Complete</v>
      </c>
      <c r="I566" s="55" t="s">
        <v>764</v>
      </c>
    </row>
    <row r="567" spans="2:9" ht="15" customHeight="1" x14ac:dyDescent="0.25">
      <c r="B567" s="51" t="s">
        <v>124</v>
      </c>
      <c r="C567" s="52">
        <v>497</v>
      </c>
      <c r="D567" s="53" t="s">
        <v>4326</v>
      </c>
      <c r="E567" s="54"/>
      <c r="F567" s="52" t="str">
        <f>IF(INDEX(I.Performance.StartRange,497)="","",INDEX(I.Performance.StartRange,497))</f>
        <v/>
      </c>
      <c r="G567" s="54"/>
      <c r="H567" s="52" t="str">
        <f>IF(AND(I.Compliance.FulfilledPerformance&gt;0,I.Performance.RangeCount&gt;=497,F567=""),"Incomplete","Complete")</f>
        <v>Complete</v>
      </c>
      <c r="I567" s="55" t="s">
        <v>765</v>
      </c>
    </row>
    <row r="568" spans="2:9" ht="15" customHeight="1" x14ac:dyDescent="0.25">
      <c r="B568" s="51" t="s">
        <v>124</v>
      </c>
      <c r="C568" s="52">
        <v>498</v>
      </c>
      <c r="D568" s="53" t="s">
        <v>4326</v>
      </c>
      <c r="E568" s="54"/>
      <c r="F568" s="52" t="str">
        <f>IF(INDEX(I.Performance.StartRange,498)="","",INDEX(I.Performance.StartRange,498))</f>
        <v/>
      </c>
      <c r="G568" s="54"/>
      <c r="H568" s="52" t="str">
        <f>IF(AND(I.Compliance.FulfilledPerformance&gt;0,I.Performance.RangeCount&gt;=498,F568=""),"Incomplete","Complete")</f>
        <v>Complete</v>
      </c>
      <c r="I568" s="55" t="s">
        <v>766</v>
      </c>
    </row>
    <row r="569" spans="2:9" ht="15" customHeight="1" x14ac:dyDescent="0.25">
      <c r="B569" s="51" t="s">
        <v>124</v>
      </c>
      <c r="C569" s="52">
        <v>499</v>
      </c>
      <c r="D569" s="53" t="s">
        <v>4326</v>
      </c>
      <c r="E569" s="54"/>
      <c r="F569" s="52" t="str">
        <f>IF(INDEX(I.Performance.StartRange,499)="","",INDEX(I.Performance.StartRange,499))</f>
        <v/>
      </c>
      <c r="G569" s="54"/>
      <c r="H569" s="52" t="str">
        <f>IF(AND(I.Compliance.FulfilledPerformance&gt;0,I.Performance.RangeCount&gt;=499,F569=""),"Incomplete","Complete")</f>
        <v>Complete</v>
      </c>
      <c r="I569" s="55" t="s">
        <v>767</v>
      </c>
    </row>
    <row r="570" spans="2:9" ht="15" customHeight="1" x14ac:dyDescent="0.25">
      <c r="B570" s="51" t="s">
        <v>124</v>
      </c>
      <c r="C570" s="52">
        <v>500</v>
      </c>
      <c r="D570" s="53" t="s">
        <v>4326</v>
      </c>
      <c r="E570" s="54"/>
      <c r="F570" s="52" t="str">
        <f>IF(INDEX(I.Performance.StartRange,500)="","",INDEX(I.Performance.StartRange,500))</f>
        <v/>
      </c>
      <c r="G570" s="54"/>
      <c r="H570" s="52" t="str">
        <f>IF(AND(I.Compliance.FulfilledPerformance&gt;0,I.Performance.RangeCount&gt;=500,F570=""),"Incomplete","Complete")</f>
        <v>Complete</v>
      </c>
      <c r="I570" s="55" t="s">
        <v>768</v>
      </c>
    </row>
    <row r="571" spans="2:9" ht="15" customHeight="1" x14ac:dyDescent="0.25">
      <c r="B571" s="51" t="s">
        <v>124</v>
      </c>
      <c r="C571" s="52">
        <v>501</v>
      </c>
      <c r="D571" s="53" t="s">
        <v>4326</v>
      </c>
      <c r="E571" s="54"/>
      <c r="F571" s="52" t="str">
        <f>IF(INDEX(I.Performance.StartRange,501)="","",INDEX(I.Performance.StartRange,501))</f>
        <v/>
      </c>
      <c r="G571" s="54"/>
      <c r="H571" s="52" t="str">
        <f>IF(AND(I.Compliance.FulfilledPerformance&gt;0,I.Performance.RangeCount&gt;=501,F571=""),"Incomplete","Complete")</f>
        <v>Complete</v>
      </c>
      <c r="I571" s="55" t="s">
        <v>769</v>
      </c>
    </row>
    <row r="572" spans="2:9" ht="15" customHeight="1" x14ac:dyDescent="0.25">
      <c r="B572" s="51" t="s">
        <v>124</v>
      </c>
      <c r="C572" s="52">
        <v>502</v>
      </c>
      <c r="D572" s="53" t="s">
        <v>4326</v>
      </c>
      <c r="E572" s="54"/>
      <c r="F572" s="52" t="str">
        <f>IF(INDEX(I.Performance.StartRange,502)="","",INDEX(I.Performance.StartRange,502))</f>
        <v/>
      </c>
      <c r="G572" s="54"/>
      <c r="H572" s="52" t="str">
        <f>IF(AND(I.Compliance.FulfilledPerformance&gt;0,I.Performance.RangeCount&gt;=502,F572=""),"Incomplete","Complete")</f>
        <v>Complete</v>
      </c>
      <c r="I572" s="55" t="s">
        <v>770</v>
      </c>
    </row>
    <row r="573" spans="2:9" ht="15" customHeight="1" x14ac:dyDescent="0.25">
      <c r="B573" s="51" t="s">
        <v>124</v>
      </c>
      <c r="C573" s="52">
        <v>503</v>
      </c>
      <c r="D573" s="53" t="s">
        <v>4326</v>
      </c>
      <c r="E573" s="54"/>
      <c r="F573" s="52" t="str">
        <f>IF(INDEX(I.Performance.StartRange,503)="","",INDEX(I.Performance.StartRange,503))</f>
        <v/>
      </c>
      <c r="G573" s="54"/>
      <c r="H573" s="52" t="str">
        <f>IF(AND(I.Compliance.FulfilledPerformance&gt;0,I.Performance.RangeCount&gt;=503,F573=""),"Incomplete","Complete")</f>
        <v>Complete</v>
      </c>
      <c r="I573" s="55" t="s">
        <v>771</v>
      </c>
    </row>
    <row r="574" spans="2:9" ht="15" customHeight="1" x14ac:dyDescent="0.25">
      <c r="B574" s="51" t="s">
        <v>124</v>
      </c>
      <c r="C574" s="52">
        <v>504</v>
      </c>
      <c r="D574" s="53" t="s">
        <v>4326</v>
      </c>
      <c r="E574" s="54"/>
      <c r="F574" s="52" t="str">
        <f>IF(INDEX(I.Performance.StartRange,504)="","",INDEX(I.Performance.StartRange,504))</f>
        <v/>
      </c>
      <c r="G574" s="54"/>
      <c r="H574" s="52" t="str">
        <f>IF(AND(I.Compliance.FulfilledPerformance&gt;0,I.Performance.RangeCount&gt;=504,F574=""),"Incomplete","Complete")</f>
        <v>Complete</v>
      </c>
      <c r="I574" s="55" t="s">
        <v>772</v>
      </c>
    </row>
    <row r="575" spans="2:9" ht="15" customHeight="1" x14ac:dyDescent="0.25">
      <c r="B575" s="51" t="s">
        <v>124</v>
      </c>
      <c r="C575" s="52">
        <v>505</v>
      </c>
      <c r="D575" s="53" t="s">
        <v>4326</v>
      </c>
      <c r="E575" s="54"/>
      <c r="F575" s="52" t="str">
        <f>IF(INDEX(I.Performance.StartRange,505)="","",INDEX(I.Performance.StartRange,505))</f>
        <v/>
      </c>
      <c r="G575" s="54"/>
      <c r="H575" s="52" t="str">
        <f>IF(AND(I.Compliance.FulfilledPerformance&gt;0,I.Performance.RangeCount&gt;=505,F575=""),"Incomplete","Complete")</f>
        <v>Complete</v>
      </c>
      <c r="I575" s="55" t="s">
        <v>773</v>
      </c>
    </row>
    <row r="576" spans="2:9" ht="15" customHeight="1" x14ac:dyDescent="0.25">
      <c r="B576" s="51" t="s">
        <v>124</v>
      </c>
      <c r="C576" s="52">
        <v>506</v>
      </c>
      <c r="D576" s="53" t="s">
        <v>4326</v>
      </c>
      <c r="E576" s="54"/>
      <c r="F576" s="52" t="str">
        <f>IF(INDEX(I.Performance.StartRange,506)="","",INDEX(I.Performance.StartRange,506))</f>
        <v/>
      </c>
      <c r="G576" s="54"/>
      <c r="H576" s="52" t="str">
        <f>IF(AND(I.Compliance.FulfilledPerformance&gt;0,I.Performance.RangeCount&gt;=506,F576=""),"Incomplete","Complete")</f>
        <v>Complete</v>
      </c>
      <c r="I576" s="55" t="s">
        <v>774</v>
      </c>
    </row>
    <row r="577" spans="2:9" ht="15" customHeight="1" x14ac:dyDescent="0.25">
      <c r="B577" s="51" t="s">
        <v>124</v>
      </c>
      <c r="C577" s="52">
        <v>507</v>
      </c>
      <c r="D577" s="53" t="s">
        <v>4326</v>
      </c>
      <c r="E577" s="54"/>
      <c r="F577" s="52" t="str">
        <f>IF(INDEX(I.Performance.StartRange,507)="","",INDEX(I.Performance.StartRange,507))</f>
        <v/>
      </c>
      <c r="G577" s="54"/>
      <c r="H577" s="52" t="str">
        <f>IF(AND(I.Compliance.FulfilledPerformance&gt;0,I.Performance.RangeCount&gt;=507,F577=""),"Incomplete","Complete")</f>
        <v>Complete</v>
      </c>
      <c r="I577" s="55" t="s">
        <v>775</v>
      </c>
    </row>
    <row r="578" spans="2:9" ht="15" customHeight="1" x14ac:dyDescent="0.25">
      <c r="B578" s="51" t="s">
        <v>124</v>
      </c>
      <c r="C578" s="52">
        <v>508</v>
      </c>
      <c r="D578" s="53" t="s">
        <v>4326</v>
      </c>
      <c r="E578" s="54"/>
      <c r="F578" s="52" t="str">
        <f>IF(INDEX(I.Performance.StartRange,508)="","",INDEX(I.Performance.StartRange,508))</f>
        <v/>
      </c>
      <c r="G578" s="54"/>
      <c r="H578" s="52" t="str">
        <f>IF(AND(I.Compliance.FulfilledPerformance&gt;0,I.Performance.RangeCount&gt;=508,F578=""),"Incomplete","Complete")</f>
        <v>Complete</v>
      </c>
      <c r="I578" s="55" t="s">
        <v>776</v>
      </c>
    </row>
    <row r="579" spans="2:9" ht="15" customHeight="1" x14ac:dyDescent="0.25">
      <c r="B579" s="51" t="s">
        <v>124</v>
      </c>
      <c r="C579" s="52">
        <v>509</v>
      </c>
      <c r="D579" s="53" t="s">
        <v>4326</v>
      </c>
      <c r="E579" s="54"/>
      <c r="F579" s="52" t="str">
        <f>IF(INDEX(I.Performance.StartRange,509)="","",INDEX(I.Performance.StartRange,509))</f>
        <v/>
      </c>
      <c r="G579" s="54"/>
      <c r="H579" s="52" t="str">
        <f>IF(AND(I.Compliance.FulfilledPerformance&gt;0,I.Performance.RangeCount&gt;=509,F579=""),"Incomplete","Complete")</f>
        <v>Complete</v>
      </c>
      <c r="I579" s="55" t="s">
        <v>777</v>
      </c>
    </row>
    <row r="580" spans="2:9" ht="15" customHeight="1" x14ac:dyDescent="0.25">
      <c r="B580" s="51" t="s">
        <v>124</v>
      </c>
      <c r="C580" s="52">
        <v>510</v>
      </c>
      <c r="D580" s="53" t="s">
        <v>4326</v>
      </c>
      <c r="E580" s="54"/>
      <c r="F580" s="52" t="str">
        <f>IF(INDEX(I.Performance.StartRange,510)="","",INDEX(I.Performance.StartRange,510))</f>
        <v/>
      </c>
      <c r="G580" s="54"/>
      <c r="H580" s="52" t="str">
        <f>IF(AND(I.Compliance.FulfilledPerformance&gt;0,I.Performance.RangeCount&gt;=510,F580=""),"Incomplete","Complete")</f>
        <v>Complete</v>
      </c>
      <c r="I580" s="55" t="s">
        <v>778</v>
      </c>
    </row>
    <row r="581" spans="2:9" ht="15" customHeight="1" x14ac:dyDescent="0.25">
      <c r="B581" s="51" t="s">
        <v>124</v>
      </c>
      <c r="C581" s="52">
        <v>511</v>
      </c>
      <c r="D581" s="53" t="s">
        <v>4326</v>
      </c>
      <c r="E581" s="54"/>
      <c r="F581" s="52" t="str">
        <f>IF(INDEX(I.Performance.StartRange,511)="","",INDEX(I.Performance.StartRange,511))</f>
        <v/>
      </c>
      <c r="G581" s="54"/>
      <c r="H581" s="52" t="str">
        <f>IF(AND(I.Compliance.FulfilledPerformance&gt;0,I.Performance.RangeCount&gt;=511,F581=""),"Incomplete","Complete")</f>
        <v>Complete</v>
      </c>
      <c r="I581" s="55" t="s">
        <v>779</v>
      </c>
    </row>
    <row r="582" spans="2:9" ht="15" customHeight="1" x14ac:dyDescent="0.25">
      <c r="B582" s="51" t="s">
        <v>124</v>
      </c>
      <c r="C582" s="52">
        <v>512</v>
      </c>
      <c r="D582" s="53" t="s">
        <v>4326</v>
      </c>
      <c r="E582" s="54"/>
      <c r="F582" s="52" t="str">
        <f>IF(INDEX(I.Performance.StartRange,512)="","",INDEX(I.Performance.StartRange,512))</f>
        <v/>
      </c>
      <c r="G582" s="54"/>
      <c r="H582" s="52" t="str">
        <f>IF(AND(I.Compliance.FulfilledPerformance&gt;0,I.Performance.RangeCount&gt;=512,F582=""),"Incomplete","Complete")</f>
        <v>Complete</v>
      </c>
      <c r="I582" s="55" t="s">
        <v>780</v>
      </c>
    </row>
    <row r="583" spans="2:9" ht="15" customHeight="1" x14ac:dyDescent="0.25">
      <c r="B583" s="51" t="s">
        <v>124</v>
      </c>
      <c r="C583" s="52">
        <v>513</v>
      </c>
      <c r="D583" s="53" t="s">
        <v>4326</v>
      </c>
      <c r="E583" s="54"/>
      <c r="F583" s="52" t="str">
        <f>IF(INDEX(I.Performance.StartRange,513)="","",INDEX(I.Performance.StartRange,513))</f>
        <v/>
      </c>
      <c r="G583" s="54"/>
      <c r="H583" s="52" t="str">
        <f>IF(AND(I.Compliance.FulfilledPerformance&gt;0,I.Performance.RangeCount&gt;=513,F583=""),"Incomplete","Complete")</f>
        <v>Complete</v>
      </c>
      <c r="I583" s="55" t="s">
        <v>781</v>
      </c>
    </row>
    <row r="584" spans="2:9" ht="15" customHeight="1" x14ac:dyDescent="0.25">
      <c r="B584" s="51" t="s">
        <v>124</v>
      </c>
      <c r="C584" s="52">
        <v>514</v>
      </c>
      <c r="D584" s="53" t="s">
        <v>4326</v>
      </c>
      <c r="E584" s="54"/>
      <c r="F584" s="52" t="str">
        <f>IF(INDEX(I.Performance.StartRange,514)="","",INDEX(I.Performance.StartRange,514))</f>
        <v/>
      </c>
      <c r="G584" s="54"/>
      <c r="H584" s="52" t="str">
        <f>IF(AND(I.Compliance.FulfilledPerformance&gt;0,I.Performance.RangeCount&gt;=514,F584=""),"Incomplete","Complete")</f>
        <v>Complete</v>
      </c>
      <c r="I584" s="55" t="s">
        <v>782</v>
      </c>
    </row>
    <row r="585" spans="2:9" ht="15" customHeight="1" x14ac:dyDescent="0.25">
      <c r="B585" s="51" t="s">
        <v>124</v>
      </c>
      <c r="C585" s="52">
        <v>515</v>
      </c>
      <c r="D585" s="53" t="s">
        <v>4326</v>
      </c>
      <c r="E585" s="54"/>
      <c r="F585" s="52" t="str">
        <f>IF(INDEX(I.Performance.StartRange,515)="","",INDEX(I.Performance.StartRange,515))</f>
        <v/>
      </c>
      <c r="G585" s="54"/>
      <c r="H585" s="52" t="str">
        <f>IF(AND(I.Compliance.FulfilledPerformance&gt;0,I.Performance.RangeCount&gt;=515,F585=""),"Incomplete","Complete")</f>
        <v>Complete</v>
      </c>
      <c r="I585" s="55" t="s">
        <v>783</v>
      </c>
    </row>
    <row r="586" spans="2:9" ht="15" customHeight="1" x14ac:dyDescent="0.25">
      <c r="B586" s="51" t="s">
        <v>124</v>
      </c>
      <c r="C586" s="52">
        <v>516</v>
      </c>
      <c r="D586" s="53" t="s">
        <v>4326</v>
      </c>
      <c r="E586" s="54"/>
      <c r="F586" s="52" t="str">
        <f>IF(INDEX(I.Performance.StartRange,516)="","",INDEX(I.Performance.StartRange,516))</f>
        <v/>
      </c>
      <c r="G586" s="54"/>
      <c r="H586" s="52" t="str">
        <f>IF(AND(I.Compliance.FulfilledPerformance&gt;0,I.Performance.RangeCount&gt;=516,F586=""),"Incomplete","Complete")</f>
        <v>Complete</v>
      </c>
      <c r="I586" s="55" t="s">
        <v>784</v>
      </c>
    </row>
    <row r="587" spans="2:9" ht="15" customHeight="1" x14ac:dyDescent="0.25">
      <c r="B587" s="51" t="s">
        <v>124</v>
      </c>
      <c r="C587" s="52">
        <v>517</v>
      </c>
      <c r="D587" s="53" t="s">
        <v>4326</v>
      </c>
      <c r="E587" s="54"/>
      <c r="F587" s="52" t="str">
        <f>IF(INDEX(I.Performance.StartRange,517)="","",INDEX(I.Performance.StartRange,517))</f>
        <v/>
      </c>
      <c r="G587" s="54"/>
      <c r="H587" s="52" t="str">
        <f>IF(AND(I.Compliance.FulfilledPerformance&gt;0,I.Performance.RangeCount&gt;=517,F587=""),"Incomplete","Complete")</f>
        <v>Complete</v>
      </c>
      <c r="I587" s="55" t="s">
        <v>785</v>
      </c>
    </row>
    <row r="588" spans="2:9" ht="15" customHeight="1" x14ac:dyDescent="0.25">
      <c r="B588" s="51" t="s">
        <v>124</v>
      </c>
      <c r="C588" s="52">
        <v>518</v>
      </c>
      <c r="D588" s="53" t="s">
        <v>4326</v>
      </c>
      <c r="E588" s="54"/>
      <c r="F588" s="52" t="str">
        <f>IF(INDEX(I.Performance.StartRange,518)="","",INDEX(I.Performance.StartRange,518))</f>
        <v/>
      </c>
      <c r="G588" s="54"/>
      <c r="H588" s="52" t="str">
        <f>IF(AND(I.Compliance.FulfilledPerformance&gt;0,I.Performance.RangeCount&gt;=518,F588=""),"Incomplete","Complete")</f>
        <v>Complete</v>
      </c>
      <c r="I588" s="55" t="s">
        <v>786</v>
      </c>
    </row>
    <row r="589" spans="2:9" ht="15" customHeight="1" x14ac:dyDescent="0.25">
      <c r="B589" s="51" t="s">
        <v>124</v>
      </c>
      <c r="C589" s="52">
        <v>519</v>
      </c>
      <c r="D589" s="53" t="s">
        <v>4326</v>
      </c>
      <c r="E589" s="54"/>
      <c r="F589" s="52" t="str">
        <f>IF(INDEX(I.Performance.StartRange,519)="","",INDEX(I.Performance.StartRange,519))</f>
        <v/>
      </c>
      <c r="G589" s="54"/>
      <c r="H589" s="52" t="str">
        <f>IF(AND(I.Compliance.FulfilledPerformance&gt;0,I.Performance.RangeCount&gt;=519,F589=""),"Incomplete","Complete")</f>
        <v>Complete</v>
      </c>
      <c r="I589" s="55" t="s">
        <v>787</v>
      </c>
    </row>
    <row r="590" spans="2:9" ht="15" customHeight="1" x14ac:dyDescent="0.25">
      <c r="B590" s="51" t="s">
        <v>124</v>
      </c>
      <c r="C590" s="52">
        <v>520</v>
      </c>
      <c r="D590" s="53" t="s">
        <v>4326</v>
      </c>
      <c r="E590" s="54"/>
      <c r="F590" s="52" t="str">
        <f>IF(INDEX(I.Performance.StartRange,520)="","",INDEX(I.Performance.StartRange,520))</f>
        <v/>
      </c>
      <c r="G590" s="54"/>
      <c r="H590" s="52" t="str">
        <f>IF(AND(I.Compliance.FulfilledPerformance&gt;0,I.Performance.RangeCount&gt;=520,F590=""),"Incomplete","Complete")</f>
        <v>Complete</v>
      </c>
      <c r="I590" s="55" t="s">
        <v>788</v>
      </c>
    </row>
    <row r="591" spans="2:9" ht="15" customHeight="1" x14ac:dyDescent="0.25">
      <c r="B591" s="51" t="s">
        <v>124</v>
      </c>
      <c r="C591" s="52">
        <v>521</v>
      </c>
      <c r="D591" s="53" t="s">
        <v>4326</v>
      </c>
      <c r="E591" s="54"/>
      <c r="F591" s="52" t="str">
        <f>IF(INDEX(I.Performance.StartRange,521)="","",INDEX(I.Performance.StartRange,521))</f>
        <v/>
      </c>
      <c r="G591" s="54"/>
      <c r="H591" s="52" t="str">
        <f>IF(AND(I.Compliance.FulfilledPerformance&gt;0,I.Performance.RangeCount&gt;=521,F591=""),"Incomplete","Complete")</f>
        <v>Complete</v>
      </c>
      <c r="I591" s="55" t="s">
        <v>789</v>
      </c>
    </row>
    <row r="592" spans="2:9" ht="15" customHeight="1" x14ac:dyDescent="0.25">
      <c r="B592" s="51" t="s">
        <v>124</v>
      </c>
      <c r="C592" s="52">
        <v>522</v>
      </c>
      <c r="D592" s="53" t="s">
        <v>4326</v>
      </c>
      <c r="E592" s="54"/>
      <c r="F592" s="52" t="str">
        <f>IF(INDEX(I.Performance.StartRange,522)="","",INDEX(I.Performance.StartRange,522))</f>
        <v/>
      </c>
      <c r="G592" s="54"/>
      <c r="H592" s="52" t="str">
        <f>IF(AND(I.Compliance.FulfilledPerformance&gt;0,I.Performance.RangeCount&gt;=522,F592=""),"Incomplete","Complete")</f>
        <v>Complete</v>
      </c>
      <c r="I592" s="55" t="s">
        <v>790</v>
      </c>
    </row>
    <row r="593" spans="2:9" ht="15" customHeight="1" x14ac:dyDescent="0.25">
      <c r="B593" s="51" t="s">
        <v>124</v>
      </c>
      <c r="C593" s="52">
        <v>523</v>
      </c>
      <c r="D593" s="53" t="s">
        <v>4326</v>
      </c>
      <c r="E593" s="54"/>
      <c r="F593" s="52" t="str">
        <f>IF(INDEX(I.Performance.StartRange,523)="","",INDEX(I.Performance.StartRange,523))</f>
        <v/>
      </c>
      <c r="G593" s="54"/>
      <c r="H593" s="52" t="str">
        <f>IF(AND(I.Compliance.FulfilledPerformance&gt;0,I.Performance.RangeCount&gt;=523,F593=""),"Incomplete","Complete")</f>
        <v>Complete</v>
      </c>
      <c r="I593" s="55" t="s">
        <v>791</v>
      </c>
    </row>
    <row r="594" spans="2:9" ht="15" customHeight="1" x14ac:dyDescent="0.25">
      <c r="B594" s="51" t="s">
        <v>124</v>
      </c>
      <c r="C594" s="52">
        <v>524</v>
      </c>
      <c r="D594" s="53" t="s">
        <v>4326</v>
      </c>
      <c r="E594" s="54"/>
      <c r="F594" s="52" t="str">
        <f>IF(INDEX(I.Performance.StartRange,524)="","",INDEX(I.Performance.StartRange,524))</f>
        <v/>
      </c>
      <c r="G594" s="54"/>
      <c r="H594" s="52" t="str">
        <f>IF(AND(I.Compliance.FulfilledPerformance&gt;0,I.Performance.RangeCount&gt;=524,F594=""),"Incomplete","Complete")</f>
        <v>Complete</v>
      </c>
      <c r="I594" s="55" t="s">
        <v>792</v>
      </c>
    </row>
    <row r="595" spans="2:9" ht="15" customHeight="1" x14ac:dyDescent="0.25">
      <c r="B595" s="51" t="s">
        <v>124</v>
      </c>
      <c r="C595" s="52">
        <v>525</v>
      </c>
      <c r="D595" s="53" t="s">
        <v>4326</v>
      </c>
      <c r="E595" s="54"/>
      <c r="F595" s="52" t="str">
        <f>IF(INDEX(I.Performance.StartRange,525)="","",INDEX(I.Performance.StartRange,525))</f>
        <v/>
      </c>
      <c r="G595" s="54"/>
      <c r="H595" s="52" t="str">
        <f>IF(AND(I.Compliance.FulfilledPerformance&gt;0,I.Performance.RangeCount&gt;=525,F595=""),"Incomplete","Complete")</f>
        <v>Complete</v>
      </c>
      <c r="I595" s="55" t="s">
        <v>793</v>
      </c>
    </row>
    <row r="596" spans="2:9" ht="15" customHeight="1" x14ac:dyDescent="0.25">
      <c r="B596" s="51" t="s">
        <v>124</v>
      </c>
      <c r="C596" s="52">
        <v>526</v>
      </c>
      <c r="D596" s="53" t="s">
        <v>4326</v>
      </c>
      <c r="E596" s="54"/>
      <c r="F596" s="52" t="str">
        <f>IF(INDEX(I.Performance.StartRange,526)="","",INDEX(I.Performance.StartRange,526))</f>
        <v/>
      </c>
      <c r="G596" s="54"/>
      <c r="H596" s="52" t="str">
        <f>IF(AND(I.Compliance.FulfilledPerformance&gt;0,I.Performance.RangeCount&gt;=526,F596=""),"Incomplete","Complete")</f>
        <v>Complete</v>
      </c>
      <c r="I596" s="55" t="s">
        <v>794</v>
      </c>
    </row>
    <row r="597" spans="2:9" ht="15" customHeight="1" x14ac:dyDescent="0.25">
      <c r="B597" s="51" t="s">
        <v>124</v>
      </c>
      <c r="C597" s="52">
        <v>527</v>
      </c>
      <c r="D597" s="53" t="s">
        <v>4326</v>
      </c>
      <c r="E597" s="54"/>
      <c r="F597" s="52" t="str">
        <f>IF(INDEX(I.Performance.StartRange,527)="","",INDEX(I.Performance.StartRange,527))</f>
        <v/>
      </c>
      <c r="G597" s="54"/>
      <c r="H597" s="52" t="str">
        <f>IF(AND(I.Compliance.FulfilledPerformance&gt;0,I.Performance.RangeCount&gt;=527,F597=""),"Incomplete","Complete")</f>
        <v>Complete</v>
      </c>
      <c r="I597" s="55" t="s">
        <v>795</v>
      </c>
    </row>
    <row r="598" spans="2:9" ht="15" customHeight="1" x14ac:dyDescent="0.25">
      <c r="B598" s="51" t="s">
        <v>124</v>
      </c>
      <c r="C598" s="52">
        <v>528</v>
      </c>
      <c r="D598" s="53" t="s">
        <v>4326</v>
      </c>
      <c r="E598" s="54"/>
      <c r="F598" s="52" t="str">
        <f>IF(INDEX(I.Performance.StartRange,528)="","",INDEX(I.Performance.StartRange,528))</f>
        <v/>
      </c>
      <c r="G598" s="54"/>
      <c r="H598" s="52" t="str">
        <f>IF(AND(I.Compliance.FulfilledPerformance&gt;0,I.Performance.RangeCount&gt;=528,F598=""),"Incomplete","Complete")</f>
        <v>Complete</v>
      </c>
      <c r="I598" s="55" t="s">
        <v>796</v>
      </c>
    </row>
    <row r="599" spans="2:9" ht="15" customHeight="1" x14ac:dyDescent="0.25">
      <c r="B599" s="51" t="s">
        <v>124</v>
      </c>
      <c r="C599" s="52">
        <v>529</v>
      </c>
      <c r="D599" s="53" t="s">
        <v>4326</v>
      </c>
      <c r="E599" s="54"/>
      <c r="F599" s="52" t="str">
        <f>IF(INDEX(I.Performance.StartRange,529)="","",INDEX(I.Performance.StartRange,529))</f>
        <v/>
      </c>
      <c r="G599" s="54"/>
      <c r="H599" s="52" t="str">
        <f>IF(AND(I.Compliance.FulfilledPerformance&gt;0,I.Performance.RangeCount&gt;=529,F599=""),"Incomplete","Complete")</f>
        <v>Complete</v>
      </c>
      <c r="I599" s="55" t="s">
        <v>797</v>
      </c>
    </row>
    <row r="600" spans="2:9" ht="15" customHeight="1" x14ac:dyDescent="0.25">
      <c r="B600" s="51" t="s">
        <v>124</v>
      </c>
      <c r="C600" s="52">
        <v>530</v>
      </c>
      <c r="D600" s="53" t="s">
        <v>4326</v>
      </c>
      <c r="E600" s="54"/>
      <c r="F600" s="52" t="str">
        <f>IF(INDEX(I.Performance.StartRange,530)="","",INDEX(I.Performance.StartRange,530))</f>
        <v/>
      </c>
      <c r="G600" s="54"/>
      <c r="H600" s="52" t="str">
        <f>IF(AND(I.Compliance.FulfilledPerformance&gt;0,I.Performance.RangeCount&gt;=530,F600=""),"Incomplete","Complete")</f>
        <v>Complete</v>
      </c>
      <c r="I600" s="55" t="s">
        <v>798</v>
      </c>
    </row>
    <row r="601" spans="2:9" ht="15" customHeight="1" x14ac:dyDescent="0.25">
      <c r="B601" s="51" t="s">
        <v>124</v>
      </c>
      <c r="C601" s="52">
        <v>531</v>
      </c>
      <c r="D601" s="53" t="s">
        <v>4326</v>
      </c>
      <c r="E601" s="54"/>
      <c r="F601" s="52" t="str">
        <f>IF(INDEX(I.Performance.StartRange,531)="","",INDEX(I.Performance.StartRange,531))</f>
        <v/>
      </c>
      <c r="G601" s="54"/>
      <c r="H601" s="52" t="str">
        <f>IF(AND(I.Compliance.FulfilledPerformance&gt;0,I.Performance.RangeCount&gt;=531,F601=""),"Incomplete","Complete")</f>
        <v>Complete</v>
      </c>
      <c r="I601" s="55" t="s">
        <v>799</v>
      </c>
    </row>
    <row r="602" spans="2:9" ht="15" customHeight="1" x14ac:dyDescent="0.25">
      <c r="B602" s="51" t="s">
        <v>124</v>
      </c>
      <c r="C602" s="52">
        <v>532</v>
      </c>
      <c r="D602" s="53" t="s">
        <v>4326</v>
      </c>
      <c r="E602" s="54"/>
      <c r="F602" s="52" t="str">
        <f>IF(INDEX(I.Performance.StartRange,532)="","",INDEX(I.Performance.StartRange,532))</f>
        <v/>
      </c>
      <c r="G602" s="54"/>
      <c r="H602" s="52" t="str">
        <f>IF(AND(I.Compliance.FulfilledPerformance&gt;0,I.Performance.RangeCount&gt;=532,F602=""),"Incomplete","Complete")</f>
        <v>Complete</v>
      </c>
      <c r="I602" s="55" t="s">
        <v>800</v>
      </c>
    </row>
    <row r="603" spans="2:9" ht="15" customHeight="1" x14ac:dyDescent="0.25">
      <c r="B603" s="51" t="s">
        <v>124</v>
      </c>
      <c r="C603" s="52">
        <v>533</v>
      </c>
      <c r="D603" s="53" t="s">
        <v>4326</v>
      </c>
      <c r="E603" s="54"/>
      <c r="F603" s="52" t="str">
        <f>IF(INDEX(I.Performance.StartRange,533)="","",INDEX(I.Performance.StartRange,533))</f>
        <v/>
      </c>
      <c r="G603" s="54"/>
      <c r="H603" s="52" t="str">
        <f>IF(AND(I.Compliance.FulfilledPerformance&gt;0,I.Performance.RangeCount&gt;=533,F603=""),"Incomplete","Complete")</f>
        <v>Complete</v>
      </c>
      <c r="I603" s="55" t="s">
        <v>801</v>
      </c>
    </row>
    <row r="604" spans="2:9" ht="15" customHeight="1" x14ac:dyDescent="0.25">
      <c r="B604" s="51" t="s">
        <v>124</v>
      </c>
      <c r="C604" s="52">
        <v>534</v>
      </c>
      <c r="D604" s="53" t="s">
        <v>4326</v>
      </c>
      <c r="E604" s="54"/>
      <c r="F604" s="52" t="str">
        <f>IF(INDEX(I.Performance.StartRange,534)="","",INDEX(I.Performance.StartRange,534))</f>
        <v/>
      </c>
      <c r="G604" s="54"/>
      <c r="H604" s="52" t="str">
        <f>IF(AND(I.Compliance.FulfilledPerformance&gt;0,I.Performance.RangeCount&gt;=534,F604=""),"Incomplete","Complete")</f>
        <v>Complete</v>
      </c>
      <c r="I604" s="55" t="s">
        <v>802</v>
      </c>
    </row>
    <row r="605" spans="2:9" ht="15" customHeight="1" x14ac:dyDescent="0.25">
      <c r="B605" s="51" t="s">
        <v>124</v>
      </c>
      <c r="C605" s="52">
        <v>535</v>
      </c>
      <c r="D605" s="53" t="s">
        <v>4326</v>
      </c>
      <c r="E605" s="54"/>
      <c r="F605" s="52" t="str">
        <f>IF(INDEX(I.Performance.StartRange,535)="","",INDEX(I.Performance.StartRange,535))</f>
        <v/>
      </c>
      <c r="G605" s="54"/>
      <c r="H605" s="52" t="str">
        <f>IF(AND(I.Compliance.FulfilledPerformance&gt;0,I.Performance.RangeCount&gt;=535,F605=""),"Incomplete","Complete")</f>
        <v>Complete</v>
      </c>
      <c r="I605" s="55" t="s">
        <v>803</v>
      </c>
    </row>
    <row r="606" spans="2:9" ht="15" customHeight="1" x14ac:dyDescent="0.25">
      <c r="B606" s="51" t="s">
        <v>124</v>
      </c>
      <c r="C606" s="52">
        <v>536</v>
      </c>
      <c r="D606" s="53" t="s">
        <v>4326</v>
      </c>
      <c r="E606" s="54"/>
      <c r="F606" s="52" t="str">
        <f>IF(INDEX(I.Performance.StartRange,536)="","",INDEX(I.Performance.StartRange,536))</f>
        <v/>
      </c>
      <c r="G606" s="54"/>
      <c r="H606" s="52" t="str">
        <f>IF(AND(I.Compliance.FulfilledPerformance&gt;0,I.Performance.RangeCount&gt;=536,F606=""),"Incomplete","Complete")</f>
        <v>Complete</v>
      </c>
      <c r="I606" s="55" t="s">
        <v>804</v>
      </c>
    </row>
    <row r="607" spans="2:9" ht="15" customHeight="1" x14ac:dyDescent="0.25">
      <c r="B607" s="51" t="s">
        <v>124</v>
      </c>
      <c r="C607" s="52">
        <v>537</v>
      </c>
      <c r="D607" s="53" t="s">
        <v>4326</v>
      </c>
      <c r="E607" s="54"/>
      <c r="F607" s="52" t="str">
        <f>IF(INDEX(I.Performance.StartRange,537)="","",INDEX(I.Performance.StartRange,537))</f>
        <v/>
      </c>
      <c r="G607" s="54"/>
      <c r="H607" s="52" t="str">
        <f>IF(AND(I.Compliance.FulfilledPerformance&gt;0,I.Performance.RangeCount&gt;=537,F607=""),"Incomplete","Complete")</f>
        <v>Complete</v>
      </c>
      <c r="I607" s="55" t="s">
        <v>805</v>
      </c>
    </row>
    <row r="608" spans="2:9" ht="15" customHeight="1" x14ac:dyDescent="0.25">
      <c r="B608" s="51" t="s">
        <v>124</v>
      </c>
      <c r="C608" s="52">
        <v>538</v>
      </c>
      <c r="D608" s="53" t="s">
        <v>4326</v>
      </c>
      <c r="E608" s="54"/>
      <c r="F608" s="52" t="str">
        <f>IF(INDEX(I.Performance.StartRange,538)="","",INDEX(I.Performance.StartRange,538))</f>
        <v/>
      </c>
      <c r="G608" s="54"/>
      <c r="H608" s="52" t="str">
        <f>IF(AND(I.Compliance.FulfilledPerformance&gt;0,I.Performance.RangeCount&gt;=538,F608=""),"Incomplete","Complete")</f>
        <v>Complete</v>
      </c>
      <c r="I608" s="55" t="s">
        <v>806</v>
      </c>
    </row>
    <row r="609" spans="2:9" ht="15" customHeight="1" x14ac:dyDescent="0.25">
      <c r="B609" s="51" t="s">
        <v>124</v>
      </c>
      <c r="C609" s="52">
        <v>539</v>
      </c>
      <c r="D609" s="53" t="s">
        <v>4326</v>
      </c>
      <c r="E609" s="54"/>
      <c r="F609" s="52" t="str">
        <f>IF(INDEX(I.Performance.StartRange,539)="","",INDEX(I.Performance.StartRange,539))</f>
        <v/>
      </c>
      <c r="G609" s="54"/>
      <c r="H609" s="52" t="str">
        <f>IF(AND(I.Compliance.FulfilledPerformance&gt;0,I.Performance.RangeCount&gt;=539,F609=""),"Incomplete","Complete")</f>
        <v>Complete</v>
      </c>
      <c r="I609" s="55" t="s">
        <v>807</v>
      </c>
    </row>
    <row r="610" spans="2:9" ht="15" customHeight="1" x14ac:dyDescent="0.25">
      <c r="B610" s="51" t="s">
        <v>124</v>
      </c>
      <c r="C610" s="52">
        <v>540</v>
      </c>
      <c r="D610" s="53" t="s">
        <v>4326</v>
      </c>
      <c r="E610" s="54"/>
      <c r="F610" s="52" t="str">
        <f>IF(INDEX(I.Performance.StartRange,540)="","",INDEX(I.Performance.StartRange,540))</f>
        <v/>
      </c>
      <c r="G610" s="54"/>
      <c r="H610" s="52" t="str">
        <f>IF(AND(I.Compliance.FulfilledPerformance&gt;0,I.Performance.RangeCount&gt;=540,F610=""),"Incomplete","Complete")</f>
        <v>Complete</v>
      </c>
      <c r="I610" s="55" t="s">
        <v>808</v>
      </c>
    </row>
    <row r="611" spans="2:9" ht="15" customHeight="1" x14ac:dyDescent="0.25">
      <c r="B611" s="51" t="s">
        <v>124</v>
      </c>
      <c r="C611" s="52">
        <v>541</v>
      </c>
      <c r="D611" s="53" t="s">
        <v>4326</v>
      </c>
      <c r="E611" s="54"/>
      <c r="F611" s="52" t="str">
        <f>IF(INDEX(I.Performance.StartRange,541)="","",INDEX(I.Performance.StartRange,541))</f>
        <v/>
      </c>
      <c r="G611" s="54"/>
      <c r="H611" s="52" t="str">
        <f>IF(AND(I.Compliance.FulfilledPerformance&gt;0,I.Performance.RangeCount&gt;=541,F611=""),"Incomplete","Complete")</f>
        <v>Complete</v>
      </c>
      <c r="I611" s="55" t="s">
        <v>809</v>
      </c>
    </row>
    <row r="612" spans="2:9" ht="15" customHeight="1" x14ac:dyDescent="0.25">
      <c r="B612" s="51" t="s">
        <v>124</v>
      </c>
      <c r="C612" s="52">
        <v>542</v>
      </c>
      <c r="D612" s="53" t="s">
        <v>4326</v>
      </c>
      <c r="E612" s="54"/>
      <c r="F612" s="52" t="str">
        <f>IF(INDEX(I.Performance.StartRange,542)="","",INDEX(I.Performance.StartRange,542))</f>
        <v/>
      </c>
      <c r="G612" s="54"/>
      <c r="H612" s="52" t="str">
        <f>IF(AND(I.Compliance.FulfilledPerformance&gt;0,I.Performance.RangeCount&gt;=542,F612=""),"Incomplete","Complete")</f>
        <v>Complete</v>
      </c>
      <c r="I612" s="55" t="s">
        <v>810</v>
      </c>
    </row>
    <row r="613" spans="2:9" ht="15" customHeight="1" x14ac:dyDescent="0.25">
      <c r="B613" s="51" t="s">
        <v>124</v>
      </c>
      <c r="C613" s="52">
        <v>543</v>
      </c>
      <c r="D613" s="53" t="s">
        <v>4326</v>
      </c>
      <c r="E613" s="54"/>
      <c r="F613" s="52" t="str">
        <f>IF(INDEX(I.Performance.StartRange,543)="","",INDEX(I.Performance.StartRange,543))</f>
        <v/>
      </c>
      <c r="G613" s="54"/>
      <c r="H613" s="52" t="str">
        <f>IF(AND(I.Compliance.FulfilledPerformance&gt;0,I.Performance.RangeCount&gt;=543,F613=""),"Incomplete","Complete")</f>
        <v>Complete</v>
      </c>
      <c r="I613" s="55" t="s">
        <v>811</v>
      </c>
    </row>
    <row r="614" spans="2:9" ht="15" customHeight="1" x14ac:dyDescent="0.25">
      <c r="B614" s="51" t="s">
        <v>124</v>
      </c>
      <c r="C614" s="52">
        <v>544</v>
      </c>
      <c r="D614" s="53" t="s">
        <v>4326</v>
      </c>
      <c r="E614" s="54"/>
      <c r="F614" s="52" t="str">
        <f>IF(INDEX(I.Performance.StartRange,544)="","",INDEX(I.Performance.StartRange,544))</f>
        <v/>
      </c>
      <c r="G614" s="54"/>
      <c r="H614" s="52" t="str">
        <f>IF(AND(I.Compliance.FulfilledPerformance&gt;0,I.Performance.RangeCount&gt;=544,F614=""),"Incomplete","Complete")</f>
        <v>Complete</v>
      </c>
      <c r="I614" s="55" t="s">
        <v>812</v>
      </c>
    </row>
    <row r="615" spans="2:9" ht="15" customHeight="1" x14ac:dyDescent="0.25">
      <c r="B615" s="51" t="s">
        <v>124</v>
      </c>
      <c r="C615" s="52">
        <v>545</v>
      </c>
      <c r="D615" s="53" t="s">
        <v>4326</v>
      </c>
      <c r="E615" s="54"/>
      <c r="F615" s="52" t="str">
        <f>IF(INDEX(I.Performance.StartRange,545)="","",INDEX(I.Performance.StartRange,545))</f>
        <v/>
      </c>
      <c r="G615" s="54"/>
      <c r="H615" s="52" t="str">
        <f>IF(AND(I.Compliance.FulfilledPerformance&gt;0,I.Performance.RangeCount&gt;=545,F615=""),"Incomplete","Complete")</f>
        <v>Complete</v>
      </c>
      <c r="I615" s="55" t="s">
        <v>813</v>
      </c>
    </row>
    <row r="616" spans="2:9" ht="15" customHeight="1" x14ac:dyDescent="0.25">
      <c r="B616" s="51" t="s">
        <v>124</v>
      </c>
      <c r="C616" s="52">
        <v>546</v>
      </c>
      <c r="D616" s="53" t="s">
        <v>4326</v>
      </c>
      <c r="E616" s="54"/>
      <c r="F616" s="52" t="str">
        <f>IF(INDEX(I.Performance.StartRange,546)="","",INDEX(I.Performance.StartRange,546))</f>
        <v/>
      </c>
      <c r="G616" s="54"/>
      <c r="H616" s="52" t="str">
        <f>IF(AND(I.Compliance.FulfilledPerformance&gt;0,I.Performance.RangeCount&gt;=546,F616=""),"Incomplete","Complete")</f>
        <v>Complete</v>
      </c>
      <c r="I616" s="55" t="s">
        <v>814</v>
      </c>
    </row>
    <row r="617" spans="2:9" ht="15" customHeight="1" x14ac:dyDescent="0.25">
      <c r="B617" s="51" t="s">
        <v>124</v>
      </c>
      <c r="C617" s="52">
        <v>547</v>
      </c>
      <c r="D617" s="53" t="s">
        <v>4326</v>
      </c>
      <c r="E617" s="54"/>
      <c r="F617" s="52" t="str">
        <f>IF(INDEX(I.Performance.StartRange,547)="","",INDEX(I.Performance.StartRange,547))</f>
        <v/>
      </c>
      <c r="G617" s="54"/>
      <c r="H617" s="52" t="str">
        <f>IF(AND(I.Compliance.FulfilledPerformance&gt;0,I.Performance.RangeCount&gt;=547,F617=""),"Incomplete","Complete")</f>
        <v>Complete</v>
      </c>
      <c r="I617" s="55" t="s">
        <v>815</v>
      </c>
    </row>
    <row r="618" spans="2:9" ht="15" customHeight="1" x14ac:dyDescent="0.25">
      <c r="B618" s="51" t="s">
        <v>124</v>
      </c>
      <c r="C618" s="52">
        <v>548</v>
      </c>
      <c r="D618" s="53" t="s">
        <v>4326</v>
      </c>
      <c r="E618" s="54"/>
      <c r="F618" s="52" t="str">
        <f>IF(INDEX(I.Performance.StartRange,548)="","",INDEX(I.Performance.StartRange,548))</f>
        <v/>
      </c>
      <c r="G618" s="54"/>
      <c r="H618" s="52" t="str">
        <f>IF(AND(I.Compliance.FulfilledPerformance&gt;0,I.Performance.RangeCount&gt;=548,F618=""),"Incomplete","Complete")</f>
        <v>Complete</v>
      </c>
      <c r="I618" s="55" t="s">
        <v>816</v>
      </c>
    </row>
    <row r="619" spans="2:9" ht="15" customHeight="1" x14ac:dyDescent="0.25">
      <c r="B619" s="51" t="s">
        <v>124</v>
      </c>
      <c r="C619" s="52">
        <v>549</v>
      </c>
      <c r="D619" s="53" t="s">
        <v>4326</v>
      </c>
      <c r="E619" s="54"/>
      <c r="F619" s="52" t="str">
        <f>IF(INDEX(I.Performance.StartRange,549)="","",INDEX(I.Performance.StartRange,549))</f>
        <v/>
      </c>
      <c r="G619" s="54"/>
      <c r="H619" s="52" t="str">
        <f>IF(AND(I.Compliance.FulfilledPerformance&gt;0,I.Performance.RangeCount&gt;=549,F619=""),"Incomplete","Complete")</f>
        <v>Complete</v>
      </c>
      <c r="I619" s="55" t="s">
        <v>817</v>
      </c>
    </row>
    <row r="620" spans="2:9" ht="15" customHeight="1" x14ac:dyDescent="0.25">
      <c r="B620" s="51" t="s">
        <v>124</v>
      </c>
      <c r="C620" s="52">
        <v>550</v>
      </c>
      <c r="D620" s="53" t="s">
        <v>4326</v>
      </c>
      <c r="E620" s="54"/>
      <c r="F620" s="52" t="str">
        <f>IF(INDEX(I.Performance.StartRange,550)="","",INDEX(I.Performance.StartRange,550))</f>
        <v/>
      </c>
      <c r="G620" s="54"/>
      <c r="H620" s="52" t="str">
        <f>IF(AND(I.Compliance.FulfilledPerformance&gt;0,I.Performance.RangeCount&gt;=550,F620=""),"Incomplete","Complete")</f>
        <v>Complete</v>
      </c>
      <c r="I620" s="55" t="s">
        <v>818</v>
      </c>
    </row>
    <row r="621" spans="2:9" ht="15" customHeight="1" x14ac:dyDescent="0.25">
      <c r="B621" s="51" t="s">
        <v>124</v>
      </c>
      <c r="C621" s="52">
        <v>551</v>
      </c>
      <c r="D621" s="53" t="s">
        <v>4326</v>
      </c>
      <c r="E621" s="54"/>
      <c r="F621" s="52" t="str">
        <f>IF(INDEX(I.Performance.StartRange,551)="","",INDEX(I.Performance.StartRange,551))</f>
        <v/>
      </c>
      <c r="G621" s="54"/>
      <c r="H621" s="52" t="str">
        <f>IF(AND(I.Compliance.FulfilledPerformance&gt;0,I.Performance.RangeCount&gt;=551,F621=""),"Incomplete","Complete")</f>
        <v>Complete</v>
      </c>
      <c r="I621" s="55" t="s">
        <v>819</v>
      </c>
    </row>
    <row r="622" spans="2:9" ht="15" customHeight="1" x14ac:dyDescent="0.25">
      <c r="B622" s="51" t="s">
        <v>124</v>
      </c>
      <c r="C622" s="52">
        <v>552</v>
      </c>
      <c r="D622" s="53" t="s">
        <v>4326</v>
      </c>
      <c r="E622" s="54"/>
      <c r="F622" s="52" t="str">
        <f>IF(INDEX(I.Performance.StartRange,552)="","",INDEX(I.Performance.StartRange,552))</f>
        <v/>
      </c>
      <c r="G622" s="54"/>
      <c r="H622" s="52" t="str">
        <f>IF(AND(I.Compliance.FulfilledPerformance&gt;0,I.Performance.RangeCount&gt;=552,F622=""),"Incomplete","Complete")</f>
        <v>Complete</v>
      </c>
      <c r="I622" s="55" t="s">
        <v>820</v>
      </c>
    </row>
    <row r="623" spans="2:9" ht="15" customHeight="1" x14ac:dyDescent="0.25">
      <c r="B623" s="51" t="s">
        <v>124</v>
      </c>
      <c r="C623" s="52">
        <v>553</v>
      </c>
      <c r="D623" s="53" t="s">
        <v>4326</v>
      </c>
      <c r="E623" s="54"/>
      <c r="F623" s="52" t="str">
        <f>IF(INDEX(I.Performance.StartRange,553)="","",INDEX(I.Performance.StartRange,553))</f>
        <v/>
      </c>
      <c r="G623" s="54"/>
      <c r="H623" s="52" t="str">
        <f>IF(AND(I.Compliance.FulfilledPerformance&gt;0,I.Performance.RangeCount&gt;=553,F623=""),"Incomplete","Complete")</f>
        <v>Complete</v>
      </c>
      <c r="I623" s="55" t="s">
        <v>821</v>
      </c>
    </row>
    <row r="624" spans="2:9" ht="15" customHeight="1" x14ac:dyDescent="0.25">
      <c r="B624" s="51" t="s">
        <v>124</v>
      </c>
      <c r="C624" s="52">
        <v>554</v>
      </c>
      <c r="D624" s="53" t="s">
        <v>4326</v>
      </c>
      <c r="E624" s="54"/>
      <c r="F624" s="52" t="str">
        <f>IF(INDEX(I.Performance.StartRange,554)="","",INDEX(I.Performance.StartRange,554))</f>
        <v/>
      </c>
      <c r="G624" s="54"/>
      <c r="H624" s="52" t="str">
        <f>IF(AND(I.Compliance.FulfilledPerformance&gt;0,I.Performance.RangeCount&gt;=554,F624=""),"Incomplete","Complete")</f>
        <v>Complete</v>
      </c>
      <c r="I624" s="55" t="s">
        <v>822</v>
      </c>
    </row>
    <row r="625" spans="2:9" ht="15" customHeight="1" x14ac:dyDescent="0.25">
      <c r="B625" s="51" t="s">
        <v>124</v>
      </c>
      <c r="C625" s="52">
        <v>555</v>
      </c>
      <c r="D625" s="53" t="s">
        <v>4326</v>
      </c>
      <c r="E625" s="54"/>
      <c r="F625" s="52" t="str">
        <f>IF(INDEX(I.Performance.StartRange,555)="","",INDEX(I.Performance.StartRange,555))</f>
        <v/>
      </c>
      <c r="G625" s="54"/>
      <c r="H625" s="52" t="str">
        <f>IF(AND(I.Compliance.FulfilledPerformance&gt;0,I.Performance.RangeCount&gt;=555,F625=""),"Incomplete","Complete")</f>
        <v>Complete</v>
      </c>
      <c r="I625" s="55" t="s">
        <v>823</v>
      </c>
    </row>
    <row r="626" spans="2:9" ht="15" customHeight="1" x14ac:dyDescent="0.25">
      <c r="B626" s="51" t="s">
        <v>124</v>
      </c>
      <c r="C626" s="52">
        <v>556</v>
      </c>
      <c r="D626" s="53" t="s">
        <v>4326</v>
      </c>
      <c r="E626" s="54"/>
      <c r="F626" s="52" t="str">
        <f>IF(INDEX(I.Performance.StartRange,556)="","",INDEX(I.Performance.StartRange,556))</f>
        <v/>
      </c>
      <c r="G626" s="54"/>
      <c r="H626" s="52" t="str">
        <f>IF(AND(I.Compliance.FulfilledPerformance&gt;0,I.Performance.RangeCount&gt;=556,F626=""),"Incomplete","Complete")</f>
        <v>Complete</v>
      </c>
      <c r="I626" s="55" t="s">
        <v>824</v>
      </c>
    </row>
    <row r="627" spans="2:9" ht="15" customHeight="1" x14ac:dyDescent="0.25">
      <c r="B627" s="51" t="s">
        <v>124</v>
      </c>
      <c r="C627" s="52">
        <v>557</v>
      </c>
      <c r="D627" s="53" t="s">
        <v>4326</v>
      </c>
      <c r="E627" s="54"/>
      <c r="F627" s="52" t="str">
        <f>IF(INDEX(I.Performance.StartRange,557)="","",INDEX(I.Performance.StartRange,557))</f>
        <v/>
      </c>
      <c r="G627" s="54"/>
      <c r="H627" s="52" t="str">
        <f>IF(AND(I.Compliance.FulfilledPerformance&gt;0,I.Performance.RangeCount&gt;=557,F627=""),"Incomplete","Complete")</f>
        <v>Complete</v>
      </c>
      <c r="I627" s="55" t="s">
        <v>825</v>
      </c>
    </row>
    <row r="628" spans="2:9" ht="15" customHeight="1" x14ac:dyDescent="0.25">
      <c r="B628" s="51" t="s">
        <v>124</v>
      </c>
      <c r="C628" s="52">
        <v>558</v>
      </c>
      <c r="D628" s="53" t="s">
        <v>4326</v>
      </c>
      <c r="E628" s="54"/>
      <c r="F628" s="52" t="str">
        <f>IF(INDEX(I.Performance.StartRange,558)="","",INDEX(I.Performance.StartRange,558))</f>
        <v/>
      </c>
      <c r="G628" s="54"/>
      <c r="H628" s="52" t="str">
        <f>IF(AND(I.Compliance.FulfilledPerformance&gt;0,I.Performance.RangeCount&gt;=558,F628=""),"Incomplete","Complete")</f>
        <v>Complete</v>
      </c>
      <c r="I628" s="55" t="s">
        <v>826</v>
      </c>
    </row>
    <row r="629" spans="2:9" ht="15" customHeight="1" x14ac:dyDescent="0.25">
      <c r="B629" s="51" t="s">
        <v>124</v>
      </c>
      <c r="C629" s="52">
        <v>559</v>
      </c>
      <c r="D629" s="53" t="s">
        <v>4326</v>
      </c>
      <c r="E629" s="54"/>
      <c r="F629" s="52" t="str">
        <f>IF(INDEX(I.Performance.StartRange,559)="","",INDEX(I.Performance.StartRange,559))</f>
        <v/>
      </c>
      <c r="G629" s="54"/>
      <c r="H629" s="52" t="str">
        <f>IF(AND(I.Compliance.FulfilledPerformance&gt;0,I.Performance.RangeCount&gt;=559,F629=""),"Incomplete","Complete")</f>
        <v>Complete</v>
      </c>
      <c r="I629" s="55" t="s">
        <v>827</v>
      </c>
    </row>
    <row r="630" spans="2:9" ht="15" customHeight="1" x14ac:dyDescent="0.25">
      <c r="B630" s="51" t="s">
        <v>124</v>
      </c>
      <c r="C630" s="52">
        <v>560</v>
      </c>
      <c r="D630" s="53" t="s">
        <v>4326</v>
      </c>
      <c r="E630" s="54"/>
      <c r="F630" s="52" t="str">
        <f>IF(INDEX(I.Performance.StartRange,560)="","",INDEX(I.Performance.StartRange,560))</f>
        <v/>
      </c>
      <c r="G630" s="54"/>
      <c r="H630" s="52" t="str">
        <f>IF(AND(I.Compliance.FulfilledPerformance&gt;0,I.Performance.RangeCount&gt;=560,F630=""),"Incomplete","Complete")</f>
        <v>Complete</v>
      </c>
      <c r="I630" s="55" t="s">
        <v>828</v>
      </c>
    </row>
    <row r="631" spans="2:9" ht="15" customHeight="1" x14ac:dyDescent="0.25">
      <c r="B631" s="51" t="s">
        <v>124</v>
      </c>
      <c r="C631" s="52">
        <v>561</v>
      </c>
      <c r="D631" s="53" t="s">
        <v>4326</v>
      </c>
      <c r="E631" s="54"/>
      <c r="F631" s="52" t="str">
        <f>IF(INDEX(I.Performance.StartRange,561)="","",INDEX(I.Performance.StartRange,561))</f>
        <v/>
      </c>
      <c r="G631" s="54"/>
      <c r="H631" s="52" t="str">
        <f>IF(AND(I.Compliance.FulfilledPerformance&gt;0,I.Performance.RangeCount&gt;=561,F631=""),"Incomplete","Complete")</f>
        <v>Complete</v>
      </c>
      <c r="I631" s="55" t="s">
        <v>829</v>
      </c>
    </row>
    <row r="632" spans="2:9" ht="15" customHeight="1" x14ac:dyDescent="0.25">
      <c r="B632" s="51" t="s">
        <v>124</v>
      </c>
      <c r="C632" s="52">
        <v>562</v>
      </c>
      <c r="D632" s="53" t="s">
        <v>4326</v>
      </c>
      <c r="E632" s="54"/>
      <c r="F632" s="52" t="str">
        <f>IF(INDEX(I.Performance.StartRange,562)="","",INDEX(I.Performance.StartRange,562))</f>
        <v/>
      </c>
      <c r="G632" s="54"/>
      <c r="H632" s="52" t="str">
        <f>IF(AND(I.Compliance.FulfilledPerformance&gt;0,I.Performance.RangeCount&gt;=562,F632=""),"Incomplete","Complete")</f>
        <v>Complete</v>
      </c>
      <c r="I632" s="55" t="s">
        <v>830</v>
      </c>
    </row>
    <row r="633" spans="2:9" ht="15" customHeight="1" x14ac:dyDescent="0.25">
      <c r="B633" s="51" t="s">
        <v>124</v>
      </c>
      <c r="C633" s="52">
        <v>563</v>
      </c>
      <c r="D633" s="53" t="s">
        <v>4326</v>
      </c>
      <c r="E633" s="54"/>
      <c r="F633" s="52" t="str">
        <f>IF(INDEX(I.Performance.StartRange,563)="","",INDEX(I.Performance.StartRange,563))</f>
        <v/>
      </c>
      <c r="G633" s="54"/>
      <c r="H633" s="52" t="str">
        <f>IF(AND(I.Compliance.FulfilledPerformance&gt;0,I.Performance.RangeCount&gt;=563,F633=""),"Incomplete","Complete")</f>
        <v>Complete</v>
      </c>
      <c r="I633" s="55" t="s">
        <v>831</v>
      </c>
    </row>
    <row r="634" spans="2:9" ht="15" customHeight="1" x14ac:dyDescent="0.25">
      <c r="B634" s="51" t="s">
        <v>124</v>
      </c>
      <c r="C634" s="52">
        <v>564</v>
      </c>
      <c r="D634" s="53" t="s">
        <v>4326</v>
      </c>
      <c r="E634" s="54"/>
      <c r="F634" s="52" t="str">
        <f>IF(INDEX(I.Performance.StartRange,564)="","",INDEX(I.Performance.StartRange,564))</f>
        <v/>
      </c>
      <c r="G634" s="54"/>
      <c r="H634" s="52" t="str">
        <f>IF(AND(I.Compliance.FulfilledPerformance&gt;0,I.Performance.RangeCount&gt;=564,F634=""),"Incomplete","Complete")</f>
        <v>Complete</v>
      </c>
      <c r="I634" s="55" t="s">
        <v>832</v>
      </c>
    </row>
    <row r="635" spans="2:9" ht="15" customHeight="1" x14ac:dyDescent="0.25">
      <c r="B635" s="51" t="s">
        <v>124</v>
      </c>
      <c r="C635" s="52">
        <v>565</v>
      </c>
      <c r="D635" s="53" t="s">
        <v>4326</v>
      </c>
      <c r="E635" s="54"/>
      <c r="F635" s="52" t="str">
        <f>IF(INDEX(I.Performance.StartRange,565)="","",INDEX(I.Performance.StartRange,565))</f>
        <v/>
      </c>
      <c r="G635" s="54"/>
      <c r="H635" s="52" t="str">
        <f>IF(AND(I.Compliance.FulfilledPerformance&gt;0,I.Performance.RangeCount&gt;=565,F635=""),"Incomplete","Complete")</f>
        <v>Complete</v>
      </c>
      <c r="I635" s="55" t="s">
        <v>833</v>
      </c>
    </row>
    <row r="636" spans="2:9" ht="15" customHeight="1" x14ac:dyDescent="0.25">
      <c r="B636" s="51" t="s">
        <v>124</v>
      </c>
      <c r="C636" s="52">
        <v>566</v>
      </c>
      <c r="D636" s="53" t="s">
        <v>4326</v>
      </c>
      <c r="E636" s="54"/>
      <c r="F636" s="52" t="str">
        <f>IF(INDEX(I.Performance.StartRange,566)="","",INDEX(I.Performance.StartRange,566))</f>
        <v/>
      </c>
      <c r="G636" s="54"/>
      <c r="H636" s="52" t="str">
        <f>IF(AND(I.Compliance.FulfilledPerformance&gt;0,I.Performance.RangeCount&gt;=566,F636=""),"Incomplete","Complete")</f>
        <v>Complete</v>
      </c>
      <c r="I636" s="55" t="s">
        <v>834</v>
      </c>
    </row>
    <row r="637" spans="2:9" ht="15" customHeight="1" x14ac:dyDescent="0.25">
      <c r="B637" s="51" t="s">
        <v>124</v>
      </c>
      <c r="C637" s="52">
        <v>567</v>
      </c>
      <c r="D637" s="53" t="s">
        <v>4326</v>
      </c>
      <c r="E637" s="54"/>
      <c r="F637" s="52" t="str">
        <f>IF(INDEX(I.Performance.StartRange,567)="","",INDEX(I.Performance.StartRange,567))</f>
        <v/>
      </c>
      <c r="G637" s="54"/>
      <c r="H637" s="52" t="str">
        <f>IF(AND(I.Compliance.FulfilledPerformance&gt;0,I.Performance.RangeCount&gt;=567,F637=""),"Incomplete","Complete")</f>
        <v>Complete</v>
      </c>
      <c r="I637" s="55" t="s">
        <v>835</v>
      </c>
    </row>
    <row r="638" spans="2:9" ht="15" customHeight="1" x14ac:dyDescent="0.25">
      <c r="B638" s="51" t="s">
        <v>124</v>
      </c>
      <c r="C638" s="52">
        <v>568</v>
      </c>
      <c r="D638" s="53" t="s">
        <v>4326</v>
      </c>
      <c r="E638" s="54"/>
      <c r="F638" s="52" t="str">
        <f>IF(INDEX(I.Performance.StartRange,568)="","",INDEX(I.Performance.StartRange,568))</f>
        <v/>
      </c>
      <c r="G638" s="54"/>
      <c r="H638" s="52" t="str">
        <f>IF(AND(I.Compliance.FulfilledPerformance&gt;0,I.Performance.RangeCount&gt;=568,F638=""),"Incomplete","Complete")</f>
        <v>Complete</v>
      </c>
      <c r="I638" s="55" t="s">
        <v>836</v>
      </c>
    </row>
    <row r="639" spans="2:9" ht="15" customHeight="1" x14ac:dyDescent="0.25">
      <c r="B639" s="51" t="s">
        <v>124</v>
      </c>
      <c r="C639" s="52">
        <v>569</v>
      </c>
      <c r="D639" s="53" t="s">
        <v>4326</v>
      </c>
      <c r="E639" s="54"/>
      <c r="F639" s="52" t="str">
        <f>IF(INDEX(I.Performance.StartRange,569)="","",INDEX(I.Performance.StartRange,569))</f>
        <v/>
      </c>
      <c r="G639" s="54"/>
      <c r="H639" s="52" t="str">
        <f>IF(AND(I.Compliance.FulfilledPerformance&gt;0,I.Performance.RangeCount&gt;=569,F639=""),"Incomplete","Complete")</f>
        <v>Complete</v>
      </c>
      <c r="I639" s="55" t="s">
        <v>837</v>
      </c>
    </row>
    <row r="640" spans="2:9" ht="15" customHeight="1" x14ac:dyDescent="0.25">
      <c r="B640" s="51" t="s">
        <v>124</v>
      </c>
      <c r="C640" s="52">
        <v>570</v>
      </c>
      <c r="D640" s="53" t="s">
        <v>4326</v>
      </c>
      <c r="E640" s="54"/>
      <c r="F640" s="52" t="str">
        <f>IF(INDEX(I.Performance.StartRange,570)="","",INDEX(I.Performance.StartRange,570))</f>
        <v/>
      </c>
      <c r="G640" s="54"/>
      <c r="H640" s="52" t="str">
        <f>IF(AND(I.Compliance.FulfilledPerformance&gt;0,I.Performance.RangeCount&gt;=570,F640=""),"Incomplete","Complete")</f>
        <v>Complete</v>
      </c>
      <c r="I640" s="55" t="s">
        <v>838</v>
      </c>
    </row>
    <row r="641" spans="2:9" ht="15" customHeight="1" x14ac:dyDescent="0.25">
      <c r="B641" s="51" t="s">
        <v>124</v>
      </c>
      <c r="C641" s="52">
        <v>571</v>
      </c>
      <c r="D641" s="53" t="s">
        <v>4326</v>
      </c>
      <c r="E641" s="54"/>
      <c r="F641" s="52" t="str">
        <f>IF(INDEX(I.Performance.StartRange,571)="","",INDEX(I.Performance.StartRange,571))</f>
        <v/>
      </c>
      <c r="G641" s="54"/>
      <c r="H641" s="52" t="str">
        <f>IF(AND(I.Compliance.FulfilledPerformance&gt;0,I.Performance.RangeCount&gt;=571,F641=""),"Incomplete","Complete")</f>
        <v>Complete</v>
      </c>
      <c r="I641" s="55" t="s">
        <v>839</v>
      </c>
    </row>
    <row r="642" spans="2:9" ht="15" customHeight="1" x14ac:dyDescent="0.25">
      <c r="B642" s="51" t="s">
        <v>124</v>
      </c>
      <c r="C642" s="52">
        <v>572</v>
      </c>
      <c r="D642" s="53" t="s">
        <v>4326</v>
      </c>
      <c r="E642" s="54"/>
      <c r="F642" s="52" t="str">
        <f>IF(INDEX(I.Performance.StartRange,572)="","",INDEX(I.Performance.StartRange,572))</f>
        <v/>
      </c>
      <c r="G642" s="54"/>
      <c r="H642" s="52" t="str">
        <f>IF(AND(I.Compliance.FulfilledPerformance&gt;0,I.Performance.RangeCount&gt;=572,F642=""),"Incomplete","Complete")</f>
        <v>Complete</v>
      </c>
      <c r="I642" s="55" t="s">
        <v>840</v>
      </c>
    </row>
    <row r="643" spans="2:9" ht="15" customHeight="1" x14ac:dyDescent="0.25">
      <c r="B643" s="51" t="s">
        <v>124</v>
      </c>
      <c r="C643" s="52">
        <v>573</v>
      </c>
      <c r="D643" s="53" t="s">
        <v>4326</v>
      </c>
      <c r="E643" s="54"/>
      <c r="F643" s="52" t="str">
        <f>IF(INDEX(I.Performance.StartRange,573)="","",INDEX(I.Performance.StartRange,573))</f>
        <v/>
      </c>
      <c r="G643" s="54"/>
      <c r="H643" s="52" t="str">
        <f>IF(AND(I.Compliance.FulfilledPerformance&gt;0,I.Performance.RangeCount&gt;=573,F643=""),"Incomplete","Complete")</f>
        <v>Complete</v>
      </c>
      <c r="I643" s="55" t="s">
        <v>841</v>
      </c>
    </row>
    <row r="644" spans="2:9" ht="15" customHeight="1" x14ac:dyDescent="0.25">
      <c r="B644" s="51" t="s">
        <v>124</v>
      </c>
      <c r="C644" s="52">
        <v>574</v>
      </c>
      <c r="D644" s="53" t="s">
        <v>4326</v>
      </c>
      <c r="E644" s="54"/>
      <c r="F644" s="52" t="str">
        <f>IF(INDEX(I.Performance.StartRange,574)="","",INDEX(I.Performance.StartRange,574))</f>
        <v/>
      </c>
      <c r="G644" s="54"/>
      <c r="H644" s="52" t="str">
        <f>IF(AND(I.Compliance.FulfilledPerformance&gt;0,I.Performance.RangeCount&gt;=574,F644=""),"Incomplete","Complete")</f>
        <v>Complete</v>
      </c>
      <c r="I644" s="55" t="s">
        <v>842</v>
      </c>
    </row>
    <row r="645" spans="2:9" ht="15" customHeight="1" x14ac:dyDescent="0.25">
      <c r="B645" s="51" t="s">
        <v>124</v>
      </c>
      <c r="C645" s="52">
        <v>575</v>
      </c>
      <c r="D645" s="53" t="s">
        <v>4326</v>
      </c>
      <c r="E645" s="54"/>
      <c r="F645" s="52" t="str">
        <f>IF(INDEX(I.Performance.StartRange,575)="","",INDEX(I.Performance.StartRange,575))</f>
        <v/>
      </c>
      <c r="G645" s="54"/>
      <c r="H645" s="52" t="str">
        <f>IF(AND(I.Compliance.FulfilledPerformance&gt;0,I.Performance.RangeCount&gt;=575,F645=""),"Incomplete","Complete")</f>
        <v>Complete</v>
      </c>
      <c r="I645" s="55" t="s">
        <v>843</v>
      </c>
    </row>
    <row r="646" spans="2:9" ht="15" customHeight="1" x14ac:dyDescent="0.25">
      <c r="B646" s="51" t="s">
        <v>124</v>
      </c>
      <c r="C646" s="52">
        <v>576</v>
      </c>
      <c r="D646" s="53" t="s">
        <v>4326</v>
      </c>
      <c r="E646" s="54"/>
      <c r="F646" s="52" t="str">
        <f>IF(INDEX(I.Performance.StartRange,576)="","",INDEX(I.Performance.StartRange,576))</f>
        <v/>
      </c>
      <c r="G646" s="54"/>
      <c r="H646" s="52" t="str">
        <f>IF(AND(I.Compliance.FulfilledPerformance&gt;0,I.Performance.RangeCount&gt;=576,F646=""),"Incomplete","Complete")</f>
        <v>Complete</v>
      </c>
      <c r="I646" s="55" t="s">
        <v>844</v>
      </c>
    </row>
    <row r="647" spans="2:9" ht="15" customHeight="1" x14ac:dyDescent="0.25">
      <c r="B647" s="51" t="s">
        <v>124</v>
      </c>
      <c r="C647" s="52">
        <v>577</v>
      </c>
      <c r="D647" s="53" t="s">
        <v>4326</v>
      </c>
      <c r="E647" s="54"/>
      <c r="F647" s="52" t="str">
        <f>IF(INDEX(I.Performance.StartRange,577)="","",INDEX(I.Performance.StartRange,577))</f>
        <v/>
      </c>
      <c r="G647" s="54"/>
      <c r="H647" s="52" t="str">
        <f>IF(AND(I.Compliance.FulfilledPerformance&gt;0,I.Performance.RangeCount&gt;=577,F647=""),"Incomplete","Complete")</f>
        <v>Complete</v>
      </c>
      <c r="I647" s="55" t="s">
        <v>845</v>
      </c>
    </row>
    <row r="648" spans="2:9" ht="15" customHeight="1" x14ac:dyDescent="0.25">
      <c r="B648" s="51" t="s">
        <v>124</v>
      </c>
      <c r="C648" s="52">
        <v>578</v>
      </c>
      <c r="D648" s="53" t="s">
        <v>4326</v>
      </c>
      <c r="E648" s="54"/>
      <c r="F648" s="52" t="str">
        <f>IF(INDEX(I.Performance.StartRange,578)="","",INDEX(I.Performance.StartRange,578))</f>
        <v/>
      </c>
      <c r="G648" s="54"/>
      <c r="H648" s="52" t="str">
        <f>IF(AND(I.Compliance.FulfilledPerformance&gt;0,I.Performance.RangeCount&gt;=578,F648=""),"Incomplete","Complete")</f>
        <v>Complete</v>
      </c>
      <c r="I648" s="55" t="s">
        <v>846</v>
      </c>
    </row>
    <row r="649" spans="2:9" ht="15" customHeight="1" x14ac:dyDescent="0.25">
      <c r="B649" s="51" t="s">
        <v>124</v>
      </c>
      <c r="C649" s="52">
        <v>579</v>
      </c>
      <c r="D649" s="53" t="s">
        <v>4326</v>
      </c>
      <c r="E649" s="54"/>
      <c r="F649" s="52" t="str">
        <f>IF(INDEX(I.Performance.StartRange,579)="","",INDEX(I.Performance.StartRange,579))</f>
        <v/>
      </c>
      <c r="G649" s="54"/>
      <c r="H649" s="52" t="str">
        <f>IF(AND(I.Compliance.FulfilledPerformance&gt;0,I.Performance.RangeCount&gt;=579,F649=""),"Incomplete","Complete")</f>
        <v>Complete</v>
      </c>
      <c r="I649" s="55" t="s">
        <v>847</v>
      </c>
    </row>
    <row r="650" spans="2:9" ht="15" customHeight="1" x14ac:dyDescent="0.25">
      <c r="B650" s="51" t="s">
        <v>124</v>
      </c>
      <c r="C650" s="52">
        <v>580</v>
      </c>
      <c r="D650" s="53" t="s">
        <v>4326</v>
      </c>
      <c r="E650" s="54"/>
      <c r="F650" s="52" t="str">
        <f>IF(INDEX(I.Performance.StartRange,580)="","",INDEX(I.Performance.StartRange,580))</f>
        <v/>
      </c>
      <c r="G650" s="54"/>
      <c r="H650" s="52" t="str">
        <f>IF(AND(I.Compliance.FulfilledPerformance&gt;0,I.Performance.RangeCount&gt;=580,F650=""),"Incomplete","Complete")</f>
        <v>Complete</v>
      </c>
      <c r="I650" s="55" t="s">
        <v>848</v>
      </c>
    </row>
    <row r="651" spans="2:9" ht="15" customHeight="1" x14ac:dyDescent="0.25">
      <c r="B651" s="51" t="s">
        <v>124</v>
      </c>
      <c r="C651" s="52">
        <v>581</v>
      </c>
      <c r="D651" s="53" t="s">
        <v>4326</v>
      </c>
      <c r="E651" s="54"/>
      <c r="F651" s="52" t="str">
        <f>IF(INDEX(I.Performance.StartRange,581)="","",INDEX(I.Performance.StartRange,581))</f>
        <v/>
      </c>
      <c r="G651" s="54"/>
      <c r="H651" s="52" t="str">
        <f>IF(AND(I.Compliance.FulfilledPerformance&gt;0,I.Performance.RangeCount&gt;=581,F651=""),"Incomplete","Complete")</f>
        <v>Complete</v>
      </c>
      <c r="I651" s="55" t="s">
        <v>849</v>
      </c>
    </row>
    <row r="652" spans="2:9" ht="15" customHeight="1" x14ac:dyDescent="0.25">
      <c r="B652" s="51" t="s">
        <v>124</v>
      </c>
      <c r="C652" s="52">
        <v>582</v>
      </c>
      <c r="D652" s="53" t="s">
        <v>4326</v>
      </c>
      <c r="E652" s="54"/>
      <c r="F652" s="52" t="str">
        <f>IF(INDEX(I.Performance.StartRange,582)="","",INDEX(I.Performance.StartRange,582))</f>
        <v/>
      </c>
      <c r="G652" s="54"/>
      <c r="H652" s="52" t="str">
        <f>IF(AND(I.Compliance.FulfilledPerformance&gt;0,I.Performance.RangeCount&gt;=582,F652=""),"Incomplete","Complete")</f>
        <v>Complete</v>
      </c>
      <c r="I652" s="55" t="s">
        <v>850</v>
      </c>
    </row>
    <row r="653" spans="2:9" ht="15" customHeight="1" x14ac:dyDescent="0.25">
      <c r="B653" s="51" t="s">
        <v>124</v>
      </c>
      <c r="C653" s="52">
        <v>583</v>
      </c>
      <c r="D653" s="53" t="s">
        <v>4326</v>
      </c>
      <c r="E653" s="54"/>
      <c r="F653" s="52" t="str">
        <f>IF(INDEX(I.Performance.StartRange,583)="","",INDEX(I.Performance.StartRange,583))</f>
        <v/>
      </c>
      <c r="G653" s="54"/>
      <c r="H653" s="52" t="str">
        <f>IF(AND(I.Compliance.FulfilledPerformance&gt;0,I.Performance.RangeCount&gt;=583,F653=""),"Incomplete","Complete")</f>
        <v>Complete</v>
      </c>
      <c r="I653" s="55" t="s">
        <v>851</v>
      </c>
    </row>
    <row r="654" spans="2:9" ht="15" customHeight="1" x14ac:dyDescent="0.25">
      <c r="B654" s="51" t="s">
        <v>124</v>
      </c>
      <c r="C654" s="52">
        <v>584</v>
      </c>
      <c r="D654" s="53" t="s">
        <v>4326</v>
      </c>
      <c r="E654" s="54"/>
      <c r="F654" s="52" t="str">
        <f>IF(INDEX(I.Performance.StartRange,584)="","",INDEX(I.Performance.StartRange,584))</f>
        <v/>
      </c>
      <c r="G654" s="54"/>
      <c r="H654" s="52" t="str">
        <f>IF(AND(I.Compliance.FulfilledPerformance&gt;0,I.Performance.RangeCount&gt;=584,F654=""),"Incomplete","Complete")</f>
        <v>Complete</v>
      </c>
      <c r="I654" s="55" t="s">
        <v>852</v>
      </c>
    </row>
    <row r="655" spans="2:9" ht="15" customHeight="1" x14ac:dyDescent="0.25">
      <c r="B655" s="51" t="s">
        <v>124</v>
      </c>
      <c r="C655" s="52">
        <v>585</v>
      </c>
      <c r="D655" s="53" t="s">
        <v>4326</v>
      </c>
      <c r="E655" s="54"/>
      <c r="F655" s="52" t="str">
        <f>IF(INDEX(I.Performance.StartRange,585)="","",INDEX(I.Performance.StartRange,585))</f>
        <v/>
      </c>
      <c r="G655" s="54"/>
      <c r="H655" s="52" t="str">
        <f>IF(AND(I.Compliance.FulfilledPerformance&gt;0,I.Performance.RangeCount&gt;=585,F655=""),"Incomplete","Complete")</f>
        <v>Complete</v>
      </c>
      <c r="I655" s="55" t="s">
        <v>853</v>
      </c>
    </row>
    <row r="656" spans="2:9" ht="15" customHeight="1" x14ac:dyDescent="0.25">
      <c r="B656" s="51" t="s">
        <v>124</v>
      </c>
      <c r="C656" s="52">
        <v>586</v>
      </c>
      <c r="D656" s="53" t="s">
        <v>4326</v>
      </c>
      <c r="E656" s="54"/>
      <c r="F656" s="52" t="str">
        <f>IF(INDEX(I.Performance.StartRange,586)="","",INDEX(I.Performance.StartRange,586))</f>
        <v/>
      </c>
      <c r="G656" s="54"/>
      <c r="H656" s="52" t="str">
        <f>IF(AND(I.Compliance.FulfilledPerformance&gt;0,I.Performance.RangeCount&gt;=586,F656=""),"Incomplete","Complete")</f>
        <v>Complete</v>
      </c>
      <c r="I656" s="55" t="s">
        <v>854</v>
      </c>
    </row>
    <row r="657" spans="2:9" ht="15" customHeight="1" x14ac:dyDescent="0.25">
      <c r="B657" s="51" t="s">
        <v>124</v>
      </c>
      <c r="C657" s="52">
        <v>587</v>
      </c>
      <c r="D657" s="53" t="s">
        <v>4326</v>
      </c>
      <c r="E657" s="54"/>
      <c r="F657" s="52" t="str">
        <f>IF(INDEX(I.Performance.StartRange,587)="","",INDEX(I.Performance.StartRange,587))</f>
        <v/>
      </c>
      <c r="G657" s="54"/>
      <c r="H657" s="52" t="str">
        <f>IF(AND(I.Compliance.FulfilledPerformance&gt;0,I.Performance.RangeCount&gt;=587,F657=""),"Incomplete","Complete")</f>
        <v>Complete</v>
      </c>
      <c r="I657" s="55" t="s">
        <v>855</v>
      </c>
    </row>
    <row r="658" spans="2:9" ht="15" customHeight="1" x14ac:dyDescent="0.25">
      <c r="B658" s="51" t="s">
        <v>124</v>
      </c>
      <c r="C658" s="52">
        <v>588</v>
      </c>
      <c r="D658" s="53" t="s">
        <v>4326</v>
      </c>
      <c r="E658" s="54"/>
      <c r="F658" s="52" t="str">
        <f>IF(INDEX(I.Performance.StartRange,588)="","",INDEX(I.Performance.StartRange,588))</f>
        <v/>
      </c>
      <c r="G658" s="54"/>
      <c r="H658" s="52" t="str">
        <f>IF(AND(I.Compliance.FulfilledPerformance&gt;0,I.Performance.RangeCount&gt;=588,F658=""),"Incomplete","Complete")</f>
        <v>Complete</v>
      </c>
      <c r="I658" s="55" t="s">
        <v>856</v>
      </c>
    </row>
    <row r="659" spans="2:9" ht="15" customHeight="1" x14ac:dyDescent="0.25">
      <c r="B659" s="51" t="s">
        <v>124</v>
      </c>
      <c r="C659" s="52">
        <v>589</v>
      </c>
      <c r="D659" s="53" t="s">
        <v>4326</v>
      </c>
      <c r="E659" s="54"/>
      <c r="F659" s="52" t="str">
        <f>IF(INDEX(I.Performance.StartRange,589)="","",INDEX(I.Performance.StartRange,589))</f>
        <v/>
      </c>
      <c r="G659" s="54"/>
      <c r="H659" s="52" t="str">
        <f>IF(AND(I.Compliance.FulfilledPerformance&gt;0,I.Performance.RangeCount&gt;=589,F659=""),"Incomplete","Complete")</f>
        <v>Complete</v>
      </c>
      <c r="I659" s="55" t="s">
        <v>857</v>
      </c>
    </row>
    <row r="660" spans="2:9" ht="15" customHeight="1" x14ac:dyDescent="0.25">
      <c r="B660" s="51" t="s">
        <v>124</v>
      </c>
      <c r="C660" s="52">
        <v>590</v>
      </c>
      <c r="D660" s="53" t="s">
        <v>4326</v>
      </c>
      <c r="E660" s="54"/>
      <c r="F660" s="52" t="str">
        <f>IF(INDEX(I.Performance.StartRange,590)="","",INDEX(I.Performance.StartRange,590))</f>
        <v/>
      </c>
      <c r="G660" s="54"/>
      <c r="H660" s="52" t="str">
        <f>IF(AND(I.Compliance.FulfilledPerformance&gt;0,I.Performance.RangeCount&gt;=590,F660=""),"Incomplete","Complete")</f>
        <v>Complete</v>
      </c>
      <c r="I660" s="55" t="s">
        <v>858</v>
      </c>
    </row>
    <row r="661" spans="2:9" ht="15" customHeight="1" x14ac:dyDescent="0.25">
      <c r="B661" s="51" t="s">
        <v>124</v>
      </c>
      <c r="C661" s="52">
        <v>591</v>
      </c>
      <c r="D661" s="53" t="s">
        <v>4326</v>
      </c>
      <c r="E661" s="54"/>
      <c r="F661" s="52" t="str">
        <f>IF(INDEX(I.Performance.StartRange,591)="","",INDEX(I.Performance.StartRange,591))</f>
        <v/>
      </c>
      <c r="G661" s="54"/>
      <c r="H661" s="52" t="str">
        <f>IF(AND(I.Compliance.FulfilledPerformance&gt;0,I.Performance.RangeCount&gt;=591,F661=""),"Incomplete","Complete")</f>
        <v>Complete</v>
      </c>
      <c r="I661" s="55" t="s">
        <v>859</v>
      </c>
    </row>
    <row r="662" spans="2:9" ht="15" customHeight="1" x14ac:dyDescent="0.25">
      <c r="B662" s="51" t="s">
        <v>124</v>
      </c>
      <c r="C662" s="52">
        <v>592</v>
      </c>
      <c r="D662" s="53" t="s">
        <v>4326</v>
      </c>
      <c r="E662" s="54"/>
      <c r="F662" s="52" t="str">
        <f>IF(INDEX(I.Performance.StartRange,592)="","",INDEX(I.Performance.StartRange,592))</f>
        <v/>
      </c>
      <c r="G662" s="54"/>
      <c r="H662" s="52" t="str">
        <f>IF(AND(I.Compliance.FulfilledPerformance&gt;0,I.Performance.RangeCount&gt;=592,F662=""),"Incomplete","Complete")</f>
        <v>Complete</v>
      </c>
      <c r="I662" s="55" t="s">
        <v>860</v>
      </c>
    </row>
    <row r="663" spans="2:9" ht="15" customHeight="1" x14ac:dyDescent="0.25">
      <c r="B663" s="51" t="s">
        <v>124</v>
      </c>
      <c r="C663" s="52">
        <v>593</v>
      </c>
      <c r="D663" s="53" t="s">
        <v>4326</v>
      </c>
      <c r="E663" s="54"/>
      <c r="F663" s="52" t="str">
        <f>IF(INDEX(I.Performance.StartRange,593)="","",INDEX(I.Performance.StartRange,593))</f>
        <v/>
      </c>
      <c r="G663" s="54"/>
      <c r="H663" s="52" t="str">
        <f>IF(AND(I.Compliance.FulfilledPerformance&gt;0,I.Performance.RangeCount&gt;=593,F663=""),"Incomplete","Complete")</f>
        <v>Complete</v>
      </c>
      <c r="I663" s="55" t="s">
        <v>861</v>
      </c>
    </row>
    <row r="664" spans="2:9" ht="15" customHeight="1" x14ac:dyDescent="0.25">
      <c r="B664" s="51" t="s">
        <v>124</v>
      </c>
      <c r="C664" s="52">
        <v>594</v>
      </c>
      <c r="D664" s="53" t="s">
        <v>4326</v>
      </c>
      <c r="E664" s="54"/>
      <c r="F664" s="52" t="str">
        <f>IF(INDEX(I.Performance.StartRange,594)="","",INDEX(I.Performance.StartRange,594))</f>
        <v/>
      </c>
      <c r="G664" s="54"/>
      <c r="H664" s="52" t="str">
        <f>IF(AND(I.Compliance.FulfilledPerformance&gt;0,I.Performance.RangeCount&gt;=594,F664=""),"Incomplete","Complete")</f>
        <v>Complete</v>
      </c>
      <c r="I664" s="55" t="s">
        <v>862</v>
      </c>
    </row>
    <row r="665" spans="2:9" ht="15" customHeight="1" x14ac:dyDescent="0.25">
      <c r="B665" s="51" t="s">
        <v>124</v>
      </c>
      <c r="C665" s="52">
        <v>595</v>
      </c>
      <c r="D665" s="53" t="s">
        <v>4326</v>
      </c>
      <c r="E665" s="54"/>
      <c r="F665" s="52" t="str">
        <f>IF(INDEX(I.Performance.StartRange,595)="","",INDEX(I.Performance.StartRange,595))</f>
        <v/>
      </c>
      <c r="G665" s="54"/>
      <c r="H665" s="52" t="str">
        <f>IF(AND(I.Compliance.FulfilledPerformance&gt;0,I.Performance.RangeCount&gt;=595,F665=""),"Incomplete","Complete")</f>
        <v>Complete</v>
      </c>
      <c r="I665" s="55" t="s">
        <v>863</v>
      </c>
    </row>
    <row r="666" spans="2:9" ht="15" customHeight="1" x14ac:dyDescent="0.25">
      <c r="B666" s="51" t="s">
        <v>124</v>
      </c>
      <c r="C666" s="52">
        <v>596</v>
      </c>
      <c r="D666" s="53" t="s">
        <v>4326</v>
      </c>
      <c r="E666" s="54"/>
      <c r="F666" s="52" t="str">
        <f>IF(INDEX(I.Performance.StartRange,596)="","",INDEX(I.Performance.StartRange,596))</f>
        <v/>
      </c>
      <c r="G666" s="54"/>
      <c r="H666" s="52" t="str">
        <f>IF(AND(I.Compliance.FulfilledPerformance&gt;0,I.Performance.RangeCount&gt;=596,F666=""),"Incomplete","Complete")</f>
        <v>Complete</v>
      </c>
      <c r="I666" s="55" t="s">
        <v>864</v>
      </c>
    </row>
    <row r="667" spans="2:9" ht="15" customHeight="1" x14ac:dyDescent="0.25">
      <c r="B667" s="51" t="s">
        <v>124</v>
      </c>
      <c r="C667" s="52">
        <v>597</v>
      </c>
      <c r="D667" s="53" t="s">
        <v>4326</v>
      </c>
      <c r="E667" s="54"/>
      <c r="F667" s="52" t="str">
        <f>IF(INDEX(I.Performance.StartRange,597)="","",INDEX(I.Performance.StartRange,597))</f>
        <v/>
      </c>
      <c r="G667" s="54"/>
      <c r="H667" s="52" t="str">
        <f>IF(AND(I.Compliance.FulfilledPerformance&gt;0,I.Performance.RangeCount&gt;=597,F667=""),"Incomplete","Complete")</f>
        <v>Complete</v>
      </c>
      <c r="I667" s="55" t="s">
        <v>865</v>
      </c>
    </row>
    <row r="668" spans="2:9" ht="15" customHeight="1" x14ac:dyDescent="0.25">
      <c r="B668" s="51" t="s">
        <v>124</v>
      </c>
      <c r="C668" s="52">
        <v>598</v>
      </c>
      <c r="D668" s="53" t="s">
        <v>4326</v>
      </c>
      <c r="E668" s="54"/>
      <c r="F668" s="52" t="str">
        <f>IF(INDEX(I.Performance.StartRange,598)="","",INDEX(I.Performance.StartRange,598))</f>
        <v/>
      </c>
      <c r="G668" s="54"/>
      <c r="H668" s="52" t="str">
        <f>IF(AND(I.Compliance.FulfilledPerformance&gt;0,I.Performance.RangeCount&gt;=598,F668=""),"Incomplete","Complete")</f>
        <v>Complete</v>
      </c>
      <c r="I668" s="55" t="s">
        <v>866</v>
      </c>
    </row>
    <row r="669" spans="2:9" ht="15" customHeight="1" x14ac:dyDescent="0.25">
      <c r="B669" s="51" t="s">
        <v>124</v>
      </c>
      <c r="C669" s="52">
        <v>599</v>
      </c>
      <c r="D669" s="53" t="s">
        <v>4326</v>
      </c>
      <c r="E669" s="54"/>
      <c r="F669" s="52" t="str">
        <f>IF(INDEX(I.Performance.StartRange,599)="","",INDEX(I.Performance.StartRange,599))</f>
        <v/>
      </c>
      <c r="G669" s="54"/>
      <c r="H669" s="52" t="str">
        <f>IF(AND(I.Compliance.FulfilledPerformance&gt;0,I.Performance.RangeCount&gt;=599,F669=""),"Incomplete","Complete")</f>
        <v>Complete</v>
      </c>
      <c r="I669" s="55" t="s">
        <v>867</v>
      </c>
    </row>
    <row r="670" spans="2:9" ht="15" customHeight="1" x14ac:dyDescent="0.25">
      <c r="B670" s="51" t="s">
        <v>124</v>
      </c>
      <c r="C670" s="52">
        <v>600</v>
      </c>
      <c r="D670" s="53" t="s">
        <v>4326</v>
      </c>
      <c r="E670" s="54"/>
      <c r="F670" s="52" t="str">
        <f>IF(INDEX(I.Performance.StartRange,600)="","",INDEX(I.Performance.StartRange,600))</f>
        <v/>
      </c>
      <c r="G670" s="54"/>
      <c r="H670" s="52" t="str">
        <f>IF(AND(I.Compliance.FulfilledPerformance&gt;0,I.Performance.RangeCount&gt;=600,F670=""),"Incomplete","Complete")</f>
        <v>Complete</v>
      </c>
      <c r="I670" s="55" t="s">
        <v>868</v>
      </c>
    </row>
    <row r="671" spans="2:9" ht="15" customHeight="1" x14ac:dyDescent="0.25">
      <c r="B671" s="51" t="s">
        <v>124</v>
      </c>
      <c r="C671" s="52">
        <v>601</v>
      </c>
      <c r="D671" s="53" t="s">
        <v>4326</v>
      </c>
      <c r="E671" s="54"/>
      <c r="F671" s="52" t="str">
        <f>IF(INDEX(I.Performance.StartRange,601)="","",INDEX(I.Performance.StartRange,601))</f>
        <v/>
      </c>
      <c r="G671" s="54"/>
      <c r="H671" s="52" t="str">
        <f>IF(AND(I.Compliance.FulfilledPerformance&gt;0,I.Performance.RangeCount&gt;=601,F671=""),"Incomplete","Complete")</f>
        <v>Complete</v>
      </c>
      <c r="I671" s="55" t="s">
        <v>869</v>
      </c>
    </row>
    <row r="672" spans="2:9" ht="15" customHeight="1" x14ac:dyDescent="0.25">
      <c r="B672" s="51" t="s">
        <v>124</v>
      </c>
      <c r="C672" s="52">
        <v>602</v>
      </c>
      <c r="D672" s="53" t="s">
        <v>4326</v>
      </c>
      <c r="E672" s="54"/>
      <c r="F672" s="52" t="str">
        <f>IF(INDEX(I.Performance.StartRange,602)="","",INDEX(I.Performance.StartRange,602))</f>
        <v/>
      </c>
      <c r="G672" s="54"/>
      <c r="H672" s="52" t="str">
        <f>IF(AND(I.Compliance.FulfilledPerformance&gt;0,I.Performance.RangeCount&gt;=602,F672=""),"Incomplete","Complete")</f>
        <v>Complete</v>
      </c>
      <c r="I672" s="55" t="s">
        <v>870</v>
      </c>
    </row>
    <row r="673" spans="2:9" ht="15" customHeight="1" x14ac:dyDescent="0.25">
      <c r="B673" s="51" t="s">
        <v>124</v>
      </c>
      <c r="C673" s="52">
        <v>603</v>
      </c>
      <c r="D673" s="53" t="s">
        <v>4326</v>
      </c>
      <c r="E673" s="54"/>
      <c r="F673" s="52" t="str">
        <f>IF(INDEX(I.Performance.StartRange,603)="","",INDEX(I.Performance.StartRange,603))</f>
        <v/>
      </c>
      <c r="G673" s="54"/>
      <c r="H673" s="52" t="str">
        <f>IF(AND(I.Compliance.FulfilledPerformance&gt;0,I.Performance.RangeCount&gt;=603,F673=""),"Incomplete","Complete")</f>
        <v>Complete</v>
      </c>
      <c r="I673" s="55" t="s">
        <v>871</v>
      </c>
    </row>
    <row r="674" spans="2:9" ht="15" customHeight="1" x14ac:dyDescent="0.25">
      <c r="B674" s="51" t="s">
        <v>124</v>
      </c>
      <c r="C674" s="52">
        <v>604</v>
      </c>
      <c r="D674" s="53" t="s">
        <v>4326</v>
      </c>
      <c r="E674" s="54"/>
      <c r="F674" s="52" t="str">
        <f>IF(INDEX(I.Performance.StartRange,604)="","",INDEX(I.Performance.StartRange,604))</f>
        <v/>
      </c>
      <c r="G674" s="54"/>
      <c r="H674" s="52" t="str">
        <f>IF(AND(I.Compliance.FulfilledPerformance&gt;0,I.Performance.RangeCount&gt;=604,F674=""),"Incomplete","Complete")</f>
        <v>Complete</v>
      </c>
      <c r="I674" s="55" t="s">
        <v>872</v>
      </c>
    </row>
    <row r="675" spans="2:9" ht="15" customHeight="1" x14ac:dyDescent="0.25">
      <c r="B675" s="51" t="s">
        <v>124</v>
      </c>
      <c r="C675" s="52">
        <v>605</v>
      </c>
      <c r="D675" s="53" t="s">
        <v>4326</v>
      </c>
      <c r="E675" s="54"/>
      <c r="F675" s="52" t="str">
        <f>IF(INDEX(I.Performance.StartRange,605)="","",INDEX(I.Performance.StartRange,605))</f>
        <v/>
      </c>
      <c r="G675" s="54"/>
      <c r="H675" s="52" t="str">
        <f>IF(AND(I.Compliance.FulfilledPerformance&gt;0,I.Performance.RangeCount&gt;=605,F675=""),"Incomplete","Complete")</f>
        <v>Complete</v>
      </c>
      <c r="I675" s="55" t="s">
        <v>873</v>
      </c>
    </row>
    <row r="676" spans="2:9" ht="15" customHeight="1" x14ac:dyDescent="0.25">
      <c r="B676" s="51" t="s">
        <v>124</v>
      </c>
      <c r="C676" s="52">
        <v>606</v>
      </c>
      <c r="D676" s="53" t="s">
        <v>4326</v>
      </c>
      <c r="E676" s="54"/>
      <c r="F676" s="52" t="str">
        <f>IF(INDEX(I.Performance.StartRange,606)="","",INDEX(I.Performance.StartRange,606))</f>
        <v/>
      </c>
      <c r="G676" s="54"/>
      <c r="H676" s="52" t="str">
        <f>IF(AND(I.Compliance.FulfilledPerformance&gt;0,I.Performance.RangeCount&gt;=606,F676=""),"Incomplete","Complete")</f>
        <v>Complete</v>
      </c>
      <c r="I676" s="55" t="s">
        <v>874</v>
      </c>
    </row>
    <row r="677" spans="2:9" ht="15" customHeight="1" x14ac:dyDescent="0.25">
      <c r="B677" s="51" t="s">
        <v>124</v>
      </c>
      <c r="C677" s="52">
        <v>607</v>
      </c>
      <c r="D677" s="53" t="s">
        <v>4326</v>
      </c>
      <c r="E677" s="54"/>
      <c r="F677" s="52" t="str">
        <f>IF(INDEX(I.Performance.StartRange,607)="","",INDEX(I.Performance.StartRange,607))</f>
        <v/>
      </c>
      <c r="G677" s="54"/>
      <c r="H677" s="52" t="str">
        <f>IF(AND(I.Compliance.FulfilledPerformance&gt;0,I.Performance.RangeCount&gt;=607,F677=""),"Incomplete","Complete")</f>
        <v>Complete</v>
      </c>
      <c r="I677" s="55" t="s">
        <v>875</v>
      </c>
    </row>
    <row r="678" spans="2:9" ht="15" customHeight="1" x14ac:dyDescent="0.25">
      <c r="B678" s="51" t="s">
        <v>124</v>
      </c>
      <c r="C678" s="52">
        <v>608</v>
      </c>
      <c r="D678" s="53" t="s">
        <v>4326</v>
      </c>
      <c r="E678" s="54"/>
      <c r="F678" s="52" t="str">
        <f>IF(INDEX(I.Performance.StartRange,608)="","",INDEX(I.Performance.StartRange,608))</f>
        <v/>
      </c>
      <c r="G678" s="54"/>
      <c r="H678" s="52" t="str">
        <f>IF(AND(I.Compliance.FulfilledPerformance&gt;0,I.Performance.RangeCount&gt;=608,F678=""),"Incomplete","Complete")</f>
        <v>Complete</v>
      </c>
      <c r="I678" s="55" t="s">
        <v>876</v>
      </c>
    </row>
    <row r="679" spans="2:9" ht="15" customHeight="1" x14ac:dyDescent="0.25">
      <c r="B679" s="51" t="s">
        <v>124</v>
      </c>
      <c r="C679" s="52">
        <v>609</v>
      </c>
      <c r="D679" s="53" t="s">
        <v>4326</v>
      </c>
      <c r="E679" s="54"/>
      <c r="F679" s="52" t="str">
        <f>IF(INDEX(I.Performance.StartRange,609)="","",INDEX(I.Performance.StartRange,609))</f>
        <v/>
      </c>
      <c r="G679" s="54"/>
      <c r="H679" s="52" t="str">
        <f>IF(AND(I.Compliance.FulfilledPerformance&gt;0,I.Performance.RangeCount&gt;=609,F679=""),"Incomplete","Complete")</f>
        <v>Complete</v>
      </c>
      <c r="I679" s="55" t="s">
        <v>877</v>
      </c>
    </row>
    <row r="680" spans="2:9" ht="15" customHeight="1" x14ac:dyDescent="0.25">
      <c r="B680" s="51" t="s">
        <v>124</v>
      </c>
      <c r="C680" s="52">
        <v>610</v>
      </c>
      <c r="D680" s="53" t="s">
        <v>4326</v>
      </c>
      <c r="E680" s="54"/>
      <c r="F680" s="52" t="str">
        <f>IF(INDEX(I.Performance.StartRange,610)="","",INDEX(I.Performance.StartRange,610))</f>
        <v/>
      </c>
      <c r="G680" s="54"/>
      <c r="H680" s="52" t="str">
        <f>IF(AND(I.Compliance.FulfilledPerformance&gt;0,I.Performance.RangeCount&gt;=610,F680=""),"Incomplete","Complete")</f>
        <v>Complete</v>
      </c>
      <c r="I680" s="55" t="s">
        <v>878</v>
      </c>
    </row>
    <row r="681" spans="2:9" ht="15" customHeight="1" x14ac:dyDescent="0.25">
      <c r="B681" s="51" t="s">
        <v>124</v>
      </c>
      <c r="C681" s="52">
        <v>611</v>
      </c>
      <c r="D681" s="53" t="s">
        <v>4326</v>
      </c>
      <c r="E681" s="54"/>
      <c r="F681" s="52" t="str">
        <f>IF(INDEX(I.Performance.StartRange,611)="","",INDEX(I.Performance.StartRange,611))</f>
        <v/>
      </c>
      <c r="G681" s="54"/>
      <c r="H681" s="52" t="str">
        <f>IF(AND(I.Compliance.FulfilledPerformance&gt;0,I.Performance.RangeCount&gt;=611,F681=""),"Incomplete","Complete")</f>
        <v>Complete</v>
      </c>
      <c r="I681" s="55" t="s">
        <v>879</v>
      </c>
    </row>
    <row r="682" spans="2:9" ht="15" customHeight="1" x14ac:dyDescent="0.25">
      <c r="B682" s="51" t="s">
        <v>124</v>
      </c>
      <c r="C682" s="52">
        <v>612</v>
      </c>
      <c r="D682" s="53" t="s">
        <v>4326</v>
      </c>
      <c r="E682" s="54"/>
      <c r="F682" s="52" t="str">
        <f>IF(INDEX(I.Performance.StartRange,612)="","",INDEX(I.Performance.StartRange,612))</f>
        <v/>
      </c>
      <c r="G682" s="54"/>
      <c r="H682" s="52" t="str">
        <f>IF(AND(I.Compliance.FulfilledPerformance&gt;0,I.Performance.RangeCount&gt;=612,F682=""),"Incomplete","Complete")</f>
        <v>Complete</v>
      </c>
      <c r="I682" s="55" t="s">
        <v>880</v>
      </c>
    </row>
    <row r="683" spans="2:9" ht="15" customHeight="1" x14ac:dyDescent="0.25">
      <c r="B683" s="51" t="s">
        <v>124</v>
      </c>
      <c r="C683" s="52">
        <v>613</v>
      </c>
      <c r="D683" s="53" t="s">
        <v>4326</v>
      </c>
      <c r="E683" s="54"/>
      <c r="F683" s="52" t="str">
        <f>IF(INDEX(I.Performance.StartRange,613)="","",INDEX(I.Performance.StartRange,613))</f>
        <v/>
      </c>
      <c r="G683" s="54"/>
      <c r="H683" s="52" t="str">
        <f>IF(AND(I.Compliance.FulfilledPerformance&gt;0,I.Performance.RangeCount&gt;=613,F683=""),"Incomplete","Complete")</f>
        <v>Complete</v>
      </c>
      <c r="I683" s="55" t="s">
        <v>881</v>
      </c>
    </row>
    <row r="684" spans="2:9" ht="15" customHeight="1" x14ac:dyDescent="0.25">
      <c r="B684" s="51" t="s">
        <v>124</v>
      </c>
      <c r="C684" s="52">
        <v>614</v>
      </c>
      <c r="D684" s="53" t="s">
        <v>4326</v>
      </c>
      <c r="E684" s="54"/>
      <c r="F684" s="52" t="str">
        <f>IF(INDEX(I.Performance.StartRange,614)="","",INDEX(I.Performance.StartRange,614))</f>
        <v/>
      </c>
      <c r="G684" s="54"/>
      <c r="H684" s="52" t="str">
        <f>IF(AND(I.Compliance.FulfilledPerformance&gt;0,I.Performance.RangeCount&gt;=614,F684=""),"Incomplete","Complete")</f>
        <v>Complete</v>
      </c>
      <c r="I684" s="55" t="s">
        <v>882</v>
      </c>
    </row>
    <row r="685" spans="2:9" ht="15" customHeight="1" x14ac:dyDescent="0.25">
      <c r="B685" s="51" t="s">
        <v>124</v>
      </c>
      <c r="C685" s="52">
        <v>615</v>
      </c>
      <c r="D685" s="53" t="s">
        <v>4326</v>
      </c>
      <c r="E685" s="54"/>
      <c r="F685" s="52" t="str">
        <f>IF(INDEX(I.Performance.StartRange,615)="","",INDEX(I.Performance.StartRange,615))</f>
        <v/>
      </c>
      <c r="G685" s="54"/>
      <c r="H685" s="52" t="str">
        <f>IF(AND(I.Compliance.FulfilledPerformance&gt;0,I.Performance.RangeCount&gt;=615,F685=""),"Incomplete","Complete")</f>
        <v>Complete</v>
      </c>
      <c r="I685" s="55" t="s">
        <v>883</v>
      </c>
    </row>
    <row r="686" spans="2:9" ht="15" customHeight="1" x14ac:dyDescent="0.25">
      <c r="B686" s="51" t="s">
        <v>124</v>
      </c>
      <c r="C686" s="52">
        <v>616</v>
      </c>
      <c r="D686" s="53" t="s">
        <v>4326</v>
      </c>
      <c r="E686" s="54"/>
      <c r="F686" s="52" t="str">
        <f>IF(INDEX(I.Performance.StartRange,616)="","",INDEX(I.Performance.StartRange,616))</f>
        <v/>
      </c>
      <c r="G686" s="54"/>
      <c r="H686" s="52" t="str">
        <f>IF(AND(I.Compliance.FulfilledPerformance&gt;0,I.Performance.RangeCount&gt;=616,F686=""),"Incomplete","Complete")</f>
        <v>Complete</v>
      </c>
      <c r="I686" s="55" t="s">
        <v>884</v>
      </c>
    </row>
    <row r="687" spans="2:9" ht="15" customHeight="1" x14ac:dyDescent="0.25">
      <c r="B687" s="51" t="s">
        <v>124</v>
      </c>
      <c r="C687" s="52">
        <v>617</v>
      </c>
      <c r="D687" s="53" t="s">
        <v>4326</v>
      </c>
      <c r="E687" s="54"/>
      <c r="F687" s="52" t="str">
        <f>IF(INDEX(I.Performance.StartRange,617)="","",INDEX(I.Performance.StartRange,617))</f>
        <v/>
      </c>
      <c r="G687" s="54"/>
      <c r="H687" s="52" t="str">
        <f>IF(AND(I.Compliance.FulfilledPerformance&gt;0,I.Performance.RangeCount&gt;=617,F687=""),"Incomplete","Complete")</f>
        <v>Complete</v>
      </c>
      <c r="I687" s="55" t="s">
        <v>885</v>
      </c>
    </row>
    <row r="688" spans="2:9" ht="15" customHeight="1" x14ac:dyDescent="0.25">
      <c r="B688" s="51" t="s">
        <v>124</v>
      </c>
      <c r="C688" s="52">
        <v>618</v>
      </c>
      <c r="D688" s="53" t="s">
        <v>4326</v>
      </c>
      <c r="E688" s="54"/>
      <c r="F688" s="52" t="str">
        <f>IF(INDEX(I.Performance.StartRange,618)="","",INDEX(I.Performance.StartRange,618))</f>
        <v/>
      </c>
      <c r="G688" s="54"/>
      <c r="H688" s="52" t="str">
        <f>IF(AND(I.Compliance.FulfilledPerformance&gt;0,I.Performance.RangeCount&gt;=618,F688=""),"Incomplete","Complete")</f>
        <v>Complete</v>
      </c>
      <c r="I688" s="55" t="s">
        <v>886</v>
      </c>
    </row>
    <row r="689" spans="2:9" ht="15" customHeight="1" x14ac:dyDescent="0.25">
      <c r="B689" s="51" t="s">
        <v>124</v>
      </c>
      <c r="C689" s="52">
        <v>619</v>
      </c>
      <c r="D689" s="53" t="s">
        <v>4326</v>
      </c>
      <c r="E689" s="54"/>
      <c r="F689" s="52" t="str">
        <f>IF(INDEX(I.Performance.StartRange,619)="","",INDEX(I.Performance.StartRange,619))</f>
        <v/>
      </c>
      <c r="G689" s="54"/>
      <c r="H689" s="52" t="str">
        <f>IF(AND(I.Compliance.FulfilledPerformance&gt;0,I.Performance.RangeCount&gt;=619,F689=""),"Incomplete","Complete")</f>
        <v>Complete</v>
      </c>
      <c r="I689" s="55" t="s">
        <v>887</v>
      </c>
    </row>
    <row r="690" spans="2:9" ht="15" customHeight="1" x14ac:dyDescent="0.25">
      <c r="B690" s="51" t="s">
        <v>124</v>
      </c>
      <c r="C690" s="52">
        <v>620</v>
      </c>
      <c r="D690" s="53" t="s">
        <v>4326</v>
      </c>
      <c r="E690" s="54"/>
      <c r="F690" s="52" t="str">
        <f>IF(INDEX(I.Performance.StartRange,620)="","",INDEX(I.Performance.StartRange,620))</f>
        <v/>
      </c>
      <c r="G690" s="54"/>
      <c r="H690" s="52" t="str">
        <f>IF(AND(I.Compliance.FulfilledPerformance&gt;0,I.Performance.RangeCount&gt;=620,F690=""),"Incomplete","Complete")</f>
        <v>Complete</v>
      </c>
      <c r="I690" s="55" t="s">
        <v>888</v>
      </c>
    </row>
    <row r="691" spans="2:9" ht="15" customHeight="1" x14ac:dyDescent="0.25">
      <c r="B691" s="51" t="s">
        <v>124</v>
      </c>
      <c r="C691" s="52">
        <v>621</v>
      </c>
      <c r="D691" s="53" t="s">
        <v>4326</v>
      </c>
      <c r="E691" s="54"/>
      <c r="F691" s="52" t="str">
        <f>IF(INDEX(I.Performance.StartRange,621)="","",INDEX(I.Performance.StartRange,621))</f>
        <v/>
      </c>
      <c r="G691" s="54"/>
      <c r="H691" s="52" t="str">
        <f>IF(AND(I.Compliance.FulfilledPerformance&gt;0,I.Performance.RangeCount&gt;=621,F691=""),"Incomplete","Complete")</f>
        <v>Complete</v>
      </c>
      <c r="I691" s="55" t="s">
        <v>889</v>
      </c>
    </row>
    <row r="692" spans="2:9" ht="15" customHeight="1" x14ac:dyDescent="0.25">
      <c r="B692" s="51" t="s">
        <v>124</v>
      </c>
      <c r="C692" s="52">
        <v>622</v>
      </c>
      <c r="D692" s="53" t="s">
        <v>4326</v>
      </c>
      <c r="E692" s="54"/>
      <c r="F692" s="52" t="str">
        <f>IF(INDEX(I.Performance.StartRange,622)="","",INDEX(I.Performance.StartRange,622))</f>
        <v/>
      </c>
      <c r="G692" s="54"/>
      <c r="H692" s="52" t="str">
        <f>IF(AND(I.Compliance.FulfilledPerformance&gt;0,I.Performance.RangeCount&gt;=622,F692=""),"Incomplete","Complete")</f>
        <v>Complete</v>
      </c>
      <c r="I692" s="55" t="s">
        <v>890</v>
      </c>
    </row>
    <row r="693" spans="2:9" ht="15" customHeight="1" x14ac:dyDescent="0.25">
      <c r="B693" s="51" t="s">
        <v>124</v>
      </c>
      <c r="C693" s="52">
        <v>623</v>
      </c>
      <c r="D693" s="53" t="s">
        <v>4326</v>
      </c>
      <c r="E693" s="54"/>
      <c r="F693" s="52" t="str">
        <f>IF(INDEX(I.Performance.StartRange,623)="","",INDEX(I.Performance.StartRange,623))</f>
        <v/>
      </c>
      <c r="G693" s="54"/>
      <c r="H693" s="52" t="str">
        <f>IF(AND(I.Compliance.FulfilledPerformance&gt;0,I.Performance.RangeCount&gt;=623,F693=""),"Incomplete","Complete")</f>
        <v>Complete</v>
      </c>
      <c r="I693" s="55" t="s">
        <v>891</v>
      </c>
    </row>
    <row r="694" spans="2:9" ht="15" customHeight="1" x14ac:dyDescent="0.25">
      <c r="B694" s="51" t="s">
        <v>124</v>
      </c>
      <c r="C694" s="52">
        <v>624</v>
      </c>
      <c r="D694" s="53" t="s">
        <v>4326</v>
      </c>
      <c r="E694" s="54"/>
      <c r="F694" s="52" t="str">
        <f>IF(INDEX(I.Performance.StartRange,624)="","",INDEX(I.Performance.StartRange,624))</f>
        <v/>
      </c>
      <c r="G694" s="54"/>
      <c r="H694" s="52" t="str">
        <f>IF(AND(I.Compliance.FulfilledPerformance&gt;0,I.Performance.RangeCount&gt;=624,F694=""),"Incomplete","Complete")</f>
        <v>Complete</v>
      </c>
      <c r="I694" s="55" t="s">
        <v>892</v>
      </c>
    </row>
    <row r="695" spans="2:9" ht="15" customHeight="1" x14ac:dyDescent="0.25">
      <c r="B695" s="51" t="s">
        <v>124</v>
      </c>
      <c r="C695" s="52">
        <v>625</v>
      </c>
      <c r="D695" s="53" t="s">
        <v>4326</v>
      </c>
      <c r="E695" s="54"/>
      <c r="F695" s="52" t="str">
        <f>IF(INDEX(I.Performance.StartRange,625)="","",INDEX(I.Performance.StartRange,625))</f>
        <v/>
      </c>
      <c r="G695" s="54"/>
      <c r="H695" s="52" t="str">
        <f>IF(AND(I.Compliance.FulfilledPerformance&gt;0,I.Performance.RangeCount&gt;=625,F695=""),"Incomplete","Complete")</f>
        <v>Complete</v>
      </c>
      <c r="I695" s="55" t="s">
        <v>893</v>
      </c>
    </row>
    <row r="696" spans="2:9" ht="15" customHeight="1" x14ac:dyDescent="0.25">
      <c r="B696" s="51" t="s">
        <v>124</v>
      </c>
      <c r="C696" s="52">
        <v>626</v>
      </c>
      <c r="D696" s="53" t="s">
        <v>4326</v>
      </c>
      <c r="E696" s="54"/>
      <c r="F696" s="52" t="str">
        <f>IF(INDEX(I.Performance.StartRange,626)="","",INDEX(I.Performance.StartRange,626))</f>
        <v/>
      </c>
      <c r="G696" s="54"/>
      <c r="H696" s="52" t="str">
        <f>IF(AND(I.Compliance.FulfilledPerformance&gt;0,I.Performance.RangeCount&gt;=626,F696=""),"Incomplete","Complete")</f>
        <v>Complete</v>
      </c>
      <c r="I696" s="55" t="s">
        <v>894</v>
      </c>
    </row>
    <row r="697" spans="2:9" ht="15" customHeight="1" x14ac:dyDescent="0.25">
      <c r="B697" s="51" t="s">
        <v>124</v>
      </c>
      <c r="C697" s="52">
        <v>627</v>
      </c>
      <c r="D697" s="53" t="s">
        <v>4326</v>
      </c>
      <c r="E697" s="54"/>
      <c r="F697" s="52" t="str">
        <f>IF(INDEX(I.Performance.StartRange,627)="","",INDEX(I.Performance.StartRange,627))</f>
        <v/>
      </c>
      <c r="G697" s="54"/>
      <c r="H697" s="52" t="str">
        <f>IF(AND(I.Compliance.FulfilledPerformance&gt;0,I.Performance.RangeCount&gt;=627,F697=""),"Incomplete","Complete")</f>
        <v>Complete</v>
      </c>
      <c r="I697" s="55" t="s">
        <v>895</v>
      </c>
    </row>
    <row r="698" spans="2:9" ht="15" customHeight="1" x14ac:dyDescent="0.25">
      <c r="B698" s="51" t="s">
        <v>124</v>
      </c>
      <c r="C698" s="52">
        <v>628</v>
      </c>
      <c r="D698" s="53" t="s">
        <v>4326</v>
      </c>
      <c r="E698" s="54"/>
      <c r="F698" s="52" t="str">
        <f>IF(INDEX(I.Performance.StartRange,628)="","",INDEX(I.Performance.StartRange,628))</f>
        <v/>
      </c>
      <c r="G698" s="54"/>
      <c r="H698" s="52" t="str">
        <f>IF(AND(I.Compliance.FulfilledPerformance&gt;0,I.Performance.RangeCount&gt;=628,F698=""),"Incomplete","Complete")</f>
        <v>Complete</v>
      </c>
      <c r="I698" s="55" t="s">
        <v>896</v>
      </c>
    </row>
    <row r="699" spans="2:9" ht="15" customHeight="1" x14ac:dyDescent="0.25">
      <c r="B699" s="51" t="s">
        <v>124</v>
      </c>
      <c r="C699" s="52">
        <v>629</v>
      </c>
      <c r="D699" s="53" t="s">
        <v>4326</v>
      </c>
      <c r="E699" s="54"/>
      <c r="F699" s="52" t="str">
        <f>IF(INDEX(I.Performance.StartRange,629)="","",INDEX(I.Performance.StartRange,629))</f>
        <v/>
      </c>
      <c r="G699" s="54"/>
      <c r="H699" s="52" t="str">
        <f>IF(AND(I.Compliance.FulfilledPerformance&gt;0,I.Performance.RangeCount&gt;=629,F699=""),"Incomplete","Complete")</f>
        <v>Complete</v>
      </c>
      <c r="I699" s="55" t="s">
        <v>897</v>
      </c>
    </row>
    <row r="700" spans="2:9" ht="15" customHeight="1" x14ac:dyDescent="0.25">
      <c r="B700" s="51" t="s">
        <v>124</v>
      </c>
      <c r="C700" s="52">
        <v>630</v>
      </c>
      <c r="D700" s="53" t="s">
        <v>4326</v>
      </c>
      <c r="E700" s="54"/>
      <c r="F700" s="52" t="str">
        <f>IF(INDEX(I.Performance.StartRange,630)="","",INDEX(I.Performance.StartRange,630))</f>
        <v/>
      </c>
      <c r="G700" s="54"/>
      <c r="H700" s="52" t="str">
        <f>IF(AND(I.Compliance.FulfilledPerformance&gt;0,I.Performance.RangeCount&gt;=630,F700=""),"Incomplete","Complete")</f>
        <v>Complete</v>
      </c>
      <c r="I700" s="55" t="s">
        <v>898</v>
      </c>
    </row>
    <row r="701" spans="2:9" ht="15" customHeight="1" x14ac:dyDescent="0.25">
      <c r="B701" s="51" t="s">
        <v>124</v>
      </c>
      <c r="C701" s="52">
        <v>631</v>
      </c>
      <c r="D701" s="53" t="s">
        <v>4326</v>
      </c>
      <c r="E701" s="54"/>
      <c r="F701" s="52" t="str">
        <f>IF(INDEX(I.Performance.StartRange,631)="","",INDEX(I.Performance.StartRange,631))</f>
        <v/>
      </c>
      <c r="G701" s="54"/>
      <c r="H701" s="52" t="str">
        <f>IF(AND(I.Compliance.FulfilledPerformance&gt;0,I.Performance.RangeCount&gt;=631,F701=""),"Incomplete","Complete")</f>
        <v>Complete</v>
      </c>
      <c r="I701" s="55" t="s">
        <v>899</v>
      </c>
    </row>
    <row r="702" spans="2:9" ht="15" customHeight="1" x14ac:dyDescent="0.25">
      <c r="B702" s="51" t="s">
        <v>124</v>
      </c>
      <c r="C702" s="52">
        <v>632</v>
      </c>
      <c r="D702" s="53" t="s">
        <v>4326</v>
      </c>
      <c r="E702" s="54"/>
      <c r="F702" s="52" t="str">
        <f>IF(INDEX(I.Performance.StartRange,632)="","",INDEX(I.Performance.StartRange,632))</f>
        <v/>
      </c>
      <c r="G702" s="54"/>
      <c r="H702" s="52" t="str">
        <f>IF(AND(I.Compliance.FulfilledPerformance&gt;0,I.Performance.RangeCount&gt;=632,F702=""),"Incomplete","Complete")</f>
        <v>Complete</v>
      </c>
      <c r="I702" s="55" t="s">
        <v>900</v>
      </c>
    </row>
    <row r="703" spans="2:9" ht="15" customHeight="1" x14ac:dyDescent="0.25">
      <c r="B703" s="51" t="s">
        <v>124</v>
      </c>
      <c r="C703" s="52">
        <v>633</v>
      </c>
      <c r="D703" s="53" t="s">
        <v>4326</v>
      </c>
      <c r="E703" s="54"/>
      <c r="F703" s="52" t="str">
        <f>IF(INDEX(I.Performance.StartRange,633)="","",INDEX(I.Performance.StartRange,633))</f>
        <v/>
      </c>
      <c r="G703" s="54"/>
      <c r="H703" s="52" t="str">
        <f>IF(AND(I.Compliance.FulfilledPerformance&gt;0,I.Performance.RangeCount&gt;=633,F703=""),"Incomplete","Complete")</f>
        <v>Complete</v>
      </c>
      <c r="I703" s="55" t="s">
        <v>901</v>
      </c>
    </row>
    <row r="704" spans="2:9" ht="15" customHeight="1" x14ac:dyDescent="0.25">
      <c r="B704" s="51" t="s">
        <v>124</v>
      </c>
      <c r="C704" s="52">
        <v>634</v>
      </c>
      <c r="D704" s="53" t="s">
        <v>4326</v>
      </c>
      <c r="E704" s="54"/>
      <c r="F704" s="52" t="str">
        <f>IF(INDEX(I.Performance.StartRange,634)="","",INDEX(I.Performance.StartRange,634))</f>
        <v/>
      </c>
      <c r="G704" s="54"/>
      <c r="H704" s="52" t="str">
        <f>IF(AND(I.Compliance.FulfilledPerformance&gt;0,I.Performance.RangeCount&gt;=634,F704=""),"Incomplete","Complete")</f>
        <v>Complete</v>
      </c>
      <c r="I704" s="55" t="s">
        <v>902</v>
      </c>
    </row>
    <row r="705" spans="2:9" ht="15" customHeight="1" x14ac:dyDescent="0.25">
      <c r="B705" s="51" t="s">
        <v>124</v>
      </c>
      <c r="C705" s="52">
        <v>635</v>
      </c>
      <c r="D705" s="53" t="s">
        <v>4326</v>
      </c>
      <c r="E705" s="54"/>
      <c r="F705" s="52" t="str">
        <f>IF(INDEX(I.Performance.StartRange,635)="","",INDEX(I.Performance.StartRange,635))</f>
        <v/>
      </c>
      <c r="G705" s="54"/>
      <c r="H705" s="52" t="str">
        <f>IF(AND(I.Compliance.FulfilledPerformance&gt;0,I.Performance.RangeCount&gt;=635,F705=""),"Incomplete","Complete")</f>
        <v>Complete</v>
      </c>
      <c r="I705" s="55" t="s">
        <v>903</v>
      </c>
    </row>
    <row r="706" spans="2:9" ht="15" customHeight="1" x14ac:dyDescent="0.25">
      <c r="B706" s="51" t="s">
        <v>124</v>
      </c>
      <c r="C706" s="52">
        <v>636</v>
      </c>
      <c r="D706" s="53" t="s">
        <v>4326</v>
      </c>
      <c r="E706" s="54"/>
      <c r="F706" s="52" t="str">
        <f>IF(INDEX(I.Performance.StartRange,636)="","",INDEX(I.Performance.StartRange,636))</f>
        <v/>
      </c>
      <c r="G706" s="54"/>
      <c r="H706" s="52" t="str">
        <f>IF(AND(I.Compliance.FulfilledPerformance&gt;0,I.Performance.RangeCount&gt;=636,F706=""),"Incomplete","Complete")</f>
        <v>Complete</v>
      </c>
      <c r="I706" s="55" t="s">
        <v>904</v>
      </c>
    </row>
    <row r="707" spans="2:9" ht="15" customHeight="1" x14ac:dyDescent="0.25">
      <c r="B707" s="51" t="s">
        <v>124</v>
      </c>
      <c r="C707" s="52">
        <v>637</v>
      </c>
      <c r="D707" s="53" t="s">
        <v>4326</v>
      </c>
      <c r="E707" s="54"/>
      <c r="F707" s="52" t="str">
        <f>IF(INDEX(I.Performance.StartRange,637)="","",INDEX(I.Performance.StartRange,637))</f>
        <v/>
      </c>
      <c r="G707" s="54"/>
      <c r="H707" s="52" t="str">
        <f>IF(AND(I.Compliance.FulfilledPerformance&gt;0,I.Performance.RangeCount&gt;=637,F707=""),"Incomplete","Complete")</f>
        <v>Complete</v>
      </c>
      <c r="I707" s="55" t="s">
        <v>905</v>
      </c>
    </row>
    <row r="708" spans="2:9" ht="15" customHeight="1" x14ac:dyDescent="0.25">
      <c r="B708" s="51" t="s">
        <v>124</v>
      </c>
      <c r="C708" s="52">
        <v>638</v>
      </c>
      <c r="D708" s="53" t="s">
        <v>4326</v>
      </c>
      <c r="E708" s="54"/>
      <c r="F708" s="52" t="str">
        <f>IF(INDEX(I.Performance.StartRange,638)="","",INDEX(I.Performance.StartRange,638))</f>
        <v/>
      </c>
      <c r="G708" s="54"/>
      <c r="H708" s="52" t="str">
        <f>IF(AND(I.Compliance.FulfilledPerformance&gt;0,I.Performance.RangeCount&gt;=638,F708=""),"Incomplete","Complete")</f>
        <v>Complete</v>
      </c>
      <c r="I708" s="55" t="s">
        <v>906</v>
      </c>
    </row>
    <row r="709" spans="2:9" ht="15" customHeight="1" x14ac:dyDescent="0.25">
      <c r="B709" s="51" t="s">
        <v>124</v>
      </c>
      <c r="C709" s="52">
        <v>639</v>
      </c>
      <c r="D709" s="53" t="s">
        <v>4326</v>
      </c>
      <c r="E709" s="54"/>
      <c r="F709" s="52" t="str">
        <f>IF(INDEX(I.Performance.StartRange,639)="","",INDEX(I.Performance.StartRange,639))</f>
        <v/>
      </c>
      <c r="G709" s="54"/>
      <c r="H709" s="52" t="str">
        <f>IF(AND(I.Compliance.FulfilledPerformance&gt;0,I.Performance.RangeCount&gt;=639,F709=""),"Incomplete","Complete")</f>
        <v>Complete</v>
      </c>
      <c r="I709" s="55" t="s">
        <v>907</v>
      </c>
    </row>
    <row r="710" spans="2:9" ht="15" customHeight="1" x14ac:dyDescent="0.25">
      <c r="B710" s="51" t="s">
        <v>124</v>
      </c>
      <c r="C710" s="52">
        <v>640</v>
      </c>
      <c r="D710" s="53" t="s">
        <v>4326</v>
      </c>
      <c r="E710" s="54"/>
      <c r="F710" s="52" t="str">
        <f>IF(INDEX(I.Performance.StartRange,640)="","",INDEX(I.Performance.StartRange,640))</f>
        <v/>
      </c>
      <c r="G710" s="54"/>
      <c r="H710" s="52" t="str">
        <f>IF(AND(I.Compliance.FulfilledPerformance&gt;0,I.Performance.RangeCount&gt;=640,F710=""),"Incomplete","Complete")</f>
        <v>Complete</v>
      </c>
      <c r="I710" s="55" t="s">
        <v>908</v>
      </c>
    </row>
    <row r="711" spans="2:9" ht="15" customHeight="1" x14ac:dyDescent="0.25">
      <c r="B711" s="51" t="s">
        <v>124</v>
      </c>
      <c r="C711" s="52">
        <v>641</v>
      </c>
      <c r="D711" s="53" t="s">
        <v>4326</v>
      </c>
      <c r="E711" s="54"/>
      <c r="F711" s="52" t="str">
        <f>IF(INDEX(I.Performance.StartRange,641)="","",INDEX(I.Performance.StartRange,641))</f>
        <v/>
      </c>
      <c r="G711" s="54"/>
      <c r="H711" s="52" t="str">
        <f>IF(AND(I.Compliance.FulfilledPerformance&gt;0,I.Performance.RangeCount&gt;=641,F711=""),"Incomplete","Complete")</f>
        <v>Complete</v>
      </c>
      <c r="I711" s="55" t="s">
        <v>909</v>
      </c>
    </row>
    <row r="712" spans="2:9" ht="15" customHeight="1" x14ac:dyDescent="0.25">
      <c r="B712" s="51" t="s">
        <v>124</v>
      </c>
      <c r="C712" s="52">
        <v>642</v>
      </c>
      <c r="D712" s="53" t="s">
        <v>4326</v>
      </c>
      <c r="E712" s="54"/>
      <c r="F712" s="52" t="str">
        <f>IF(INDEX(I.Performance.StartRange,642)="","",INDEX(I.Performance.StartRange,642))</f>
        <v/>
      </c>
      <c r="G712" s="54"/>
      <c r="H712" s="52" t="str">
        <f>IF(AND(I.Compliance.FulfilledPerformance&gt;0,I.Performance.RangeCount&gt;=642,F712=""),"Incomplete","Complete")</f>
        <v>Complete</v>
      </c>
      <c r="I712" s="55" t="s">
        <v>910</v>
      </c>
    </row>
    <row r="713" spans="2:9" ht="15" customHeight="1" x14ac:dyDescent="0.25">
      <c r="B713" s="51" t="s">
        <v>124</v>
      </c>
      <c r="C713" s="52">
        <v>643</v>
      </c>
      <c r="D713" s="53" t="s">
        <v>4326</v>
      </c>
      <c r="E713" s="54"/>
      <c r="F713" s="52" t="str">
        <f>IF(INDEX(I.Performance.StartRange,643)="","",INDEX(I.Performance.StartRange,643))</f>
        <v/>
      </c>
      <c r="G713" s="54"/>
      <c r="H713" s="52" t="str">
        <f>IF(AND(I.Compliance.FulfilledPerformance&gt;0,I.Performance.RangeCount&gt;=643,F713=""),"Incomplete","Complete")</f>
        <v>Complete</v>
      </c>
      <c r="I713" s="55" t="s">
        <v>911</v>
      </c>
    </row>
    <row r="714" spans="2:9" ht="15" customHeight="1" x14ac:dyDescent="0.25">
      <c r="B714" s="51" t="s">
        <v>124</v>
      </c>
      <c r="C714" s="52">
        <v>644</v>
      </c>
      <c r="D714" s="53" t="s">
        <v>4326</v>
      </c>
      <c r="E714" s="54"/>
      <c r="F714" s="52" t="str">
        <f>IF(INDEX(I.Performance.StartRange,644)="","",INDEX(I.Performance.StartRange,644))</f>
        <v/>
      </c>
      <c r="G714" s="54"/>
      <c r="H714" s="52" t="str">
        <f>IF(AND(I.Compliance.FulfilledPerformance&gt;0,I.Performance.RangeCount&gt;=644,F714=""),"Incomplete","Complete")</f>
        <v>Complete</v>
      </c>
      <c r="I714" s="55" t="s">
        <v>912</v>
      </c>
    </row>
    <row r="715" spans="2:9" ht="15" customHeight="1" x14ac:dyDescent="0.25">
      <c r="B715" s="51" t="s">
        <v>124</v>
      </c>
      <c r="C715" s="52">
        <v>645</v>
      </c>
      <c r="D715" s="53" t="s">
        <v>4326</v>
      </c>
      <c r="E715" s="54"/>
      <c r="F715" s="52" t="str">
        <f>IF(INDEX(I.Performance.StartRange,645)="","",INDEX(I.Performance.StartRange,645))</f>
        <v/>
      </c>
      <c r="G715" s="54"/>
      <c r="H715" s="52" t="str">
        <f>IF(AND(I.Compliance.FulfilledPerformance&gt;0,I.Performance.RangeCount&gt;=645,F715=""),"Incomplete","Complete")</f>
        <v>Complete</v>
      </c>
      <c r="I715" s="55" t="s">
        <v>913</v>
      </c>
    </row>
    <row r="716" spans="2:9" ht="15" customHeight="1" x14ac:dyDescent="0.25">
      <c r="B716" s="51" t="s">
        <v>124</v>
      </c>
      <c r="C716" s="52">
        <v>646</v>
      </c>
      <c r="D716" s="53" t="s">
        <v>4326</v>
      </c>
      <c r="E716" s="54"/>
      <c r="F716" s="52" t="str">
        <f>IF(INDEX(I.Performance.StartRange,646)="","",INDEX(I.Performance.StartRange,646))</f>
        <v/>
      </c>
      <c r="G716" s="54"/>
      <c r="H716" s="52" t="str">
        <f>IF(AND(I.Compliance.FulfilledPerformance&gt;0,I.Performance.RangeCount&gt;=646,F716=""),"Incomplete","Complete")</f>
        <v>Complete</v>
      </c>
      <c r="I716" s="55" t="s">
        <v>914</v>
      </c>
    </row>
    <row r="717" spans="2:9" ht="15" customHeight="1" x14ac:dyDescent="0.25">
      <c r="B717" s="51" t="s">
        <v>124</v>
      </c>
      <c r="C717" s="52">
        <v>647</v>
      </c>
      <c r="D717" s="53" t="s">
        <v>4326</v>
      </c>
      <c r="E717" s="54"/>
      <c r="F717" s="52" t="str">
        <f>IF(INDEX(I.Performance.StartRange,647)="","",INDEX(I.Performance.StartRange,647))</f>
        <v/>
      </c>
      <c r="G717" s="54"/>
      <c r="H717" s="52" t="str">
        <f>IF(AND(I.Compliance.FulfilledPerformance&gt;0,I.Performance.RangeCount&gt;=647,F717=""),"Incomplete","Complete")</f>
        <v>Complete</v>
      </c>
      <c r="I717" s="55" t="s">
        <v>915</v>
      </c>
    </row>
    <row r="718" spans="2:9" ht="15" customHeight="1" x14ac:dyDescent="0.25">
      <c r="B718" s="51" t="s">
        <v>124</v>
      </c>
      <c r="C718" s="52">
        <v>648</v>
      </c>
      <c r="D718" s="53" t="s">
        <v>4326</v>
      </c>
      <c r="E718" s="54"/>
      <c r="F718" s="52" t="str">
        <f>IF(INDEX(I.Performance.StartRange,648)="","",INDEX(I.Performance.StartRange,648))</f>
        <v/>
      </c>
      <c r="G718" s="54"/>
      <c r="H718" s="52" t="str">
        <f>IF(AND(I.Compliance.FulfilledPerformance&gt;0,I.Performance.RangeCount&gt;=648,F718=""),"Incomplete","Complete")</f>
        <v>Complete</v>
      </c>
      <c r="I718" s="55" t="s">
        <v>916</v>
      </c>
    </row>
    <row r="719" spans="2:9" ht="15" customHeight="1" x14ac:dyDescent="0.25">
      <c r="B719" s="51" t="s">
        <v>124</v>
      </c>
      <c r="C719" s="52">
        <v>649</v>
      </c>
      <c r="D719" s="53" t="s">
        <v>4326</v>
      </c>
      <c r="E719" s="54"/>
      <c r="F719" s="52" t="str">
        <f>IF(INDEX(I.Performance.StartRange,649)="","",INDEX(I.Performance.StartRange,649))</f>
        <v/>
      </c>
      <c r="G719" s="54"/>
      <c r="H719" s="52" t="str">
        <f>IF(AND(I.Compliance.FulfilledPerformance&gt;0,I.Performance.RangeCount&gt;=649,F719=""),"Incomplete","Complete")</f>
        <v>Complete</v>
      </c>
      <c r="I719" s="55" t="s">
        <v>917</v>
      </c>
    </row>
    <row r="720" spans="2:9" ht="15" customHeight="1" x14ac:dyDescent="0.25">
      <c r="B720" s="51" t="s">
        <v>124</v>
      </c>
      <c r="C720" s="52">
        <v>650</v>
      </c>
      <c r="D720" s="53" t="s">
        <v>4326</v>
      </c>
      <c r="E720" s="54"/>
      <c r="F720" s="52" t="str">
        <f>IF(INDEX(I.Performance.StartRange,650)="","",INDEX(I.Performance.StartRange,650))</f>
        <v/>
      </c>
      <c r="G720" s="54"/>
      <c r="H720" s="52" t="str">
        <f>IF(AND(I.Compliance.FulfilledPerformance&gt;0,I.Performance.RangeCount&gt;=650,F720=""),"Incomplete","Complete")</f>
        <v>Complete</v>
      </c>
      <c r="I720" s="55" t="s">
        <v>918</v>
      </c>
    </row>
    <row r="721" spans="2:9" ht="15" customHeight="1" x14ac:dyDescent="0.25">
      <c r="B721" s="51" t="s">
        <v>124</v>
      </c>
      <c r="C721" s="52">
        <v>651</v>
      </c>
      <c r="D721" s="53" t="s">
        <v>4326</v>
      </c>
      <c r="E721" s="54"/>
      <c r="F721" s="52" t="str">
        <f>IF(INDEX(I.Performance.StartRange,651)="","",INDEX(I.Performance.StartRange,651))</f>
        <v/>
      </c>
      <c r="G721" s="54"/>
      <c r="H721" s="52" t="str">
        <f>IF(AND(I.Compliance.FulfilledPerformance&gt;0,I.Performance.RangeCount&gt;=651,F721=""),"Incomplete","Complete")</f>
        <v>Complete</v>
      </c>
      <c r="I721" s="55" t="s">
        <v>919</v>
      </c>
    </row>
    <row r="722" spans="2:9" ht="15" customHeight="1" x14ac:dyDescent="0.25">
      <c r="B722" s="51" t="s">
        <v>124</v>
      </c>
      <c r="C722" s="52">
        <v>652</v>
      </c>
      <c r="D722" s="53" t="s">
        <v>4326</v>
      </c>
      <c r="E722" s="54"/>
      <c r="F722" s="52" t="str">
        <f>IF(INDEX(I.Performance.StartRange,652)="","",INDEX(I.Performance.StartRange,652))</f>
        <v/>
      </c>
      <c r="G722" s="54"/>
      <c r="H722" s="52" t="str">
        <f>IF(AND(I.Compliance.FulfilledPerformance&gt;0,I.Performance.RangeCount&gt;=652,F722=""),"Incomplete","Complete")</f>
        <v>Complete</v>
      </c>
      <c r="I722" s="55" t="s">
        <v>920</v>
      </c>
    </row>
    <row r="723" spans="2:9" ht="15" customHeight="1" x14ac:dyDescent="0.25">
      <c r="B723" s="51" t="s">
        <v>124</v>
      </c>
      <c r="C723" s="52">
        <v>653</v>
      </c>
      <c r="D723" s="53" t="s">
        <v>4326</v>
      </c>
      <c r="E723" s="54"/>
      <c r="F723" s="52" t="str">
        <f>IF(INDEX(I.Performance.StartRange,653)="","",INDEX(I.Performance.StartRange,653))</f>
        <v/>
      </c>
      <c r="G723" s="54"/>
      <c r="H723" s="52" t="str">
        <f>IF(AND(I.Compliance.FulfilledPerformance&gt;0,I.Performance.RangeCount&gt;=653,F723=""),"Incomplete","Complete")</f>
        <v>Complete</v>
      </c>
      <c r="I723" s="55" t="s">
        <v>921</v>
      </c>
    </row>
    <row r="724" spans="2:9" ht="15" customHeight="1" x14ac:dyDescent="0.25">
      <c r="B724" s="51" t="s">
        <v>124</v>
      </c>
      <c r="C724" s="52">
        <v>654</v>
      </c>
      <c r="D724" s="53" t="s">
        <v>4326</v>
      </c>
      <c r="E724" s="54"/>
      <c r="F724" s="52" t="str">
        <f>IF(INDEX(I.Performance.StartRange,654)="","",INDEX(I.Performance.StartRange,654))</f>
        <v/>
      </c>
      <c r="G724" s="54"/>
      <c r="H724" s="52" t="str">
        <f>IF(AND(I.Compliance.FulfilledPerformance&gt;0,I.Performance.RangeCount&gt;=654,F724=""),"Incomplete","Complete")</f>
        <v>Complete</v>
      </c>
      <c r="I724" s="55" t="s">
        <v>922</v>
      </c>
    </row>
    <row r="725" spans="2:9" ht="15" customHeight="1" x14ac:dyDescent="0.25">
      <c r="B725" s="51" t="s">
        <v>124</v>
      </c>
      <c r="C725" s="52">
        <v>655</v>
      </c>
      <c r="D725" s="53" t="s">
        <v>4326</v>
      </c>
      <c r="E725" s="54"/>
      <c r="F725" s="52" t="str">
        <f>IF(INDEX(I.Performance.StartRange,655)="","",INDEX(I.Performance.StartRange,655))</f>
        <v/>
      </c>
      <c r="G725" s="54"/>
      <c r="H725" s="52" t="str">
        <f>IF(AND(I.Compliance.FulfilledPerformance&gt;0,I.Performance.RangeCount&gt;=655,F725=""),"Incomplete","Complete")</f>
        <v>Complete</v>
      </c>
      <c r="I725" s="55" t="s">
        <v>923</v>
      </c>
    </row>
    <row r="726" spans="2:9" ht="15" customHeight="1" x14ac:dyDescent="0.25">
      <c r="B726" s="51" t="s">
        <v>124</v>
      </c>
      <c r="C726" s="52">
        <v>656</v>
      </c>
      <c r="D726" s="53" t="s">
        <v>4326</v>
      </c>
      <c r="E726" s="54"/>
      <c r="F726" s="52" t="str">
        <f>IF(INDEX(I.Performance.StartRange,656)="","",INDEX(I.Performance.StartRange,656))</f>
        <v/>
      </c>
      <c r="G726" s="54"/>
      <c r="H726" s="52" t="str">
        <f>IF(AND(I.Compliance.FulfilledPerformance&gt;0,I.Performance.RangeCount&gt;=656,F726=""),"Incomplete","Complete")</f>
        <v>Complete</v>
      </c>
      <c r="I726" s="55" t="s">
        <v>924</v>
      </c>
    </row>
    <row r="727" spans="2:9" ht="15" customHeight="1" x14ac:dyDescent="0.25">
      <c r="B727" s="51" t="s">
        <v>124</v>
      </c>
      <c r="C727" s="52">
        <v>657</v>
      </c>
      <c r="D727" s="53" t="s">
        <v>4326</v>
      </c>
      <c r="E727" s="54"/>
      <c r="F727" s="52" t="str">
        <f>IF(INDEX(I.Performance.StartRange,657)="","",INDEX(I.Performance.StartRange,657))</f>
        <v/>
      </c>
      <c r="G727" s="54"/>
      <c r="H727" s="52" t="str">
        <f>IF(AND(I.Compliance.FulfilledPerformance&gt;0,I.Performance.RangeCount&gt;=657,F727=""),"Incomplete","Complete")</f>
        <v>Complete</v>
      </c>
      <c r="I727" s="55" t="s">
        <v>925</v>
      </c>
    </row>
    <row r="728" spans="2:9" ht="15" customHeight="1" x14ac:dyDescent="0.25">
      <c r="B728" s="51" t="s">
        <v>124</v>
      </c>
      <c r="C728" s="52">
        <v>658</v>
      </c>
      <c r="D728" s="53" t="s">
        <v>4326</v>
      </c>
      <c r="E728" s="54"/>
      <c r="F728" s="52" t="str">
        <f>IF(INDEX(I.Performance.StartRange,658)="","",INDEX(I.Performance.StartRange,658))</f>
        <v/>
      </c>
      <c r="G728" s="54"/>
      <c r="H728" s="52" t="str">
        <f>IF(AND(I.Compliance.FulfilledPerformance&gt;0,I.Performance.RangeCount&gt;=658,F728=""),"Incomplete","Complete")</f>
        <v>Complete</v>
      </c>
      <c r="I728" s="55" t="s">
        <v>926</v>
      </c>
    </row>
    <row r="729" spans="2:9" ht="15" customHeight="1" x14ac:dyDescent="0.25">
      <c r="B729" s="51" t="s">
        <v>124</v>
      </c>
      <c r="C729" s="52">
        <v>659</v>
      </c>
      <c r="D729" s="53" t="s">
        <v>4326</v>
      </c>
      <c r="E729" s="54"/>
      <c r="F729" s="52" t="str">
        <f>IF(INDEX(I.Performance.StartRange,659)="","",INDEX(I.Performance.StartRange,659))</f>
        <v/>
      </c>
      <c r="G729" s="54"/>
      <c r="H729" s="52" t="str">
        <f>IF(AND(I.Compliance.FulfilledPerformance&gt;0,I.Performance.RangeCount&gt;=659,F729=""),"Incomplete","Complete")</f>
        <v>Complete</v>
      </c>
      <c r="I729" s="55" t="s">
        <v>927</v>
      </c>
    </row>
    <row r="730" spans="2:9" ht="15" customHeight="1" x14ac:dyDescent="0.25">
      <c r="B730" s="51" t="s">
        <v>124</v>
      </c>
      <c r="C730" s="52">
        <v>660</v>
      </c>
      <c r="D730" s="53" t="s">
        <v>4326</v>
      </c>
      <c r="E730" s="54"/>
      <c r="F730" s="52" t="str">
        <f>IF(INDEX(I.Performance.StartRange,660)="","",INDEX(I.Performance.StartRange,660))</f>
        <v/>
      </c>
      <c r="G730" s="54"/>
      <c r="H730" s="52" t="str">
        <f>IF(AND(I.Compliance.FulfilledPerformance&gt;0,I.Performance.RangeCount&gt;=660,F730=""),"Incomplete","Complete")</f>
        <v>Complete</v>
      </c>
      <c r="I730" s="55" t="s">
        <v>928</v>
      </c>
    </row>
    <row r="731" spans="2:9" ht="15" customHeight="1" x14ac:dyDescent="0.25">
      <c r="B731" s="51" t="s">
        <v>124</v>
      </c>
      <c r="C731" s="52">
        <v>661</v>
      </c>
      <c r="D731" s="53" t="s">
        <v>4326</v>
      </c>
      <c r="E731" s="54"/>
      <c r="F731" s="52" t="str">
        <f>IF(INDEX(I.Performance.StartRange,661)="","",INDEX(I.Performance.StartRange,661))</f>
        <v/>
      </c>
      <c r="G731" s="54"/>
      <c r="H731" s="52" t="str">
        <f>IF(AND(I.Compliance.FulfilledPerformance&gt;0,I.Performance.RangeCount&gt;=661,F731=""),"Incomplete","Complete")</f>
        <v>Complete</v>
      </c>
      <c r="I731" s="55" t="s">
        <v>929</v>
      </c>
    </row>
    <row r="732" spans="2:9" ht="15" customHeight="1" x14ac:dyDescent="0.25">
      <c r="B732" s="51" t="s">
        <v>124</v>
      </c>
      <c r="C732" s="52">
        <v>662</v>
      </c>
      <c r="D732" s="53" t="s">
        <v>4326</v>
      </c>
      <c r="E732" s="54"/>
      <c r="F732" s="52" t="str">
        <f>IF(INDEX(I.Performance.StartRange,662)="","",INDEX(I.Performance.StartRange,662))</f>
        <v/>
      </c>
      <c r="G732" s="54"/>
      <c r="H732" s="52" t="str">
        <f>IF(AND(I.Compliance.FulfilledPerformance&gt;0,I.Performance.RangeCount&gt;=662,F732=""),"Incomplete","Complete")</f>
        <v>Complete</v>
      </c>
      <c r="I732" s="55" t="s">
        <v>930</v>
      </c>
    </row>
    <row r="733" spans="2:9" ht="15" customHeight="1" x14ac:dyDescent="0.25">
      <c r="B733" s="51" t="s">
        <v>124</v>
      </c>
      <c r="C733" s="52">
        <v>663</v>
      </c>
      <c r="D733" s="53" t="s">
        <v>4326</v>
      </c>
      <c r="E733" s="54"/>
      <c r="F733" s="52" t="str">
        <f>IF(INDEX(I.Performance.StartRange,663)="","",INDEX(I.Performance.StartRange,663))</f>
        <v/>
      </c>
      <c r="G733" s="54"/>
      <c r="H733" s="52" t="str">
        <f>IF(AND(I.Compliance.FulfilledPerformance&gt;0,I.Performance.RangeCount&gt;=663,F733=""),"Incomplete","Complete")</f>
        <v>Complete</v>
      </c>
      <c r="I733" s="55" t="s">
        <v>931</v>
      </c>
    </row>
    <row r="734" spans="2:9" ht="15" customHeight="1" x14ac:dyDescent="0.25">
      <c r="B734" s="51" t="s">
        <v>124</v>
      </c>
      <c r="C734" s="52">
        <v>664</v>
      </c>
      <c r="D734" s="53" t="s">
        <v>4326</v>
      </c>
      <c r="E734" s="54"/>
      <c r="F734" s="52" t="str">
        <f>IF(INDEX(I.Performance.StartRange,664)="","",INDEX(I.Performance.StartRange,664))</f>
        <v/>
      </c>
      <c r="G734" s="54"/>
      <c r="H734" s="52" t="str">
        <f>IF(AND(I.Compliance.FulfilledPerformance&gt;0,I.Performance.RangeCount&gt;=664,F734=""),"Incomplete","Complete")</f>
        <v>Complete</v>
      </c>
      <c r="I734" s="55" t="s">
        <v>932</v>
      </c>
    </row>
    <row r="735" spans="2:9" ht="15" customHeight="1" x14ac:dyDescent="0.25">
      <c r="B735" s="51" t="s">
        <v>124</v>
      </c>
      <c r="C735" s="52">
        <v>665</v>
      </c>
      <c r="D735" s="53" t="s">
        <v>4326</v>
      </c>
      <c r="E735" s="54"/>
      <c r="F735" s="52" t="str">
        <f>IF(INDEX(I.Performance.StartRange,665)="","",INDEX(I.Performance.StartRange,665))</f>
        <v/>
      </c>
      <c r="G735" s="54"/>
      <c r="H735" s="52" t="str">
        <f>IF(AND(I.Compliance.FulfilledPerformance&gt;0,I.Performance.RangeCount&gt;=665,F735=""),"Incomplete","Complete")</f>
        <v>Complete</v>
      </c>
      <c r="I735" s="55" t="s">
        <v>933</v>
      </c>
    </row>
    <row r="736" spans="2:9" ht="15" customHeight="1" x14ac:dyDescent="0.25">
      <c r="B736" s="51" t="s">
        <v>124</v>
      </c>
      <c r="C736" s="52">
        <v>666</v>
      </c>
      <c r="D736" s="53" t="s">
        <v>4326</v>
      </c>
      <c r="E736" s="54"/>
      <c r="F736" s="52" t="str">
        <f>IF(INDEX(I.Performance.StartRange,666)="","",INDEX(I.Performance.StartRange,666))</f>
        <v/>
      </c>
      <c r="G736" s="54"/>
      <c r="H736" s="52" t="str">
        <f>IF(AND(I.Compliance.FulfilledPerformance&gt;0,I.Performance.RangeCount&gt;=666,F736=""),"Incomplete","Complete")</f>
        <v>Complete</v>
      </c>
      <c r="I736" s="55" t="s">
        <v>934</v>
      </c>
    </row>
    <row r="737" spans="2:9" ht="15" customHeight="1" x14ac:dyDescent="0.25">
      <c r="B737" s="51" t="s">
        <v>124</v>
      </c>
      <c r="C737" s="52">
        <v>667</v>
      </c>
      <c r="D737" s="53" t="s">
        <v>4326</v>
      </c>
      <c r="E737" s="54"/>
      <c r="F737" s="52" t="str">
        <f>IF(INDEX(I.Performance.StartRange,667)="","",INDEX(I.Performance.StartRange,667))</f>
        <v/>
      </c>
      <c r="G737" s="54"/>
      <c r="H737" s="52" t="str">
        <f>IF(AND(I.Compliance.FulfilledPerformance&gt;0,I.Performance.RangeCount&gt;=667,F737=""),"Incomplete","Complete")</f>
        <v>Complete</v>
      </c>
      <c r="I737" s="55" t="s">
        <v>935</v>
      </c>
    </row>
    <row r="738" spans="2:9" ht="15" customHeight="1" x14ac:dyDescent="0.25">
      <c r="B738" s="51" t="s">
        <v>124</v>
      </c>
      <c r="C738" s="52">
        <v>668</v>
      </c>
      <c r="D738" s="53" t="s">
        <v>4326</v>
      </c>
      <c r="E738" s="54"/>
      <c r="F738" s="52" t="str">
        <f>IF(INDEX(I.Performance.StartRange,668)="","",INDEX(I.Performance.StartRange,668))</f>
        <v/>
      </c>
      <c r="G738" s="54"/>
      <c r="H738" s="52" t="str">
        <f>IF(AND(I.Compliance.FulfilledPerformance&gt;0,I.Performance.RangeCount&gt;=668,F738=""),"Incomplete","Complete")</f>
        <v>Complete</v>
      </c>
      <c r="I738" s="55" t="s">
        <v>936</v>
      </c>
    </row>
    <row r="739" spans="2:9" ht="15" customHeight="1" x14ac:dyDescent="0.25">
      <c r="B739" s="51" t="s">
        <v>124</v>
      </c>
      <c r="C739" s="52">
        <v>669</v>
      </c>
      <c r="D739" s="53" t="s">
        <v>4326</v>
      </c>
      <c r="E739" s="54"/>
      <c r="F739" s="52" t="str">
        <f>IF(INDEX(I.Performance.StartRange,669)="","",INDEX(I.Performance.StartRange,669))</f>
        <v/>
      </c>
      <c r="G739" s="54"/>
      <c r="H739" s="52" t="str">
        <f>IF(AND(I.Compliance.FulfilledPerformance&gt;0,I.Performance.RangeCount&gt;=669,F739=""),"Incomplete","Complete")</f>
        <v>Complete</v>
      </c>
      <c r="I739" s="55" t="s">
        <v>937</v>
      </c>
    </row>
    <row r="740" spans="2:9" ht="15" customHeight="1" x14ac:dyDescent="0.25">
      <c r="B740" s="51" t="s">
        <v>124</v>
      </c>
      <c r="C740" s="52">
        <v>670</v>
      </c>
      <c r="D740" s="53" t="s">
        <v>4326</v>
      </c>
      <c r="E740" s="54"/>
      <c r="F740" s="52" t="str">
        <f>IF(INDEX(I.Performance.StartRange,670)="","",INDEX(I.Performance.StartRange,670))</f>
        <v/>
      </c>
      <c r="G740" s="54"/>
      <c r="H740" s="52" t="str">
        <f>IF(AND(I.Compliance.FulfilledPerformance&gt;0,I.Performance.RangeCount&gt;=670,F740=""),"Incomplete","Complete")</f>
        <v>Complete</v>
      </c>
      <c r="I740" s="55" t="s">
        <v>938</v>
      </c>
    </row>
    <row r="741" spans="2:9" ht="15" customHeight="1" x14ac:dyDescent="0.25">
      <c r="B741" s="51" t="s">
        <v>124</v>
      </c>
      <c r="C741" s="52">
        <v>671</v>
      </c>
      <c r="D741" s="53" t="s">
        <v>4326</v>
      </c>
      <c r="E741" s="54"/>
      <c r="F741" s="52" t="str">
        <f>IF(INDEX(I.Performance.StartRange,671)="","",INDEX(I.Performance.StartRange,671))</f>
        <v/>
      </c>
      <c r="G741" s="54"/>
      <c r="H741" s="52" t="str">
        <f>IF(AND(I.Compliance.FulfilledPerformance&gt;0,I.Performance.RangeCount&gt;=671,F741=""),"Incomplete","Complete")</f>
        <v>Complete</v>
      </c>
      <c r="I741" s="55" t="s">
        <v>939</v>
      </c>
    </row>
    <row r="742" spans="2:9" ht="15" customHeight="1" x14ac:dyDescent="0.25">
      <c r="B742" s="51" t="s">
        <v>124</v>
      </c>
      <c r="C742" s="52">
        <v>672</v>
      </c>
      <c r="D742" s="53" t="s">
        <v>4326</v>
      </c>
      <c r="E742" s="54"/>
      <c r="F742" s="52" t="str">
        <f>IF(INDEX(I.Performance.StartRange,672)="","",INDEX(I.Performance.StartRange,672))</f>
        <v/>
      </c>
      <c r="G742" s="54"/>
      <c r="H742" s="52" t="str">
        <f>IF(AND(I.Compliance.FulfilledPerformance&gt;0,I.Performance.RangeCount&gt;=672,F742=""),"Incomplete","Complete")</f>
        <v>Complete</v>
      </c>
      <c r="I742" s="55" t="s">
        <v>940</v>
      </c>
    </row>
    <row r="743" spans="2:9" ht="15" customHeight="1" x14ac:dyDescent="0.25">
      <c r="B743" s="51" t="s">
        <v>124</v>
      </c>
      <c r="C743" s="52">
        <v>673</v>
      </c>
      <c r="D743" s="53" t="s">
        <v>4326</v>
      </c>
      <c r="E743" s="54"/>
      <c r="F743" s="52" t="str">
        <f>IF(INDEX(I.Performance.StartRange,673)="","",INDEX(I.Performance.StartRange,673))</f>
        <v/>
      </c>
      <c r="G743" s="54"/>
      <c r="H743" s="52" t="str">
        <f>IF(AND(I.Compliance.FulfilledPerformance&gt;0,I.Performance.RangeCount&gt;=673,F743=""),"Incomplete","Complete")</f>
        <v>Complete</v>
      </c>
      <c r="I743" s="55" t="s">
        <v>941</v>
      </c>
    </row>
    <row r="744" spans="2:9" ht="15" customHeight="1" x14ac:dyDescent="0.25">
      <c r="B744" s="51" t="s">
        <v>124</v>
      </c>
      <c r="C744" s="52">
        <v>674</v>
      </c>
      <c r="D744" s="53" t="s">
        <v>4326</v>
      </c>
      <c r="E744" s="54"/>
      <c r="F744" s="52" t="str">
        <f>IF(INDEX(I.Performance.StartRange,674)="","",INDEX(I.Performance.StartRange,674))</f>
        <v/>
      </c>
      <c r="G744" s="54"/>
      <c r="H744" s="52" t="str">
        <f>IF(AND(I.Compliance.FulfilledPerformance&gt;0,I.Performance.RangeCount&gt;=674,F744=""),"Incomplete","Complete")</f>
        <v>Complete</v>
      </c>
      <c r="I744" s="55" t="s">
        <v>942</v>
      </c>
    </row>
    <row r="745" spans="2:9" ht="15" customHeight="1" x14ac:dyDescent="0.25">
      <c r="B745" s="51" t="s">
        <v>124</v>
      </c>
      <c r="C745" s="52">
        <v>675</v>
      </c>
      <c r="D745" s="53" t="s">
        <v>4326</v>
      </c>
      <c r="E745" s="54"/>
      <c r="F745" s="52" t="str">
        <f>IF(INDEX(I.Performance.StartRange,675)="","",INDEX(I.Performance.StartRange,675))</f>
        <v/>
      </c>
      <c r="G745" s="54"/>
      <c r="H745" s="52" t="str">
        <f>IF(AND(I.Compliance.FulfilledPerformance&gt;0,I.Performance.RangeCount&gt;=675,F745=""),"Incomplete","Complete")</f>
        <v>Complete</v>
      </c>
      <c r="I745" s="55" t="s">
        <v>943</v>
      </c>
    </row>
    <row r="746" spans="2:9" ht="15" customHeight="1" x14ac:dyDescent="0.25">
      <c r="B746" s="51" t="s">
        <v>124</v>
      </c>
      <c r="C746" s="52">
        <v>676</v>
      </c>
      <c r="D746" s="53" t="s">
        <v>4326</v>
      </c>
      <c r="E746" s="54"/>
      <c r="F746" s="52" t="str">
        <f>IF(INDEX(I.Performance.StartRange,676)="","",INDEX(I.Performance.StartRange,676))</f>
        <v/>
      </c>
      <c r="G746" s="54"/>
      <c r="H746" s="52" t="str">
        <f>IF(AND(I.Compliance.FulfilledPerformance&gt;0,I.Performance.RangeCount&gt;=676,F746=""),"Incomplete","Complete")</f>
        <v>Complete</v>
      </c>
      <c r="I746" s="55" t="s">
        <v>944</v>
      </c>
    </row>
    <row r="747" spans="2:9" ht="15" customHeight="1" x14ac:dyDescent="0.25">
      <c r="B747" s="51" t="s">
        <v>124</v>
      </c>
      <c r="C747" s="52">
        <v>677</v>
      </c>
      <c r="D747" s="53" t="s">
        <v>4326</v>
      </c>
      <c r="E747" s="54"/>
      <c r="F747" s="52" t="str">
        <f>IF(INDEX(I.Performance.StartRange,677)="","",INDEX(I.Performance.StartRange,677))</f>
        <v/>
      </c>
      <c r="G747" s="54"/>
      <c r="H747" s="52" t="str">
        <f>IF(AND(I.Compliance.FulfilledPerformance&gt;0,I.Performance.RangeCount&gt;=677,F747=""),"Incomplete","Complete")</f>
        <v>Complete</v>
      </c>
      <c r="I747" s="55" t="s">
        <v>945</v>
      </c>
    </row>
    <row r="748" spans="2:9" ht="15" customHeight="1" x14ac:dyDescent="0.25">
      <c r="B748" s="51" t="s">
        <v>124</v>
      </c>
      <c r="C748" s="52">
        <v>678</v>
      </c>
      <c r="D748" s="53" t="s">
        <v>4326</v>
      </c>
      <c r="E748" s="54"/>
      <c r="F748" s="52" t="str">
        <f>IF(INDEX(I.Performance.StartRange,678)="","",INDEX(I.Performance.StartRange,678))</f>
        <v/>
      </c>
      <c r="G748" s="54"/>
      <c r="H748" s="52" t="str">
        <f>IF(AND(I.Compliance.FulfilledPerformance&gt;0,I.Performance.RangeCount&gt;=678,F748=""),"Incomplete","Complete")</f>
        <v>Complete</v>
      </c>
      <c r="I748" s="55" t="s">
        <v>946</v>
      </c>
    </row>
    <row r="749" spans="2:9" ht="15" customHeight="1" x14ac:dyDescent="0.25">
      <c r="B749" s="51" t="s">
        <v>124</v>
      </c>
      <c r="C749" s="52">
        <v>679</v>
      </c>
      <c r="D749" s="53" t="s">
        <v>4326</v>
      </c>
      <c r="E749" s="54"/>
      <c r="F749" s="52" t="str">
        <f>IF(INDEX(I.Performance.StartRange,679)="","",INDEX(I.Performance.StartRange,679))</f>
        <v/>
      </c>
      <c r="G749" s="54"/>
      <c r="H749" s="52" t="str">
        <f>IF(AND(I.Compliance.FulfilledPerformance&gt;0,I.Performance.RangeCount&gt;=679,F749=""),"Incomplete","Complete")</f>
        <v>Complete</v>
      </c>
      <c r="I749" s="55" t="s">
        <v>947</v>
      </c>
    </row>
    <row r="750" spans="2:9" ht="15" customHeight="1" x14ac:dyDescent="0.25">
      <c r="B750" s="51" t="s">
        <v>124</v>
      </c>
      <c r="C750" s="52">
        <v>680</v>
      </c>
      <c r="D750" s="53" t="s">
        <v>4326</v>
      </c>
      <c r="E750" s="54"/>
      <c r="F750" s="52" t="str">
        <f>IF(INDEX(I.Performance.StartRange,680)="","",INDEX(I.Performance.StartRange,680))</f>
        <v/>
      </c>
      <c r="G750" s="54"/>
      <c r="H750" s="52" t="str">
        <f>IF(AND(I.Compliance.FulfilledPerformance&gt;0,I.Performance.RangeCount&gt;=680,F750=""),"Incomplete","Complete")</f>
        <v>Complete</v>
      </c>
      <c r="I750" s="55" t="s">
        <v>948</v>
      </c>
    </row>
    <row r="751" spans="2:9" ht="15" customHeight="1" x14ac:dyDescent="0.25">
      <c r="B751" s="51" t="s">
        <v>124</v>
      </c>
      <c r="C751" s="52">
        <v>681</v>
      </c>
      <c r="D751" s="53" t="s">
        <v>4326</v>
      </c>
      <c r="E751" s="54"/>
      <c r="F751" s="52" t="str">
        <f>IF(INDEX(I.Performance.StartRange,681)="","",INDEX(I.Performance.StartRange,681))</f>
        <v/>
      </c>
      <c r="G751" s="54"/>
      <c r="H751" s="52" t="str">
        <f>IF(AND(I.Compliance.FulfilledPerformance&gt;0,I.Performance.RangeCount&gt;=681,F751=""),"Incomplete","Complete")</f>
        <v>Complete</v>
      </c>
      <c r="I751" s="55" t="s">
        <v>949</v>
      </c>
    </row>
    <row r="752" spans="2:9" ht="15" customHeight="1" x14ac:dyDescent="0.25">
      <c r="B752" s="51" t="s">
        <v>124</v>
      </c>
      <c r="C752" s="52">
        <v>682</v>
      </c>
      <c r="D752" s="53" t="s">
        <v>4326</v>
      </c>
      <c r="E752" s="54"/>
      <c r="F752" s="52" t="str">
        <f>IF(INDEX(I.Performance.StartRange,682)="","",INDEX(I.Performance.StartRange,682))</f>
        <v/>
      </c>
      <c r="G752" s="54"/>
      <c r="H752" s="52" t="str">
        <f>IF(AND(I.Compliance.FulfilledPerformance&gt;0,I.Performance.RangeCount&gt;=682,F752=""),"Incomplete","Complete")</f>
        <v>Complete</v>
      </c>
      <c r="I752" s="55" t="s">
        <v>950</v>
      </c>
    </row>
    <row r="753" spans="2:9" ht="15" customHeight="1" x14ac:dyDescent="0.25">
      <c r="B753" s="51" t="s">
        <v>124</v>
      </c>
      <c r="C753" s="52">
        <v>683</v>
      </c>
      <c r="D753" s="53" t="s">
        <v>4326</v>
      </c>
      <c r="E753" s="54"/>
      <c r="F753" s="52" t="str">
        <f>IF(INDEX(I.Performance.StartRange,683)="","",INDEX(I.Performance.StartRange,683))</f>
        <v/>
      </c>
      <c r="G753" s="54"/>
      <c r="H753" s="52" t="str">
        <f>IF(AND(I.Compliance.FulfilledPerformance&gt;0,I.Performance.RangeCount&gt;=683,F753=""),"Incomplete","Complete")</f>
        <v>Complete</v>
      </c>
      <c r="I753" s="55" t="s">
        <v>951</v>
      </c>
    </row>
    <row r="754" spans="2:9" ht="15" customHeight="1" x14ac:dyDescent="0.25">
      <c r="B754" s="51" t="s">
        <v>124</v>
      </c>
      <c r="C754" s="52">
        <v>684</v>
      </c>
      <c r="D754" s="53" t="s">
        <v>4326</v>
      </c>
      <c r="E754" s="54"/>
      <c r="F754" s="52" t="str">
        <f>IF(INDEX(I.Performance.StartRange,684)="","",INDEX(I.Performance.StartRange,684))</f>
        <v/>
      </c>
      <c r="G754" s="54"/>
      <c r="H754" s="52" t="str">
        <f>IF(AND(I.Compliance.FulfilledPerformance&gt;0,I.Performance.RangeCount&gt;=684,F754=""),"Incomplete","Complete")</f>
        <v>Complete</v>
      </c>
      <c r="I754" s="55" t="s">
        <v>952</v>
      </c>
    </row>
    <row r="755" spans="2:9" ht="15" customHeight="1" x14ac:dyDescent="0.25">
      <c r="B755" s="51" t="s">
        <v>124</v>
      </c>
      <c r="C755" s="52">
        <v>685</v>
      </c>
      <c r="D755" s="53" t="s">
        <v>4326</v>
      </c>
      <c r="E755" s="54"/>
      <c r="F755" s="52" t="str">
        <f>IF(INDEX(I.Performance.StartRange,685)="","",INDEX(I.Performance.StartRange,685))</f>
        <v/>
      </c>
      <c r="G755" s="54"/>
      <c r="H755" s="52" t="str">
        <f>IF(AND(I.Compliance.FulfilledPerformance&gt;0,I.Performance.RangeCount&gt;=685,F755=""),"Incomplete","Complete")</f>
        <v>Complete</v>
      </c>
      <c r="I755" s="55" t="s">
        <v>953</v>
      </c>
    </row>
    <row r="756" spans="2:9" ht="15" customHeight="1" x14ac:dyDescent="0.25">
      <c r="B756" s="51" t="s">
        <v>124</v>
      </c>
      <c r="C756" s="52">
        <v>686</v>
      </c>
      <c r="D756" s="53" t="s">
        <v>4326</v>
      </c>
      <c r="E756" s="54"/>
      <c r="F756" s="52" t="str">
        <f>IF(INDEX(I.Performance.StartRange,686)="","",INDEX(I.Performance.StartRange,686))</f>
        <v/>
      </c>
      <c r="G756" s="54"/>
      <c r="H756" s="52" t="str">
        <f>IF(AND(I.Compliance.FulfilledPerformance&gt;0,I.Performance.RangeCount&gt;=686,F756=""),"Incomplete","Complete")</f>
        <v>Complete</v>
      </c>
      <c r="I756" s="55" t="s">
        <v>954</v>
      </c>
    </row>
    <row r="757" spans="2:9" ht="15" customHeight="1" x14ac:dyDescent="0.25">
      <c r="B757" s="51" t="s">
        <v>124</v>
      </c>
      <c r="C757" s="52">
        <v>687</v>
      </c>
      <c r="D757" s="53" t="s">
        <v>4326</v>
      </c>
      <c r="E757" s="54"/>
      <c r="F757" s="52" t="str">
        <f>IF(INDEX(I.Performance.StartRange,687)="","",INDEX(I.Performance.StartRange,687))</f>
        <v/>
      </c>
      <c r="G757" s="54"/>
      <c r="H757" s="52" t="str">
        <f>IF(AND(I.Compliance.FulfilledPerformance&gt;0,I.Performance.RangeCount&gt;=687,F757=""),"Incomplete","Complete")</f>
        <v>Complete</v>
      </c>
      <c r="I757" s="55" t="s">
        <v>955</v>
      </c>
    </row>
    <row r="758" spans="2:9" ht="15" customHeight="1" x14ac:dyDescent="0.25">
      <c r="B758" s="51" t="s">
        <v>124</v>
      </c>
      <c r="C758" s="52">
        <v>688</v>
      </c>
      <c r="D758" s="53" t="s">
        <v>4326</v>
      </c>
      <c r="E758" s="54"/>
      <c r="F758" s="52" t="str">
        <f>IF(INDEX(I.Performance.StartRange,688)="","",INDEX(I.Performance.StartRange,688))</f>
        <v/>
      </c>
      <c r="G758" s="54"/>
      <c r="H758" s="52" t="str">
        <f>IF(AND(I.Compliance.FulfilledPerformance&gt;0,I.Performance.RangeCount&gt;=688,F758=""),"Incomplete","Complete")</f>
        <v>Complete</v>
      </c>
      <c r="I758" s="55" t="s">
        <v>956</v>
      </c>
    </row>
    <row r="759" spans="2:9" ht="15" customHeight="1" x14ac:dyDescent="0.25">
      <c r="B759" s="51" t="s">
        <v>124</v>
      </c>
      <c r="C759" s="52">
        <v>689</v>
      </c>
      <c r="D759" s="53" t="s">
        <v>4326</v>
      </c>
      <c r="E759" s="54"/>
      <c r="F759" s="52" t="str">
        <f>IF(INDEX(I.Performance.StartRange,689)="","",INDEX(I.Performance.StartRange,689))</f>
        <v/>
      </c>
      <c r="G759" s="54"/>
      <c r="H759" s="52" t="str">
        <f>IF(AND(I.Compliance.FulfilledPerformance&gt;0,I.Performance.RangeCount&gt;=689,F759=""),"Incomplete","Complete")</f>
        <v>Complete</v>
      </c>
      <c r="I759" s="55" t="s">
        <v>957</v>
      </c>
    </row>
    <row r="760" spans="2:9" ht="15" customHeight="1" x14ac:dyDescent="0.25">
      <c r="B760" s="51" t="s">
        <v>124</v>
      </c>
      <c r="C760" s="52">
        <v>690</v>
      </c>
      <c r="D760" s="53" t="s">
        <v>4326</v>
      </c>
      <c r="E760" s="54"/>
      <c r="F760" s="52" t="str">
        <f>IF(INDEX(I.Performance.StartRange,690)="","",INDEX(I.Performance.StartRange,690))</f>
        <v/>
      </c>
      <c r="G760" s="54"/>
      <c r="H760" s="52" t="str">
        <f>IF(AND(I.Compliance.FulfilledPerformance&gt;0,I.Performance.RangeCount&gt;=690,F760=""),"Incomplete","Complete")</f>
        <v>Complete</v>
      </c>
      <c r="I760" s="55" t="s">
        <v>958</v>
      </c>
    </row>
    <row r="761" spans="2:9" ht="15" customHeight="1" x14ac:dyDescent="0.25">
      <c r="B761" s="51" t="s">
        <v>124</v>
      </c>
      <c r="C761" s="52">
        <v>691</v>
      </c>
      <c r="D761" s="53" t="s">
        <v>4326</v>
      </c>
      <c r="E761" s="54"/>
      <c r="F761" s="52" t="str">
        <f>IF(INDEX(I.Performance.StartRange,691)="","",INDEX(I.Performance.StartRange,691))</f>
        <v/>
      </c>
      <c r="G761" s="54"/>
      <c r="H761" s="52" t="str">
        <f>IF(AND(I.Compliance.FulfilledPerformance&gt;0,I.Performance.RangeCount&gt;=691,F761=""),"Incomplete","Complete")</f>
        <v>Complete</v>
      </c>
      <c r="I761" s="55" t="s">
        <v>959</v>
      </c>
    </row>
    <row r="762" spans="2:9" ht="15" customHeight="1" x14ac:dyDescent="0.25">
      <c r="B762" s="51" t="s">
        <v>124</v>
      </c>
      <c r="C762" s="52">
        <v>692</v>
      </c>
      <c r="D762" s="53" t="s">
        <v>4326</v>
      </c>
      <c r="E762" s="54"/>
      <c r="F762" s="52" t="str">
        <f>IF(INDEX(I.Performance.StartRange,692)="","",INDEX(I.Performance.StartRange,692))</f>
        <v/>
      </c>
      <c r="G762" s="54"/>
      <c r="H762" s="52" t="str">
        <f>IF(AND(I.Compliance.FulfilledPerformance&gt;0,I.Performance.RangeCount&gt;=692,F762=""),"Incomplete","Complete")</f>
        <v>Complete</v>
      </c>
      <c r="I762" s="55" t="s">
        <v>960</v>
      </c>
    </row>
    <row r="763" spans="2:9" ht="15" customHeight="1" x14ac:dyDescent="0.25">
      <c r="B763" s="51" t="s">
        <v>124</v>
      </c>
      <c r="C763" s="52">
        <v>693</v>
      </c>
      <c r="D763" s="53" t="s">
        <v>4326</v>
      </c>
      <c r="E763" s="54"/>
      <c r="F763" s="52" t="str">
        <f>IF(INDEX(I.Performance.StartRange,693)="","",INDEX(I.Performance.StartRange,693))</f>
        <v/>
      </c>
      <c r="G763" s="54"/>
      <c r="H763" s="52" t="str">
        <f>IF(AND(I.Compliance.FulfilledPerformance&gt;0,I.Performance.RangeCount&gt;=693,F763=""),"Incomplete","Complete")</f>
        <v>Complete</v>
      </c>
      <c r="I763" s="55" t="s">
        <v>961</v>
      </c>
    </row>
    <row r="764" spans="2:9" ht="15" customHeight="1" x14ac:dyDescent="0.25">
      <c r="B764" s="51" t="s">
        <v>124</v>
      </c>
      <c r="C764" s="52">
        <v>694</v>
      </c>
      <c r="D764" s="53" t="s">
        <v>4326</v>
      </c>
      <c r="E764" s="54"/>
      <c r="F764" s="52" t="str">
        <f>IF(INDEX(I.Performance.StartRange,694)="","",INDEX(I.Performance.StartRange,694))</f>
        <v/>
      </c>
      <c r="G764" s="54"/>
      <c r="H764" s="52" t="str">
        <f>IF(AND(I.Compliance.FulfilledPerformance&gt;0,I.Performance.RangeCount&gt;=694,F764=""),"Incomplete","Complete")</f>
        <v>Complete</v>
      </c>
      <c r="I764" s="55" t="s">
        <v>962</v>
      </c>
    </row>
    <row r="765" spans="2:9" ht="15" customHeight="1" x14ac:dyDescent="0.25">
      <c r="B765" s="51" t="s">
        <v>124</v>
      </c>
      <c r="C765" s="52">
        <v>695</v>
      </c>
      <c r="D765" s="53" t="s">
        <v>4326</v>
      </c>
      <c r="E765" s="54"/>
      <c r="F765" s="52" t="str">
        <f>IF(INDEX(I.Performance.StartRange,695)="","",INDEX(I.Performance.StartRange,695))</f>
        <v/>
      </c>
      <c r="G765" s="54"/>
      <c r="H765" s="52" t="str">
        <f>IF(AND(I.Compliance.FulfilledPerformance&gt;0,I.Performance.RangeCount&gt;=695,F765=""),"Incomplete","Complete")</f>
        <v>Complete</v>
      </c>
      <c r="I765" s="55" t="s">
        <v>963</v>
      </c>
    </row>
    <row r="766" spans="2:9" ht="15" customHeight="1" x14ac:dyDescent="0.25">
      <c r="B766" s="51" t="s">
        <v>124</v>
      </c>
      <c r="C766" s="52">
        <v>696</v>
      </c>
      <c r="D766" s="53" t="s">
        <v>4326</v>
      </c>
      <c r="E766" s="54"/>
      <c r="F766" s="52" t="str">
        <f>IF(INDEX(I.Performance.StartRange,696)="","",INDEX(I.Performance.StartRange,696))</f>
        <v/>
      </c>
      <c r="G766" s="54"/>
      <c r="H766" s="52" t="str">
        <f>IF(AND(I.Compliance.FulfilledPerformance&gt;0,I.Performance.RangeCount&gt;=696,F766=""),"Incomplete","Complete")</f>
        <v>Complete</v>
      </c>
      <c r="I766" s="55" t="s">
        <v>964</v>
      </c>
    </row>
    <row r="767" spans="2:9" ht="15" customHeight="1" x14ac:dyDescent="0.25">
      <c r="B767" s="51" t="s">
        <v>124</v>
      </c>
      <c r="C767" s="52">
        <v>697</v>
      </c>
      <c r="D767" s="53" t="s">
        <v>4326</v>
      </c>
      <c r="E767" s="54"/>
      <c r="F767" s="52" t="str">
        <f>IF(INDEX(I.Performance.StartRange,697)="","",INDEX(I.Performance.StartRange,697))</f>
        <v/>
      </c>
      <c r="G767" s="54"/>
      <c r="H767" s="52" t="str">
        <f>IF(AND(I.Compliance.FulfilledPerformance&gt;0,I.Performance.RangeCount&gt;=697,F767=""),"Incomplete","Complete")</f>
        <v>Complete</v>
      </c>
      <c r="I767" s="55" t="s">
        <v>965</v>
      </c>
    </row>
    <row r="768" spans="2:9" ht="15" customHeight="1" x14ac:dyDescent="0.25">
      <c r="B768" s="51" t="s">
        <v>124</v>
      </c>
      <c r="C768" s="52">
        <v>698</v>
      </c>
      <c r="D768" s="53" t="s">
        <v>4326</v>
      </c>
      <c r="E768" s="54"/>
      <c r="F768" s="52" t="str">
        <f>IF(INDEX(I.Performance.StartRange,698)="","",INDEX(I.Performance.StartRange,698))</f>
        <v/>
      </c>
      <c r="G768" s="54"/>
      <c r="H768" s="52" t="str">
        <f>IF(AND(I.Compliance.FulfilledPerformance&gt;0,I.Performance.RangeCount&gt;=698,F768=""),"Incomplete","Complete")</f>
        <v>Complete</v>
      </c>
      <c r="I768" s="55" t="s">
        <v>966</v>
      </c>
    </row>
    <row r="769" spans="2:9" ht="15" customHeight="1" x14ac:dyDescent="0.25">
      <c r="B769" s="51" t="s">
        <v>124</v>
      </c>
      <c r="C769" s="52">
        <v>699</v>
      </c>
      <c r="D769" s="53" t="s">
        <v>4326</v>
      </c>
      <c r="E769" s="54"/>
      <c r="F769" s="52" t="str">
        <f>IF(INDEX(I.Performance.StartRange,699)="","",INDEX(I.Performance.StartRange,699))</f>
        <v/>
      </c>
      <c r="G769" s="54"/>
      <c r="H769" s="52" t="str">
        <f>IF(AND(I.Compliance.FulfilledPerformance&gt;0,I.Performance.RangeCount&gt;=699,F769=""),"Incomplete","Complete")</f>
        <v>Complete</v>
      </c>
      <c r="I769" s="55" t="s">
        <v>967</v>
      </c>
    </row>
    <row r="770" spans="2:9" ht="15" customHeight="1" x14ac:dyDescent="0.25">
      <c r="B770" s="51" t="s">
        <v>124</v>
      </c>
      <c r="C770" s="52">
        <v>700</v>
      </c>
      <c r="D770" s="53" t="s">
        <v>4326</v>
      </c>
      <c r="E770" s="54"/>
      <c r="F770" s="52" t="str">
        <f>IF(INDEX(I.Performance.StartRange,700)="","",INDEX(I.Performance.StartRange,700))</f>
        <v/>
      </c>
      <c r="G770" s="54"/>
      <c r="H770" s="52" t="str">
        <f>IF(AND(I.Compliance.FulfilledPerformance&gt;0,I.Performance.RangeCount&gt;=700,F770=""),"Incomplete","Complete")</f>
        <v>Complete</v>
      </c>
      <c r="I770" s="55" t="s">
        <v>968</v>
      </c>
    </row>
    <row r="771" spans="2:9" ht="15" customHeight="1" x14ac:dyDescent="0.25">
      <c r="B771" s="51" t="s">
        <v>124</v>
      </c>
      <c r="C771" s="52">
        <v>701</v>
      </c>
      <c r="D771" s="53" t="s">
        <v>4326</v>
      </c>
      <c r="E771" s="54"/>
      <c r="F771" s="52" t="str">
        <f>IF(INDEX(I.Performance.StartRange,701)="","",INDEX(I.Performance.StartRange,701))</f>
        <v/>
      </c>
      <c r="G771" s="54"/>
      <c r="H771" s="52" t="str">
        <f>IF(AND(I.Compliance.FulfilledPerformance&gt;0,I.Performance.RangeCount&gt;=701,F771=""),"Incomplete","Complete")</f>
        <v>Complete</v>
      </c>
      <c r="I771" s="55" t="s">
        <v>969</v>
      </c>
    </row>
    <row r="772" spans="2:9" ht="15" customHeight="1" x14ac:dyDescent="0.25">
      <c r="B772" s="51" t="s">
        <v>124</v>
      </c>
      <c r="C772" s="52">
        <v>702</v>
      </c>
      <c r="D772" s="53" t="s">
        <v>4326</v>
      </c>
      <c r="E772" s="54"/>
      <c r="F772" s="52" t="str">
        <f>IF(INDEX(I.Performance.StartRange,702)="","",INDEX(I.Performance.StartRange,702))</f>
        <v/>
      </c>
      <c r="G772" s="54"/>
      <c r="H772" s="52" t="str">
        <f>IF(AND(I.Compliance.FulfilledPerformance&gt;0,I.Performance.RangeCount&gt;=702,F772=""),"Incomplete","Complete")</f>
        <v>Complete</v>
      </c>
      <c r="I772" s="55" t="s">
        <v>970</v>
      </c>
    </row>
    <row r="773" spans="2:9" ht="15" customHeight="1" x14ac:dyDescent="0.25">
      <c r="B773" s="51" t="s">
        <v>124</v>
      </c>
      <c r="C773" s="52">
        <v>703</v>
      </c>
      <c r="D773" s="53" t="s">
        <v>4326</v>
      </c>
      <c r="E773" s="54"/>
      <c r="F773" s="52" t="str">
        <f>IF(INDEX(I.Performance.StartRange,703)="","",INDEX(I.Performance.StartRange,703))</f>
        <v/>
      </c>
      <c r="G773" s="54"/>
      <c r="H773" s="52" t="str">
        <f>IF(AND(I.Compliance.FulfilledPerformance&gt;0,I.Performance.RangeCount&gt;=703,F773=""),"Incomplete","Complete")</f>
        <v>Complete</v>
      </c>
      <c r="I773" s="55" t="s">
        <v>971</v>
      </c>
    </row>
    <row r="774" spans="2:9" ht="15" customHeight="1" x14ac:dyDescent="0.25">
      <c r="B774" s="51" t="s">
        <v>124</v>
      </c>
      <c r="C774" s="52">
        <v>704</v>
      </c>
      <c r="D774" s="53" t="s">
        <v>4326</v>
      </c>
      <c r="E774" s="54"/>
      <c r="F774" s="52" t="str">
        <f>IF(INDEX(I.Performance.StartRange,704)="","",INDEX(I.Performance.StartRange,704))</f>
        <v/>
      </c>
      <c r="G774" s="54"/>
      <c r="H774" s="52" t="str">
        <f>IF(AND(I.Compliance.FulfilledPerformance&gt;0,I.Performance.RangeCount&gt;=704,F774=""),"Incomplete","Complete")</f>
        <v>Complete</v>
      </c>
      <c r="I774" s="55" t="s">
        <v>972</v>
      </c>
    </row>
    <row r="775" spans="2:9" ht="15" customHeight="1" x14ac:dyDescent="0.25">
      <c r="B775" s="51" t="s">
        <v>124</v>
      </c>
      <c r="C775" s="52">
        <v>705</v>
      </c>
      <c r="D775" s="53" t="s">
        <v>4326</v>
      </c>
      <c r="E775" s="54"/>
      <c r="F775" s="52" t="str">
        <f>IF(INDEX(I.Performance.StartRange,705)="","",INDEX(I.Performance.StartRange,705))</f>
        <v/>
      </c>
      <c r="G775" s="54"/>
      <c r="H775" s="52" t="str">
        <f>IF(AND(I.Compliance.FulfilledPerformance&gt;0,I.Performance.RangeCount&gt;=705,F775=""),"Incomplete","Complete")</f>
        <v>Complete</v>
      </c>
      <c r="I775" s="55" t="s">
        <v>973</v>
      </c>
    </row>
    <row r="776" spans="2:9" ht="15" customHeight="1" x14ac:dyDescent="0.25">
      <c r="B776" s="51" t="s">
        <v>124</v>
      </c>
      <c r="C776" s="52">
        <v>706</v>
      </c>
      <c r="D776" s="53" t="s">
        <v>4326</v>
      </c>
      <c r="E776" s="54"/>
      <c r="F776" s="52" t="str">
        <f>IF(INDEX(I.Performance.StartRange,706)="","",INDEX(I.Performance.StartRange,706))</f>
        <v/>
      </c>
      <c r="G776" s="54"/>
      <c r="H776" s="52" t="str">
        <f>IF(AND(I.Compliance.FulfilledPerformance&gt;0,I.Performance.RangeCount&gt;=706,F776=""),"Incomplete","Complete")</f>
        <v>Complete</v>
      </c>
      <c r="I776" s="55" t="s">
        <v>974</v>
      </c>
    </row>
    <row r="777" spans="2:9" ht="15" customHeight="1" x14ac:dyDescent="0.25">
      <c r="B777" s="51" t="s">
        <v>124</v>
      </c>
      <c r="C777" s="52">
        <v>707</v>
      </c>
      <c r="D777" s="53" t="s">
        <v>4326</v>
      </c>
      <c r="E777" s="54"/>
      <c r="F777" s="52" t="str">
        <f>IF(INDEX(I.Performance.StartRange,707)="","",INDEX(I.Performance.StartRange,707))</f>
        <v/>
      </c>
      <c r="G777" s="54"/>
      <c r="H777" s="52" t="str">
        <f>IF(AND(I.Compliance.FulfilledPerformance&gt;0,I.Performance.RangeCount&gt;=707,F777=""),"Incomplete","Complete")</f>
        <v>Complete</v>
      </c>
      <c r="I777" s="55" t="s">
        <v>975</v>
      </c>
    </row>
    <row r="778" spans="2:9" ht="15" customHeight="1" x14ac:dyDescent="0.25">
      <c r="B778" s="51" t="s">
        <v>124</v>
      </c>
      <c r="C778" s="52">
        <v>708</v>
      </c>
      <c r="D778" s="53" t="s">
        <v>4326</v>
      </c>
      <c r="E778" s="54"/>
      <c r="F778" s="52" t="str">
        <f>IF(INDEX(I.Performance.StartRange,708)="","",INDEX(I.Performance.StartRange,708))</f>
        <v/>
      </c>
      <c r="G778" s="54"/>
      <c r="H778" s="52" t="str">
        <f>IF(AND(I.Compliance.FulfilledPerformance&gt;0,I.Performance.RangeCount&gt;=708,F778=""),"Incomplete","Complete")</f>
        <v>Complete</v>
      </c>
      <c r="I778" s="55" t="s">
        <v>976</v>
      </c>
    </row>
    <row r="779" spans="2:9" ht="15" customHeight="1" x14ac:dyDescent="0.25">
      <c r="B779" s="51" t="s">
        <v>124</v>
      </c>
      <c r="C779" s="52">
        <v>709</v>
      </c>
      <c r="D779" s="53" t="s">
        <v>4326</v>
      </c>
      <c r="E779" s="54"/>
      <c r="F779" s="52" t="str">
        <f>IF(INDEX(I.Performance.StartRange,709)="","",INDEX(I.Performance.StartRange,709))</f>
        <v/>
      </c>
      <c r="G779" s="54"/>
      <c r="H779" s="52" t="str">
        <f>IF(AND(I.Compliance.FulfilledPerformance&gt;0,I.Performance.RangeCount&gt;=709,F779=""),"Incomplete","Complete")</f>
        <v>Complete</v>
      </c>
      <c r="I779" s="55" t="s">
        <v>977</v>
      </c>
    </row>
    <row r="780" spans="2:9" ht="15" customHeight="1" x14ac:dyDescent="0.25">
      <c r="B780" s="51" t="s">
        <v>124</v>
      </c>
      <c r="C780" s="52">
        <v>710</v>
      </c>
      <c r="D780" s="53" t="s">
        <v>4326</v>
      </c>
      <c r="E780" s="54"/>
      <c r="F780" s="52" t="str">
        <f>IF(INDEX(I.Performance.StartRange,710)="","",INDEX(I.Performance.StartRange,710))</f>
        <v/>
      </c>
      <c r="G780" s="54"/>
      <c r="H780" s="52" t="str">
        <f>IF(AND(I.Compliance.FulfilledPerformance&gt;0,I.Performance.RangeCount&gt;=710,F780=""),"Incomplete","Complete")</f>
        <v>Complete</v>
      </c>
      <c r="I780" s="55" t="s">
        <v>978</v>
      </c>
    </row>
    <row r="781" spans="2:9" ht="15" customHeight="1" x14ac:dyDescent="0.25">
      <c r="B781" s="51" t="s">
        <v>124</v>
      </c>
      <c r="C781" s="52">
        <v>711</v>
      </c>
      <c r="D781" s="53" t="s">
        <v>4326</v>
      </c>
      <c r="E781" s="54"/>
      <c r="F781" s="52" t="str">
        <f>IF(INDEX(I.Performance.StartRange,711)="","",INDEX(I.Performance.StartRange,711))</f>
        <v/>
      </c>
      <c r="G781" s="54"/>
      <c r="H781" s="52" t="str">
        <f>IF(AND(I.Compliance.FulfilledPerformance&gt;0,I.Performance.RangeCount&gt;=711,F781=""),"Incomplete","Complete")</f>
        <v>Complete</v>
      </c>
      <c r="I781" s="55" t="s">
        <v>979</v>
      </c>
    </row>
    <row r="782" spans="2:9" ht="15" customHeight="1" x14ac:dyDescent="0.25">
      <c r="B782" s="51" t="s">
        <v>124</v>
      </c>
      <c r="C782" s="52">
        <v>712</v>
      </c>
      <c r="D782" s="53" t="s">
        <v>4326</v>
      </c>
      <c r="E782" s="54"/>
      <c r="F782" s="52" t="str">
        <f>IF(INDEX(I.Performance.StartRange,712)="","",INDEX(I.Performance.StartRange,712))</f>
        <v/>
      </c>
      <c r="G782" s="54"/>
      <c r="H782" s="52" t="str">
        <f>IF(AND(I.Compliance.FulfilledPerformance&gt;0,I.Performance.RangeCount&gt;=712,F782=""),"Incomplete","Complete")</f>
        <v>Complete</v>
      </c>
      <c r="I782" s="55" t="s">
        <v>980</v>
      </c>
    </row>
    <row r="783" spans="2:9" ht="15" customHeight="1" x14ac:dyDescent="0.25">
      <c r="B783" s="51" t="s">
        <v>124</v>
      </c>
      <c r="C783" s="52">
        <v>713</v>
      </c>
      <c r="D783" s="53" t="s">
        <v>4326</v>
      </c>
      <c r="E783" s="54"/>
      <c r="F783" s="52" t="str">
        <f>IF(INDEX(I.Performance.StartRange,713)="","",INDEX(I.Performance.StartRange,713))</f>
        <v/>
      </c>
      <c r="G783" s="54"/>
      <c r="H783" s="52" t="str">
        <f>IF(AND(I.Compliance.FulfilledPerformance&gt;0,I.Performance.RangeCount&gt;=713,F783=""),"Incomplete","Complete")</f>
        <v>Complete</v>
      </c>
      <c r="I783" s="55" t="s">
        <v>981</v>
      </c>
    </row>
    <row r="784" spans="2:9" ht="15" customHeight="1" x14ac:dyDescent="0.25">
      <c r="B784" s="51" t="s">
        <v>124</v>
      </c>
      <c r="C784" s="52">
        <v>714</v>
      </c>
      <c r="D784" s="53" t="s">
        <v>4326</v>
      </c>
      <c r="E784" s="54"/>
      <c r="F784" s="52" t="str">
        <f>IF(INDEX(I.Performance.StartRange,714)="","",INDEX(I.Performance.StartRange,714))</f>
        <v/>
      </c>
      <c r="G784" s="54"/>
      <c r="H784" s="52" t="str">
        <f>IF(AND(I.Compliance.FulfilledPerformance&gt;0,I.Performance.RangeCount&gt;=714,F784=""),"Incomplete","Complete")</f>
        <v>Complete</v>
      </c>
      <c r="I784" s="55" t="s">
        <v>982</v>
      </c>
    </row>
    <row r="785" spans="2:9" ht="15" customHeight="1" x14ac:dyDescent="0.25">
      <c r="B785" s="51" t="s">
        <v>124</v>
      </c>
      <c r="C785" s="52">
        <v>715</v>
      </c>
      <c r="D785" s="53" t="s">
        <v>4326</v>
      </c>
      <c r="E785" s="54"/>
      <c r="F785" s="52" t="str">
        <f>IF(INDEX(I.Performance.StartRange,715)="","",INDEX(I.Performance.StartRange,715))</f>
        <v/>
      </c>
      <c r="G785" s="54"/>
      <c r="H785" s="52" t="str">
        <f>IF(AND(I.Compliance.FulfilledPerformance&gt;0,I.Performance.RangeCount&gt;=715,F785=""),"Incomplete","Complete")</f>
        <v>Complete</v>
      </c>
      <c r="I785" s="55" t="s">
        <v>983</v>
      </c>
    </row>
    <row r="786" spans="2:9" ht="15" customHeight="1" x14ac:dyDescent="0.25">
      <c r="B786" s="51" t="s">
        <v>124</v>
      </c>
      <c r="C786" s="52">
        <v>716</v>
      </c>
      <c r="D786" s="53" t="s">
        <v>4326</v>
      </c>
      <c r="E786" s="54"/>
      <c r="F786" s="52" t="str">
        <f>IF(INDEX(I.Performance.StartRange,716)="","",INDEX(I.Performance.StartRange,716))</f>
        <v/>
      </c>
      <c r="G786" s="54"/>
      <c r="H786" s="52" t="str">
        <f>IF(AND(I.Compliance.FulfilledPerformance&gt;0,I.Performance.RangeCount&gt;=716,F786=""),"Incomplete","Complete")</f>
        <v>Complete</v>
      </c>
      <c r="I786" s="55" t="s">
        <v>984</v>
      </c>
    </row>
    <row r="787" spans="2:9" ht="15" customHeight="1" x14ac:dyDescent="0.25">
      <c r="B787" s="51" t="s">
        <v>124</v>
      </c>
      <c r="C787" s="52">
        <v>717</v>
      </c>
      <c r="D787" s="53" t="s">
        <v>4326</v>
      </c>
      <c r="E787" s="54"/>
      <c r="F787" s="52" t="str">
        <f>IF(INDEX(I.Performance.StartRange,717)="","",INDEX(I.Performance.StartRange,717))</f>
        <v/>
      </c>
      <c r="G787" s="54"/>
      <c r="H787" s="52" t="str">
        <f>IF(AND(I.Compliance.FulfilledPerformance&gt;0,I.Performance.RangeCount&gt;=717,F787=""),"Incomplete","Complete")</f>
        <v>Complete</v>
      </c>
      <c r="I787" s="55" t="s">
        <v>985</v>
      </c>
    </row>
    <row r="788" spans="2:9" ht="15" customHeight="1" x14ac:dyDescent="0.25">
      <c r="B788" s="51" t="s">
        <v>124</v>
      </c>
      <c r="C788" s="52">
        <v>718</v>
      </c>
      <c r="D788" s="53" t="s">
        <v>4326</v>
      </c>
      <c r="E788" s="54"/>
      <c r="F788" s="52" t="str">
        <f>IF(INDEX(I.Performance.StartRange,718)="","",INDEX(I.Performance.StartRange,718))</f>
        <v/>
      </c>
      <c r="G788" s="54"/>
      <c r="H788" s="52" t="str">
        <f>IF(AND(I.Compliance.FulfilledPerformance&gt;0,I.Performance.RangeCount&gt;=718,F788=""),"Incomplete","Complete")</f>
        <v>Complete</v>
      </c>
      <c r="I788" s="55" t="s">
        <v>986</v>
      </c>
    </row>
    <row r="789" spans="2:9" ht="15" customHeight="1" x14ac:dyDescent="0.25">
      <c r="B789" s="51" t="s">
        <v>124</v>
      </c>
      <c r="C789" s="52">
        <v>719</v>
      </c>
      <c r="D789" s="53" t="s">
        <v>4326</v>
      </c>
      <c r="E789" s="54"/>
      <c r="F789" s="52" t="str">
        <f>IF(INDEX(I.Performance.StartRange,719)="","",INDEX(I.Performance.StartRange,719))</f>
        <v/>
      </c>
      <c r="G789" s="54"/>
      <c r="H789" s="52" t="str">
        <f>IF(AND(I.Compliance.FulfilledPerformance&gt;0,I.Performance.RangeCount&gt;=719,F789=""),"Incomplete","Complete")</f>
        <v>Complete</v>
      </c>
      <c r="I789" s="55" t="s">
        <v>987</v>
      </c>
    </row>
    <row r="790" spans="2:9" ht="15" customHeight="1" x14ac:dyDescent="0.25">
      <c r="B790" s="51" t="s">
        <v>124</v>
      </c>
      <c r="C790" s="52">
        <v>720</v>
      </c>
      <c r="D790" s="53" t="s">
        <v>4326</v>
      </c>
      <c r="E790" s="54"/>
      <c r="F790" s="52" t="str">
        <f>IF(INDEX(I.Performance.StartRange,720)="","",INDEX(I.Performance.StartRange,720))</f>
        <v/>
      </c>
      <c r="G790" s="54"/>
      <c r="H790" s="52" t="str">
        <f>IF(AND(I.Compliance.FulfilledPerformance&gt;0,I.Performance.RangeCount&gt;=720,F790=""),"Incomplete","Complete")</f>
        <v>Complete</v>
      </c>
      <c r="I790" s="55" t="s">
        <v>988</v>
      </c>
    </row>
    <row r="791" spans="2:9" ht="15" customHeight="1" x14ac:dyDescent="0.25">
      <c r="B791" s="51" t="s">
        <v>124</v>
      </c>
      <c r="C791" s="52">
        <v>721</v>
      </c>
      <c r="D791" s="53" t="s">
        <v>4326</v>
      </c>
      <c r="E791" s="54"/>
      <c r="F791" s="52" t="str">
        <f>IF(INDEX(I.Performance.StartRange,721)="","",INDEX(I.Performance.StartRange,721))</f>
        <v/>
      </c>
      <c r="G791" s="54"/>
      <c r="H791" s="52" t="str">
        <f>IF(AND(I.Compliance.FulfilledPerformance&gt;0,I.Performance.RangeCount&gt;=721,F791=""),"Incomplete","Complete")</f>
        <v>Complete</v>
      </c>
      <c r="I791" s="55" t="s">
        <v>989</v>
      </c>
    </row>
    <row r="792" spans="2:9" ht="15" customHeight="1" x14ac:dyDescent="0.25">
      <c r="B792" s="51" t="s">
        <v>124</v>
      </c>
      <c r="C792" s="52">
        <v>722</v>
      </c>
      <c r="D792" s="53" t="s">
        <v>4326</v>
      </c>
      <c r="E792" s="54"/>
      <c r="F792" s="52" t="str">
        <f>IF(INDEX(I.Performance.StartRange,722)="","",INDEX(I.Performance.StartRange,722))</f>
        <v/>
      </c>
      <c r="G792" s="54"/>
      <c r="H792" s="52" t="str">
        <f>IF(AND(I.Compliance.FulfilledPerformance&gt;0,I.Performance.RangeCount&gt;=722,F792=""),"Incomplete","Complete")</f>
        <v>Complete</v>
      </c>
      <c r="I792" s="55" t="s">
        <v>990</v>
      </c>
    </row>
    <row r="793" spans="2:9" ht="15" customHeight="1" x14ac:dyDescent="0.25">
      <c r="B793" s="51" t="s">
        <v>124</v>
      </c>
      <c r="C793" s="52">
        <v>723</v>
      </c>
      <c r="D793" s="53" t="s">
        <v>4326</v>
      </c>
      <c r="E793" s="54"/>
      <c r="F793" s="52" t="str">
        <f>IF(INDEX(I.Performance.StartRange,723)="","",INDEX(I.Performance.StartRange,723))</f>
        <v/>
      </c>
      <c r="G793" s="54"/>
      <c r="H793" s="52" t="str">
        <f>IF(AND(I.Compliance.FulfilledPerformance&gt;0,I.Performance.RangeCount&gt;=723,F793=""),"Incomplete","Complete")</f>
        <v>Complete</v>
      </c>
      <c r="I793" s="55" t="s">
        <v>991</v>
      </c>
    </row>
    <row r="794" spans="2:9" ht="15" customHeight="1" x14ac:dyDescent="0.25">
      <c r="B794" s="51" t="s">
        <v>124</v>
      </c>
      <c r="C794" s="52">
        <v>724</v>
      </c>
      <c r="D794" s="53" t="s">
        <v>4326</v>
      </c>
      <c r="E794" s="54"/>
      <c r="F794" s="52" t="str">
        <f>IF(INDEX(I.Performance.StartRange,724)="","",INDEX(I.Performance.StartRange,724))</f>
        <v/>
      </c>
      <c r="G794" s="54"/>
      <c r="H794" s="52" t="str">
        <f>IF(AND(I.Compliance.FulfilledPerformance&gt;0,I.Performance.RangeCount&gt;=724,F794=""),"Incomplete","Complete")</f>
        <v>Complete</v>
      </c>
      <c r="I794" s="55" t="s">
        <v>992</v>
      </c>
    </row>
    <row r="795" spans="2:9" ht="15" customHeight="1" x14ac:dyDescent="0.25">
      <c r="B795" s="51" t="s">
        <v>124</v>
      </c>
      <c r="C795" s="52">
        <v>725</v>
      </c>
      <c r="D795" s="53" t="s">
        <v>4326</v>
      </c>
      <c r="E795" s="54"/>
      <c r="F795" s="52" t="str">
        <f>IF(INDEX(I.Performance.StartRange,725)="","",INDEX(I.Performance.StartRange,725))</f>
        <v/>
      </c>
      <c r="G795" s="54"/>
      <c r="H795" s="52" t="str">
        <f>IF(AND(I.Compliance.FulfilledPerformance&gt;0,I.Performance.RangeCount&gt;=725,F795=""),"Incomplete","Complete")</f>
        <v>Complete</v>
      </c>
      <c r="I795" s="55" t="s">
        <v>993</v>
      </c>
    </row>
    <row r="796" spans="2:9" ht="15" customHeight="1" x14ac:dyDescent="0.25">
      <c r="B796" s="51" t="s">
        <v>124</v>
      </c>
      <c r="C796" s="52">
        <v>726</v>
      </c>
      <c r="D796" s="53" t="s">
        <v>4326</v>
      </c>
      <c r="E796" s="54"/>
      <c r="F796" s="52" t="str">
        <f>IF(INDEX(I.Performance.StartRange,726)="","",INDEX(I.Performance.StartRange,726))</f>
        <v/>
      </c>
      <c r="G796" s="54"/>
      <c r="H796" s="52" t="str">
        <f>IF(AND(I.Compliance.FulfilledPerformance&gt;0,I.Performance.RangeCount&gt;=726,F796=""),"Incomplete","Complete")</f>
        <v>Complete</v>
      </c>
      <c r="I796" s="55" t="s">
        <v>994</v>
      </c>
    </row>
    <row r="797" spans="2:9" ht="15" customHeight="1" x14ac:dyDescent="0.25">
      <c r="B797" s="51" t="s">
        <v>124</v>
      </c>
      <c r="C797" s="52">
        <v>727</v>
      </c>
      <c r="D797" s="53" t="s">
        <v>4326</v>
      </c>
      <c r="E797" s="54"/>
      <c r="F797" s="52" t="str">
        <f>IF(INDEX(I.Performance.StartRange,727)="","",INDEX(I.Performance.StartRange,727))</f>
        <v/>
      </c>
      <c r="G797" s="54"/>
      <c r="H797" s="52" t="str">
        <f>IF(AND(I.Compliance.FulfilledPerformance&gt;0,I.Performance.RangeCount&gt;=727,F797=""),"Incomplete","Complete")</f>
        <v>Complete</v>
      </c>
      <c r="I797" s="55" t="s">
        <v>995</v>
      </c>
    </row>
    <row r="798" spans="2:9" ht="15" customHeight="1" x14ac:dyDescent="0.25">
      <c r="B798" s="51" t="s">
        <v>124</v>
      </c>
      <c r="C798" s="52">
        <v>728</v>
      </c>
      <c r="D798" s="53" t="s">
        <v>4326</v>
      </c>
      <c r="E798" s="54"/>
      <c r="F798" s="52" t="str">
        <f>IF(INDEX(I.Performance.StartRange,728)="","",INDEX(I.Performance.StartRange,728))</f>
        <v/>
      </c>
      <c r="G798" s="54"/>
      <c r="H798" s="52" t="str">
        <f>IF(AND(I.Compliance.FulfilledPerformance&gt;0,I.Performance.RangeCount&gt;=728,F798=""),"Incomplete","Complete")</f>
        <v>Complete</v>
      </c>
      <c r="I798" s="55" t="s">
        <v>996</v>
      </c>
    </row>
    <row r="799" spans="2:9" ht="15" customHeight="1" x14ac:dyDescent="0.25">
      <c r="B799" s="51" t="s">
        <v>124</v>
      </c>
      <c r="C799" s="52">
        <v>729</v>
      </c>
      <c r="D799" s="53" t="s">
        <v>4326</v>
      </c>
      <c r="E799" s="54"/>
      <c r="F799" s="52" t="str">
        <f>IF(INDEX(I.Performance.StartRange,729)="","",INDEX(I.Performance.StartRange,729))</f>
        <v/>
      </c>
      <c r="G799" s="54"/>
      <c r="H799" s="52" t="str">
        <f>IF(AND(I.Compliance.FulfilledPerformance&gt;0,I.Performance.RangeCount&gt;=729,F799=""),"Incomplete","Complete")</f>
        <v>Complete</v>
      </c>
      <c r="I799" s="55" t="s">
        <v>997</v>
      </c>
    </row>
    <row r="800" spans="2:9" ht="15" customHeight="1" x14ac:dyDescent="0.25">
      <c r="B800" s="51" t="s">
        <v>124</v>
      </c>
      <c r="C800" s="52">
        <v>730</v>
      </c>
      <c r="D800" s="53" t="s">
        <v>4326</v>
      </c>
      <c r="E800" s="54"/>
      <c r="F800" s="52" t="str">
        <f>IF(INDEX(I.Performance.StartRange,730)="","",INDEX(I.Performance.StartRange,730))</f>
        <v/>
      </c>
      <c r="G800" s="54"/>
      <c r="H800" s="52" t="str">
        <f>IF(AND(I.Compliance.FulfilledPerformance&gt;0,I.Performance.RangeCount&gt;=730,F800=""),"Incomplete","Complete")</f>
        <v>Complete</v>
      </c>
      <c r="I800" s="55" t="s">
        <v>998</v>
      </c>
    </row>
    <row r="801" spans="2:9" ht="15" customHeight="1" x14ac:dyDescent="0.25">
      <c r="B801" s="51" t="s">
        <v>124</v>
      </c>
      <c r="C801" s="52">
        <v>731</v>
      </c>
      <c r="D801" s="53" t="s">
        <v>4326</v>
      </c>
      <c r="E801" s="54"/>
      <c r="F801" s="52" t="str">
        <f>IF(INDEX(I.Performance.StartRange,731)="","",INDEX(I.Performance.StartRange,731))</f>
        <v/>
      </c>
      <c r="G801" s="54"/>
      <c r="H801" s="52" t="str">
        <f>IF(AND(I.Compliance.FulfilledPerformance&gt;0,I.Performance.RangeCount&gt;=731,F801=""),"Incomplete","Complete")</f>
        <v>Complete</v>
      </c>
      <c r="I801" s="55" t="s">
        <v>999</v>
      </c>
    </row>
    <row r="802" spans="2:9" ht="15" customHeight="1" x14ac:dyDescent="0.25">
      <c r="B802" s="51" t="s">
        <v>124</v>
      </c>
      <c r="C802" s="52">
        <v>732</v>
      </c>
      <c r="D802" s="53" t="s">
        <v>4326</v>
      </c>
      <c r="E802" s="54"/>
      <c r="F802" s="52" t="str">
        <f>IF(INDEX(I.Performance.StartRange,732)="","",INDEX(I.Performance.StartRange,732))</f>
        <v/>
      </c>
      <c r="G802" s="54"/>
      <c r="H802" s="52" t="str">
        <f>IF(AND(I.Compliance.FulfilledPerformance&gt;0,I.Performance.RangeCount&gt;=732,F802=""),"Incomplete","Complete")</f>
        <v>Complete</v>
      </c>
      <c r="I802" s="55" t="s">
        <v>1000</v>
      </c>
    </row>
    <row r="803" spans="2:9" ht="15" customHeight="1" x14ac:dyDescent="0.25">
      <c r="B803" s="51" t="s">
        <v>124</v>
      </c>
      <c r="C803" s="52">
        <v>733</v>
      </c>
      <c r="D803" s="53" t="s">
        <v>4326</v>
      </c>
      <c r="E803" s="54"/>
      <c r="F803" s="52" t="str">
        <f>IF(INDEX(I.Performance.StartRange,733)="","",INDEX(I.Performance.StartRange,733))</f>
        <v/>
      </c>
      <c r="G803" s="54"/>
      <c r="H803" s="52" t="str">
        <f>IF(AND(I.Compliance.FulfilledPerformance&gt;0,I.Performance.RangeCount&gt;=733,F803=""),"Incomplete","Complete")</f>
        <v>Complete</v>
      </c>
      <c r="I803" s="55" t="s">
        <v>1001</v>
      </c>
    </row>
    <row r="804" spans="2:9" ht="15" customHeight="1" x14ac:dyDescent="0.25">
      <c r="B804" s="51" t="s">
        <v>124</v>
      </c>
      <c r="C804" s="52">
        <v>734</v>
      </c>
      <c r="D804" s="53" t="s">
        <v>4326</v>
      </c>
      <c r="E804" s="54"/>
      <c r="F804" s="52" t="str">
        <f>IF(INDEX(I.Performance.StartRange,734)="","",INDEX(I.Performance.StartRange,734))</f>
        <v/>
      </c>
      <c r="G804" s="54"/>
      <c r="H804" s="52" t="str">
        <f>IF(AND(I.Compliance.FulfilledPerformance&gt;0,I.Performance.RangeCount&gt;=734,F804=""),"Incomplete","Complete")</f>
        <v>Complete</v>
      </c>
      <c r="I804" s="55" t="s">
        <v>1002</v>
      </c>
    </row>
    <row r="805" spans="2:9" ht="15" customHeight="1" x14ac:dyDescent="0.25">
      <c r="B805" s="51" t="s">
        <v>124</v>
      </c>
      <c r="C805" s="52">
        <v>735</v>
      </c>
      <c r="D805" s="53" t="s">
        <v>4326</v>
      </c>
      <c r="E805" s="54"/>
      <c r="F805" s="52" t="str">
        <f>IF(INDEX(I.Performance.StartRange,735)="","",INDEX(I.Performance.StartRange,735))</f>
        <v/>
      </c>
      <c r="G805" s="54"/>
      <c r="H805" s="52" t="str">
        <f>IF(AND(I.Compliance.FulfilledPerformance&gt;0,I.Performance.RangeCount&gt;=735,F805=""),"Incomplete","Complete")</f>
        <v>Complete</v>
      </c>
      <c r="I805" s="55" t="s">
        <v>1003</v>
      </c>
    </row>
    <row r="806" spans="2:9" ht="15" customHeight="1" x14ac:dyDescent="0.25">
      <c r="B806" s="51" t="s">
        <v>124</v>
      </c>
      <c r="C806" s="52">
        <v>736</v>
      </c>
      <c r="D806" s="53" t="s">
        <v>4326</v>
      </c>
      <c r="E806" s="54"/>
      <c r="F806" s="52" t="str">
        <f>IF(INDEX(I.Performance.StartRange,736)="","",INDEX(I.Performance.StartRange,736))</f>
        <v/>
      </c>
      <c r="G806" s="54"/>
      <c r="H806" s="52" t="str">
        <f>IF(AND(I.Compliance.FulfilledPerformance&gt;0,I.Performance.RangeCount&gt;=736,F806=""),"Incomplete","Complete")</f>
        <v>Complete</v>
      </c>
      <c r="I806" s="55" t="s">
        <v>1004</v>
      </c>
    </row>
    <row r="807" spans="2:9" ht="15" customHeight="1" x14ac:dyDescent="0.25">
      <c r="B807" s="51" t="s">
        <v>124</v>
      </c>
      <c r="C807" s="52">
        <v>737</v>
      </c>
      <c r="D807" s="53" t="s">
        <v>4326</v>
      </c>
      <c r="E807" s="54"/>
      <c r="F807" s="52" t="str">
        <f>IF(INDEX(I.Performance.StartRange,737)="","",INDEX(I.Performance.StartRange,737))</f>
        <v/>
      </c>
      <c r="G807" s="54"/>
      <c r="H807" s="52" t="str">
        <f>IF(AND(I.Compliance.FulfilledPerformance&gt;0,I.Performance.RangeCount&gt;=737,F807=""),"Incomplete","Complete")</f>
        <v>Complete</v>
      </c>
      <c r="I807" s="55" t="s">
        <v>1005</v>
      </c>
    </row>
    <row r="808" spans="2:9" ht="15" customHeight="1" x14ac:dyDescent="0.25">
      <c r="B808" s="51" t="s">
        <v>124</v>
      </c>
      <c r="C808" s="52">
        <v>738</v>
      </c>
      <c r="D808" s="53" t="s">
        <v>4326</v>
      </c>
      <c r="E808" s="54"/>
      <c r="F808" s="52" t="str">
        <f>IF(INDEX(I.Performance.StartRange,738)="","",INDEX(I.Performance.StartRange,738))</f>
        <v/>
      </c>
      <c r="G808" s="54"/>
      <c r="H808" s="52" t="str">
        <f>IF(AND(I.Compliance.FulfilledPerformance&gt;0,I.Performance.RangeCount&gt;=738,F808=""),"Incomplete","Complete")</f>
        <v>Complete</v>
      </c>
      <c r="I808" s="55" t="s">
        <v>1006</v>
      </c>
    </row>
    <row r="809" spans="2:9" ht="15" customHeight="1" x14ac:dyDescent="0.25">
      <c r="B809" s="51" t="s">
        <v>124</v>
      </c>
      <c r="C809" s="52">
        <v>739</v>
      </c>
      <c r="D809" s="53" t="s">
        <v>4326</v>
      </c>
      <c r="E809" s="54"/>
      <c r="F809" s="52" t="str">
        <f>IF(INDEX(I.Performance.StartRange,739)="","",INDEX(I.Performance.StartRange,739))</f>
        <v/>
      </c>
      <c r="G809" s="54"/>
      <c r="H809" s="52" t="str">
        <f>IF(AND(I.Compliance.FulfilledPerformance&gt;0,I.Performance.RangeCount&gt;=739,F809=""),"Incomplete","Complete")</f>
        <v>Complete</v>
      </c>
      <c r="I809" s="55" t="s">
        <v>1007</v>
      </c>
    </row>
    <row r="810" spans="2:9" ht="15" customHeight="1" x14ac:dyDescent="0.25">
      <c r="B810" s="51" t="s">
        <v>124</v>
      </c>
      <c r="C810" s="52">
        <v>740</v>
      </c>
      <c r="D810" s="53" t="s">
        <v>4326</v>
      </c>
      <c r="E810" s="54"/>
      <c r="F810" s="52" t="str">
        <f>IF(INDEX(I.Performance.StartRange,740)="","",INDEX(I.Performance.StartRange,740))</f>
        <v/>
      </c>
      <c r="G810" s="54"/>
      <c r="H810" s="52" t="str">
        <f>IF(AND(I.Compliance.FulfilledPerformance&gt;0,I.Performance.RangeCount&gt;=740,F810=""),"Incomplete","Complete")</f>
        <v>Complete</v>
      </c>
      <c r="I810" s="55" t="s">
        <v>1008</v>
      </c>
    </row>
    <row r="811" spans="2:9" ht="15" customHeight="1" x14ac:dyDescent="0.25">
      <c r="B811" s="51" t="s">
        <v>124</v>
      </c>
      <c r="C811" s="52">
        <v>741</v>
      </c>
      <c r="D811" s="53" t="s">
        <v>4326</v>
      </c>
      <c r="E811" s="54"/>
      <c r="F811" s="52" t="str">
        <f>IF(INDEX(I.Performance.StartRange,741)="","",INDEX(I.Performance.StartRange,741))</f>
        <v/>
      </c>
      <c r="G811" s="54"/>
      <c r="H811" s="52" t="str">
        <f>IF(AND(I.Compliance.FulfilledPerformance&gt;0,I.Performance.RangeCount&gt;=741,F811=""),"Incomplete","Complete")</f>
        <v>Complete</v>
      </c>
      <c r="I811" s="55" t="s">
        <v>1009</v>
      </c>
    </row>
    <row r="812" spans="2:9" ht="15" customHeight="1" x14ac:dyDescent="0.25">
      <c r="B812" s="51" t="s">
        <v>124</v>
      </c>
      <c r="C812" s="52">
        <v>742</v>
      </c>
      <c r="D812" s="53" t="s">
        <v>4326</v>
      </c>
      <c r="E812" s="54"/>
      <c r="F812" s="52" t="str">
        <f>IF(INDEX(I.Performance.StartRange,742)="","",INDEX(I.Performance.StartRange,742))</f>
        <v/>
      </c>
      <c r="G812" s="54"/>
      <c r="H812" s="52" t="str">
        <f>IF(AND(I.Compliance.FulfilledPerformance&gt;0,I.Performance.RangeCount&gt;=742,F812=""),"Incomplete","Complete")</f>
        <v>Complete</v>
      </c>
      <c r="I812" s="55" t="s">
        <v>1010</v>
      </c>
    </row>
    <row r="813" spans="2:9" ht="15" customHeight="1" x14ac:dyDescent="0.25">
      <c r="B813" s="51" t="s">
        <v>124</v>
      </c>
      <c r="C813" s="52">
        <v>743</v>
      </c>
      <c r="D813" s="53" t="s">
        <v>4326</v>
      </c>
      <c r="E813" s="54"/>
      <c r="F813" s="52" t="str">
        <f>IF(INDEX(I.Performance.StartRange,743)="","",INDEX(I.Performance.StartRange,743))</f>
        <v/>
      </c>
      <c r="G813" s="54"/>
      <c r="H813" s="52" t="str">
        <f>IF(AND(I.Compliance.FulfilledPerformance&gt;0,I.Performance.RangeCount&gt;=743,F813=""),"Incomplete","Complete")</f>
        <v>Complete</v>
      </c>
      <c r="I813" s="55" t="s">
        <v>1011</v>
      </c>
    </row>
    <row r="814" spans="2:9" ht="15" customHeight="1" x14ac:dyDescent="0.25">
      <c r="B814" s="51" t="s">
        <v>124</v>
      </c>
      <c r="C814" s="52">
        <v>744</v>
      </c>
      <c r="D814" s="53" t="s">
        <v>4326</v>
      </c>
      <c r="E814" s="54"/>
      <c r="F814" s="52" t="str">
        <f>IF(INDEX(I.Performance.StartRange,744)="","",INDEX(I.Performance.StartRange,744))</f>
        <v/>
      </c>
      <c r="G814" s="54"/>
      <c r="H814" s="52" t="str">
        <f>IF(AND(I.Compliance.FulfilledPerformance&gt;0,I.Performance.RangeCount&gt;=744,F814=""),"Incomplete","Complete")</f>
        <v>Complete</v>
      </c>
      <c r="I814" s="55" t="s">
        <v>1012</v>
      </c>
    </row>
    <row r="815" spans="2:9" ht="15" customHeight="1" x14ac:dyDescent="0.25">
      <c r="B815" s="51" t="s">
        <v>124</v>
      </c>
      <c r="C815" s="52">
        <v>745</v>
      </c>
      <c r="D815" s="53" t="s">
        <v>4326</v>
      </c>
      <c r="E815" s="54"/>
      <c r="F815" s="52" t="str">
        <f>IF(INDEX(I.Performance.StartRange,745)="","",INDEX(I.Performance.StartRange,745))</f>
        <v/>
      </c>
      <c r="G815" s="54"/>
      <c r="H815" s="52" t="str">
        <f>IF(AND(I.Compliance.FulfilledPerformance&gt;0,I.Performance.RangeCount&gt;=745,F815=""),"Incomplete","Complete")</f>
        <v>Complete</v>
      </c>
      <c r="I815" s="55" t="s">
        <v>1013</v>
      </c>
    </row>
    <row r="816" spans="2:9" ht="15" customHeight="1" x14ac:dyDescent="0.25">
      <c r="B816" s="51" t="s">
        <v>124</v>
      </c>
      <c r="C816" s="52">
        <v>746</v>
      </c>
      <c r="D816" s="53" t="s">
        <v>4326</v>
      </c>
      <c r="E816" s="54"/>
      <c r="F816" s="52" t="str">
        <f>IF(INDEX(I.Performance.StartRange,746)="","",INDEX(I.Performance.StartRange,746))</f>
        <v/>
      </c>
      <c r="G816" s="54"/>
      <c r="H816" s="52" t="str">
        <f>IF(AND(I.Compliance.FulfilledPerformance&gt;0,I.Performance.RangeCount&gt;=746,F816=""),"Incomplete","Complete")</f>
        <v>Complete</v>
      </c>
      <c r="I816" s="55" t="s">
        <v>1014</v>
      </c>
    </row>
    <row r="817" spans="2:9" ht="15" customHeight="1" x14ac:dyDescent="0.25">
      <c r="B817" s="51" t="s">
        <v>124</v>
      </c>
      <c r="C817" s="52">
        <v>747</v>
      </c>
      <c r="D817" s="53" t="s">
        <v>4326</v>
      </c>
      <c r="E817" s="54"/>
      <c r="F817" s="52" t="str">
        <f>IF(INDEX(I.Performance.StartRange,747)="","",INDEX(I.Performance.StartRange,747))</f>
        <v/>
      </c>
      <c r="G817" s="54"/>
      <c r="H817" s="52" t="str">
        <f>IF(AND(I.Compliance.FulfilledPerformance&gt;0,I.Performance.RangeCount&gt;=747,F817=""),"Incomplete","Complete")</f>
        <v>Complete</v>
      </c>
      <c r="I817" s="55" t="s">
        <v>1015</v>
      </c>
    </row>
    <row r="818" spans="2:9" ht="15" customHeight="1" x14ac:dyDescent="0.25">
      <c r="B818" s="51" t="s">
        <v>124</v>
      </c>
      <c r="C818" s="52">
        <v>748</v>
      </c>
      <c r="D818" s="53" t="s">
        <v>4326</v>
      </c>
      <c r="E818" s="54"/>
      <c r="F818" s="52" t="str">
        <f>IF(INDEX(I.Performance.StartRange,748)="","",INDEX(I.Performance.StartRange,748))</f>
        <v/>
      </c>
      <c r="G818" s="54"/>
      <c r="H818" s="52" t="str">
        <f>IF(AND(I.Compliance.FulfilledPerformance&gt;0,I.Performance.RangeCount&gt;=748,F818=""),"Incomplete","Complete")</f>
        <v>Complete</v>
      </c>
      <c r="I818" s="55" t="s">
        <v>1016</v>
      </c>
    </row>
    <row r="819" spans="2:9" ht="15" customHeight="1" x14ac:dyDescent="0.25">
      <c r="B819" s="51" t="s">
        <v>124</v>
      </c>
      <c r="C819" s="52">
        <v>749</v>
      </c>
      <c r="D819" s="53" t="s">
        <v>4326</v>
      </c>
      <c r="E819" s="54"/>
      <c r="F819" s="52" t="str">
        <f>IF(INDEX(I.Performance.StartRange,749)="","",INDEX(I.Performance.StartRange,749))</f>
        <v/>
      </c>
      <c r="G819" s="54"/>
      <c r="H819" s="52" t="str">
        <f>IF(AND(I.Compliance.FulfilledPerformance&gt;0,I.Performance.RangeCount&gt;=749,F819=""),"Incomplete","Complete")</f>
        <v>Complete</v>
      </c>
      <c r="I819" s="55" t="s">
        <v>1017</v>
      </c>
    </row>
    <row r="820" spans="2:9" ht="15" customHeight="1" x14ac:dyDescent="0.25">
      <c r="B820" s="51" t="s">
        <v>124</v>
      </c>
      <c r="C820" s="52">
        <v>750</v>
      </c>
      <c r="D820" s="53" t="s">
        <v>4326</v>
      </c>
      <c r="E820" s="54"/>
      <c r="F820" s="52" t="str">
        <f>IF(INDEX(I.Performance.StartRange,750)="","",INDEX(I.Performance.StartRange,750))</f>
        <v/>
      </c>
      <c r="G820" s="54"/>
      <c r="H820" s="52" t="str">
        <f>IF(AND(I.Compliance.FulfilledPerformance&gt;0,I.Performance.RangeCount&gt;=750,F820=""),"Incomplete","Complete")</f>
        <v>Complete</v>
      </c>
      <c r="I820" s="55" t="s">
        <v>1018</v>
      </c>
    </row>
    <row r="821" spans="2:9" ht="15" customHeight="1" x14ac:dyDescent="0.25">
      <c r="B821" s="51" t="s">
        <v>124</v>
      </c>
      <c r="C821" s="52">
        <v>751</v>
      </c>
      <c r="D821" s="53" t="s">
        <v>4326</v>
      </c>
      <c r="E821" s="54"/>
      <c r="F821" s="52" t="str">
        <f>IF(INDEX(I.Performance.StartRange,751)="","",INDEX(I.Performance.StartRange,751))</f>
        <v/>
      </c>
      <c r="G821" s="54"/>
      <c r="H821" s="52" t="str">
        <f>IF(AND(I.Compliance.FulfilledPerformance&gt;0,I.Performance.RangeCount&gt;=751,F821=""),"Incomplete","Complete")</f>
        <v>Complete</v>
      </c>
      <c r="I821" s="55" t="s">
        <v>1019</v>
      </c>
    </row>
    <row r="822" spans="2:9" ht="15" customHeight="1" x14ac:dyDescent="0.25">
      <c r="B822" s="51" t="s">
        <v>124</v>
      </c>
      <c r="C822" s="52">
        <v>752</v>
      </c>
      <c r="D822" s="53" t="s">
        <v>4326</v>
      </c>
      <c r="E822" s="54"/>
      <c r="F822" s="52" t="str">
        <f>IF(INDEX(I.Performance.StartRange,752)="","",INDEX(I.Performance.StartRange,752))</f>
        <v/>
      </c>
      <c r="G822" s="54"/>
      <c r="H822" s="52" t="str">
        <f>IF(AND(I.Compliance.FulfilledPerformance&gt;0,I.Performance.RangeCount&gt;=752,F822=""),"Incomplete","Complete")</f>
        <v>Complete</v>
      </c>
      <c r="I822" s="55" t="s">
        <v>1020</v>
      </c>
    </row>
    <row r="823" spans="2:9" ht="15" customHeight="1" x14ac:dyDescent="0.25">
      <c r="B823" s="51" t="s">
        <v>124</v>
      </c>
      <c r="C823" s="52">
        <v>753</v>
      </c>
      <c r="D823" s="53" t="s">
        <v>4326</v>
      </c>
      <c r="E823" s="54"/>
      <c r="F823" s="52" t="str">
        <f>IF(INDEX(I.Performance.StartRange,753)="","",INDEX(I.Performance.StartRange,753))</f>
        <v/>
      </c>
      <c r="G823" s="54"/>
      <c r="H823" s="52" t="str">
        <f>IF(AND(I.Compliance.FulfilledPerformance&gt;0,I.Performance.RangeCount&gt;=753,F823=""),"Incomplete","Complete")</f>
        <v>Complete</v>
      </c>
      <c r="I823" s="55" t="s">
        <v>1021</v>
      </c>
    </row>
    <row r="824" spans="2:9" ht="15" customHeight="1" x14ac:dyDescent="0.25">
      <c r="B824" s="51" t="s">
        <v>124</v>
      </c>
      <c r="C824" s="52">
        <v>754</v>
      </c>
      <c r="D824" s="53" t="s">
        <v>4326</v>
      </c>
      <c r="E824" s="54"/>
      <c r="F824" s="52" t="str">
        <f>IF(INDEX(I.Performance.StartRange,754)="","",INDEX(I.Performance.StartRange,754))</f>
        <v/>
      </c>
      <c r="G824" s="54"/>
      <c r="H824" s="52" t="str">
        <f>IF(AND(I.Compliance.FulfilledPerformance&gt;0,I.Performance.RangeCount&gt;=754,F824=""),"Incomplete","Complete")</f>
        <v>Complete</v>
      </c>
      <c r="I824" s="55" t="s">
        <v>1022</v>
      </c>
    </row>
    <row r="825" spans="2:9" ht="15" customHeight="1" x14ac:dyDescent="0.25">
      <c r="B825" s="51" t="s">
        <v>124</v>
      </c>
      <c r="C825" s="52">
        <v>755</v>
      </c>
      <c r="D825" s="53" t="s">
        <v>4326</v>
      </c>
      <c r="E825" s="54"/>
      <c r="F825" s="52" t="str">
        <f>IF(INDEX(I.Performance.StartRange,755)="","",INDEX(I.Performance.StartRange,755))</f>
        <v/>
      </c>
      <c r="G825" s="54"/>
      <c r="H825" s="52" t="str">
        <f>IF(AND(I.Compliance.FulfilledPerformance&gt;0,I.Performance.RangeCount&gt;=755,F825=""),"Incomplete","Complete")</f>
        <v>Complete</v>
      </c>
      <c r="I825" s="55" t="s">
        <v>1023</v>
      </c>
    </row>
    <row r="826" spans="2:9" ht="15" customHeight="1" x14ac:dyDescent="0.25">
      <c r="B826" s="51" t="s">
        <v>124</v>
      </c>
      <c r="C826" s="52">
        <v>756</v>
      </c>
      <c r="D826" s="53" t="s">
        <v>4326</v>
      </c>
      <c r="E826" s="54"/>
      <c r="F826" s="52" t="str">
        <f>IF(INDEX(I.Performance.StartRange,756)="","",INDEX(I.Performance.StartRange,756))</f>
        <v/>
      </c>
      <c r="G826" s="54"/>
      <c r="H826" s="52" t="str">
        <f>IF(AND(I.Compliance.FulfilledPerformance&gt;0,I.Performance.RangeCount&gt;=756,F826=""),"Incomplete","Complete")</f>
        <v>Complete</v>
      </c>
      <c r="I826" s="55" t="s">
        <v>1024</v>
      </c>
    </row>
    <row r="827" spans="2:9" ht="15" customHeight="1" x14ac:dyDescent="0.25">
      <c r="B827" s="51" t="s">
        <v>124</v>
      </c>
      <c r="C827" s="52">
        <v>757</v>
      </c>
      <c r="D827" s="53" t="s">
        <v>4326</v>
      </c>
      <c r="E827" s="54"/>
      <c r="F827" s="52" t="str">
        <f>IF(INDEX(I.Performance.StartRange,757)="","",INDEX(I.Performance.StartRange,757))</f>
        <v/>
      </c>
      <c r="G827" s="54"/>
      <c r="H827" s="52" t="str">
        <f>IF(AND(I.Compliance.FulfilledPerformance&gt;0,I.Performance.RangeCount&gt;=757,F827=""),"Incomplete","Complete")</f>
        <v>Complete</v>
      </c>
      <c r="I827" s="55" t="s">
        <v>1025</v>
      </c>
    </row>
    <row r="828" spans="2:9" ht="15" customHeight="1" x14ac:dyDescent="0.25">
      <c r="B828" s="51" t="s">
        <v>124</v>
      </c>
      <c r="C828" s="52">
        <v>758</v>
      </c>
      <c r="D828" s="53" t="s">
        <v>4326</v>
      </c>
      <c r="E828" s="54"/>
      <c r="F828" s="52" t="str">
        <f>IF(INDEX(I.Performance.StartRange,758)="","",INDEX(I.Performance.StartRange,758))</f>
        <v/>
      </c>
      <c r="G828" s="54"/>
      <c r="H828" s="52" t="str">
        <f>IF(AND(I.Compliance.FulfilledPerformance&gt;0,I.Performance.RangeCount&gt;=758,F828=""),"Incomplete","Complete")</f>
        <v>Complete</v>
      </c>
      <c r="I828" s="55" t="s">
        <v>1026</v>
      </c>
    </row>
    <row r="829" spans="2:9" ht="15" customHeight="1" x14ac:dyDescent="0.25">
      <c r="B829" s="51" t="s">
        <v>124</v>
      </c>
      <c r="C829" s="52">
        <v>759</v>
      </c>
      <c r="D829" s="53" t="s">
        <v>4326</v>
      </c>
      <c r="E829" s="54"/>
      <c r="F829" s="52" t="str">
        <f>IF(INDEX(I.Performance.StartRange,759)="","",INDEX(I.Performance.StartRange,759))</f>
        <v/>
      </c>
      <c r="G829" s="54"/>
      <c r="H829" s="52" t="str">
        <f>IF(AND(I.Compliance.FulfilledPerformance&gt;0,I.Performance.RangeCount&gt;=759,F829=""),"Incomplete","Complete")</f>
        <v>Complete</v>
      </c>
      <c r="I829" s="55" t="s">
        <v>1027</v>
      </c>
    </row>
    <row r="830" spans="2:9" ht="15" customHeight="1" x14ac:dyDescent="0.25">
      <c r="B830" s="51" t="s">
        <v>124</v>
      </c>
      <c r="C830" s="52">
        <v>760</v>
      </c>
      <c r="D830" s="53" t="s">
        <v>4326</v>
      </c>
      <c r="E830" s="54"/>
      <c r="F830" s="52" t="str">
        <f>IF(INDEX(I.Performance.StartRange,760)="","",INDEX(I.Performance.StartRange,760))</f>
        <v/>
      </c>
      <c r="G830" s="54"/>
      <c r="H830" s="52" t="str">
        <f>IF(AND(I.Compliance.FulfilledPerformance&gt;0,I.Performance.RangeCount&gt;=760,F830=""),"Incomplete","Complete")</f>
        <v>Complete</v>
      </c>
      <c r="I830" s="55" t="s">
        <v>1028</v>
      </c>
    </row>
    <row r="831" spans="2:9" ht="15" customHeight="1" x14ac:dyDescent="0.25">
      <c r="B831" s="51" t="s">
        <v>124</v>
      </c>
      <c r="C831" s="52">
        <v>761</v>
      </c>
      <c r="D831" s="53" t="s">
        <v>4326</v>
      </c>
      <c r="E831" s="54"/>
      <c r="F831" s="52" t="str">
        <f>IF(INDEX(I.Performance.StartRange,761)="","",INDEX(I.Performance.StartRange,761))</f>
        <v/>
      </c>
      <c r="G831" s="54"/>
      <c r="H831" s="52" t="str">
        <f>IF(AND(I.Compliance.FulfilledPerformance&gt;0,I.Performance.RangeCount&gt;=761,F831=""),"Incomplete","Complete")</f>
        <v>Complete</v>
      </c>
      <c r="I831" s="55" t="s">
        <v>1029</v>
      </c>
    </row>
    <row r="832" spans="2:9" ht="15" customHeight="1" x14ac:dyDescent="0.25">
      <c r="B832" s="51" t="s">
        <v>124</v>
      </c>
      <c r="C832" s="52">
        <v>762</v>
      </c>
      <c r="D832" s="53" t="s">
        <v>4326</v>
      </c>
      <c r="E832" s="54"/>
      <c r="F832" s="52" t="str">
        <f>IF(INDEX(I.Performance.StartRange,762)="","",INDEX(I.Performance.StartRange,762))</f>
        <v/>
      </c>
      <c r="G832" s="54"/>
      <c r="H832" s="52" t="str">
        <f>IF(AND(I.Compliance.FulfilledPerformance&gt;0,I.Performance.RangeCount&gt;=762,F832=""),"Incomplete","Complete")</f>
        <v>Complete</v>
      </c>
      <c r="I832" s="55" t="s">
        <v>1030</v>
      </c>
    </row>
    <row r="833" spans="2:9" ht="15" customHeight="1" x14ac:dyDescent="0.25">
      <c r="B833" s="51" t="s">
        <v>124</v>
      </c>
      <c r="C833" s="52">
        <v>763</v>
      </c>
      <c r="D833" s="53" t="s">
        <v>4326</v>
      </c>
      <c r="E833" s="54"/>
      <c r="F833" s="52" t="str">
        <f>IF(INDEX(I.Performance.StartRange,763)="","",INDEX(I.Performance.StartRange,763))</f>
        <v/>
      </c>
      <c r="G833" s="54"/>
      <c r="H833" s="52" t="str">
        <f>IF(AND(I.Compliance.FulfilledPerformance&gt;0,I.Performance.RangeCount&gt;=763,F833=""),"Incomplete","Complete")</f>
        <v>Complete</v>
      </c>
      <c r="I833" s="55" t="s">
        <v>1031</v>
      </c>
    </row>
    <row r="834" spans="2:9" ht="15" customHeight="1" x14ac:dyDescent="0.25">
      <c r="B834" s="51" t="s">
        <v>124</v>
      </c>
      <c r="C834" s="52">
        <v>764</v>
      </c>
      <c r="D834" s="53" t="s">
        <v>4326</v>
      </c>
      <c r="E834" s="54"/>
      <c r="F834" s="52" t="str">
        <f>IF(INDEX(I.Performance.StartRange,764)="","",INDEX(I.Performance.StartRange,764))</f>
        <v/>
      </c>
      <c r="G834" s="54"/>
      <c r="H834" s="52" t="str">
        <f>IF(AND(I.Compliance.FulfilledPerformance&gt;0,I.Performance.RangeCount&gt;=764,F834=""),"Incomplete","Complete")</f>
        <v>Complete</v>
      </c>
      <c r="I834" s="55" t="s">
        <v>1032</v>
      </c>
    </row>
    <row r="835" spans="2:9" ht="15" customHeight="1" x14ac:dyDescent="0.25">
      <c r="B835" s="51" t="s">
        <v>124</v>
      </c>
      <c r="C835" s="52">
        <v>765</v>
      </c>
      <c r="D835" s="53" t="s">
        <v>4326</v>
      </c>
      <c r="E835" s="54"/>
      <c r="F835" s="52" t="str">
        <f>IF(INDEX(I.Performance.StartRange,765)="","",INDEX(I.Performance.StartRange,765))</f>
        <v/>
      </c>
      <c r="G835" s="54"/>
      <c r="H835" s="52" t="str">
        <f>IF(AND(I.Compliance.FulfilledPerformance&gt;0,I.Performance.RangeCount&gt;=765,F835=""),"Incomplete","Complete")</f>
        <v>Complete</v>
      </c>
      <c r="I835" s="55" t="s">
        <v>1033</v>
      </c>
    </row>
    <row r="836" spans="2:9" ht="15" customHeight="1" x14ac:dyDescent="0.25">
      <c r="B836" s="51" t="s">
        <v>124</v>
      </c>
      <c r="C836" s="52">
        <v>766</v>
      </c>
      <c r="D836" s="53" t="s">
        <v>4326</v>
      </c>
      <c r="E836" s="54"/>
      <c r="F836" s="52" t="str">
        <f>IF(INDEX(I.Performance.StartRange,766)="","",INDEX(I.Performance.StartRange,766))</f>
        <v/>
      </c>
      <c r="G836" s="54"/>
      <c r="H836" s="52" t="str">
        <f>IF(AND(I.Compliance.FulfilledPerformance&gt;0,I.Performance.RangeCount&gt;=766,F836=""),"Incomplete","Complete")</f>
        <v>Complete</v>
      </c>
      <c r="I836" s="55" t="s">
        <v>1034</v>
      </c>
    </row>
    <row r="837" spans="2:9" ht="15" customHeight="1" x14ac:dyDescent="0.25">
      <c r="B837" s="51" t="s">
        <v>124</v>
      </c>
      <c r="C837" s="52">
        <v>767</v>
      </c>
      <c r="D837" s="53" t="s">
        <v>4326</v>
      </c>
      <c r="E837" s="54"/>
      <c r="F837" s="52" t="str">
        <f>IF(INDEX(I.Performance.StartRange,767)="","",INDEX(I.Performance.StartRange,767))</f>
        <v/>
      </c>
      <c r="G837" s="54"/>
      <c r="H837" s="52" t="str">
        <f>IF(AND(I.Compliance.FulfilledPerformance&gt;0,I.Performance.RangeCount&gt;=767,F837=""),"Incomplete","Complete")</f>
        <v>Complete</v>
      </c>
      <c r="I837" s="55" t="s">
        <v>1035</v>
      </c>
    </row>
    <row r="838" spans="2:9" ht="15" customHeight="1" x14ac:dyDescent="0.25">
      <c r="B838" s="51" t="s">
        <v>124</v>
      </c>
      <c r="C838" s="52">
        <v>768</v>
      </c>
      <c r="D838" s="53" t="s">
        <v>4326</v>
      </c>
      <c r="E838" s="54"/>
      <c r="F838" s="52" t="str">
        <f>IF(INDEX(I.Performance.StartRange,768)="","",INDEX(I.Performance.StartRange,768))</f>
        <v/>
      </c>
      <c r="G838" s="54"/>
      <c r="H838" s="52" t="str">
        <f>IF(AND(I.Compliance.FulfilledPerformance&gt;0,I.Performance.RangeCount&gt;=768,F838=""),"Incomplete","Complete")</f>
        <v>Complete</v>
      </c>
      <c r="I838" s="55" t="s">
        <v>1036</v>
      </c>
    </row>
    <row r="839" spans="2:9" ht="15" customHeight="1" x14ac:dyDescent="0.25">
      <c r="B839" s="51" t="s">
        <v>124</v>
      </c>
      <c r="C839" s="52">
        <v>769</v>
      </c>
      <c r="D839" s="53" t="s">
        <v>4326</v>
      </c>
      <c r="E839" s="54"/>
      <c r="F839" s="52" t="str">
        <f>IF(INDEX(I.Performance.StartRange,769)="","",INDEX(I.Performance.StartRange,769))</f>
        <v/>
      </c>
      <c r="G839" s="54"/>
      <c r="H839" s="52" t="str">
        <f>IF(AND(I.Compliance.FulfilledPerformance&gt;0,I.Performance.RangeCount&gt;=769,F839=""),"Incomplete","Complete")</f>
        <v>Complete</v>
      </c>
      <c r="I839" s="55" t="s">
        <v>1037</v>
      </c>
    </row>
    <row r="840" spans="2:9" ht="15" customHeight="1" x14ac:dyDescent="0.25">
      <c r="B840" s="51" t="s">
        <v>124</v>
      </c>
      <c r="C840" s="52">
        <v>770</v>
      </c>
      <c r="D840" s="53" t="s">
        <v>4326</v>
      </c>
      <c r="E840" s="54"/>
      <c r="F840" s="52" t="str">
        <f>IF(INDEX(I.Performance.StartRange,770)="","",INDEX(I.Performance.StartRange,770))</f>
        <v/>
      </c>
      <c r="G840" s="54"/>
      <c r="H840" s="52" t="str">
        <f>IF(AND(I.Compliance.FulfilledPerformance&gt;0,I.Performance.RangeCount&gt;=770,F840=""),"Incomplete","Complete")</f>
        <v>Complete</v>
      </c>
      <c r="I840" s="55" t="s">
        <v>1038</v>
      </c>
    </row>
    <row r="841" spans="2:9" ht="15" customHeight="1" x14ac:dyDescent="0.25">
      <c r="B841" s="51" t="s">
        <v>124</v>
      </c>
      <c r="C841" s="52">
        <v>771</v>
      </c>
      <c r="D841" s="53" t="s">
        <v>4326</v>
      </c>
      <c r="E841" s="54"/>
      <c r="F841" s="52" t="str">
        <f>IF(INDEX(I.Performance.StartRange,771)="","",INDEX(I.Performance.StartRange,771))</f>
        <v/>
      </c>
      <c r="G841" s="54"/>
      <c r="H841" s="52" t="str">
        <f>IF(AND(I.Compliance.FulfilledPerformance&gt;0,I.Performance.RangeCount&gt;=771,F841=""),"Incomplete","Complete")</f>
        <v>Complete</v>
      </c>
      <c r="I841" s="55" t="s">
        <v>1039</v>
      </c>
    </row>
    <row r="842" spans="2:9" ht="15" customHeight="1" x14ac:dyDescent="0.25">
      <c r="B842" s="51" t="s">
        <v>124</v>
      </c>
      <c r="C842" s="52">
        <v>772</v>
      </c>
      <c r="D842" s="53" t="s">
        <v>4326</v>
      </c>
      <c r="E842" s="54"/>
      <c r="F842" s="52" t="str">
        <f>IF(INDEX(I.Performance.StartRange,772)="","",INDEX(I.Performance.StartRange,772))</f>
        <v/>
      </c>
      <c r="G842" s="54"/>
      <c r="H842" s="52" t="str">
        <f>IF(AND(I.Compliance.FulfilledPerformance&gt;0,I.Performance.RangeCount&gt;=772,F842=""),"Incomplete","Complete")</f>
        <v>Complete</v>
      </c>
      <c r="I842" s="55" t="s">
        <v>1040</v>
      </c>
    </row>
    <row r="843" spans="2:9" ht="15" customHeight="1" x14ac:dyDescent="0.25">
      <c r="B843" s="51" t="s">
        <v>124</v>
      </c>
      <c r="C843" s="52">
        <v>773</v>
      </c>
      <c r="D843" s="53" t="s">
        <v>4326</v>
      </c>
      <c r="E843" s="54"/>
      <c r="F843" s="52" t="str">
        <f>IF(INDEX(I.Performance.StartRange,773)="","",INDEX(I.Performance.StartRange,773))</f>
        <v/>
      </c>
      <c r="G843" s="54"/>
      <c r="H843" s="52" t="str">
        <f>IF(AND(I.Compliance.FulfilledPerformance&gt;0,I.Performance.RangeCount&gt;=773,F843=""),"Incomplete","Complete")</f>
        <v>Complete</v>
      </c>
      <c r="I843" s="55" t="s">
        <v>1041</v>
      </c>
    </row>
    <row r="844" spans="2:9" ht="15" customHeight="1" x14ac:dyDescent="0.25">
      <c r="B844" s="51" t="s">
        <v>124</v>
      </c>
      <c r="C844" s="52">
        <v>774</v>
      </c>
      <c r="D844" s="53" t="s">
        <v>4326</v>
      </c>
      <c r="E844" s="54"/>
      <c r="F844" s="52" t="str">
        <f>IF(INDEX(I.Performance.StartRange,774)="","",INDEX(I.Performance.StartRange,774))</f>
        <v/>
      </c>
      <c r="G844" s="54"/>
      <c r="H844" s="52" t="str">
        <f>IF(AND(I.Compliance.FulfilledPerformance&gt;0,I.Performance.RangeCount&gt;=774,F844=""),"Incomplete","Complete")</f>
        <v>Complete</v>
      </c>
      <c r="I844" s="55" t="s">
        <v>1042</v>
      </c>
    </row>
    <row r="845" spans="2:9" ht="15" customHeight="1" x14ac:dyDescent="0.25">
      <c r="B845" s="51" t="s">
        <v>124</v>
      </c>
      <c r="C845" s="52">
        <v>775</v>
      </c>
      <c r="D845" s="53" t="s">
        <v>4326</v>
      </c>
      <c r="E845" s="54"/>
      <c r="F845" s="52" t="str">
        <f>IF(INDEX(I.Performance.StartRange,775)="","",INDEX(I.Performance.StartRange,775))</f>
        <v/>
      </c>
      <c r="G845" s="54"/>
      <c r="H845" s="52" t="str">
        <f>IF(AND(I.Compliance.FulfilledPerformance&gt;0,I.Performance.RangeCount&gt;=775,F845=""),"Incomplete","Complete")</f>
        <v>Complete</v>
      </c>
      <c r="I845" s="55" t="s">
        <v>1043</v>
      </c>
    </row>
    <row r="846" spans="2:9" ht="15" customHeight="1" x14ac:dyDescent="0.25">
      <c r="B846" s="51" t="s">
        <v>124</v>
      </c>
      <c r="C846" s="52">
        <v>776</v>
      </c>
      <c r="D846" s="53" t="s">
        <v>4326</v>
      </c>
      <c r="E846" s="54"/>
      <c r="F846" s="52" t="str">
        <f>IF(INDEX(I.Performance.StartRange,776)="","",INDEX(I.Performance.StartRange,776))</f>
        <v/>
      </c>
      <c r="G846" s="54"/>
      <c r="H846" s="52" t="str">
        <f>IF(AND(I.Compliance.FulfilledPerformance&gt;0,I.Performance.RangeCount&gt;=776,F846=""),"Incomplete","Complete")</f>
        <v>Complete</v>
      </c>
      <c r="I846" s="55" t="s">
        <v>1044</v>
      </c>
    </row>
    <row r="847" spans="2:9" ht="15" customHeight="1" x14ac:dyDescent="0.25">
      <c r="B847" s="51" t="s">
        <v>124</v>
      </c>
      <c r="C847" s="52">
        <v>777</v>
      </c>
      <c r="D847" s="53" t="s">
        <v>4326</v>
      </c>
      <c r="E847" s="54"/>
      <c r="F847" s="52" t="str">
        <f>IF(INDEX(I.Performance.StartRange,777)="","",INDEX(I.Performance.StartRange,777))</f>
        <v/>
      </c>
      <c r="G847" s="54"/>
      <c r="H847" s="52" t="str">
        <f>IF(AND(I.Compliance.FulfilledPerformance&gt;0,I.Performance.RangeCount&gt;=777,F847=""),"Incomplete","Complete")</f>
        <v>Complete</v>
      </c>
      <c r="I847" s="55" t="s">
        <v>1045</v>
      </c>
    </row>
    <row r="848" spans="2:9" ht="15" customHeight="1" x14ac:dyDescent="0.25">
      <c r="B848" s="51" t="s">
        <v>124</v>
      </c>
      <c r="C848" s="52">
        <v>778</v>
      </c>
      <c r="D848" s="53" t="s">
        <v>4326</v>
      </c>
      <c r="E848" s="54"/>
      <c r="F848" s="52" t="str">
        <f>IF(INDEX(I.Performance.StartRange,778)="","",INDEX(I.Performance.StartRange,778))</f>
        <v/>
      </c>
      <c r="G848" s="54"/>
      <c r="H848" s="52" t="str">
        <f>IF(AND(I.Compliance.FulfilledPerformance&gt;0,I.Performance.RangeCount&gt;=778,F848=""),"Incomplete","Complete")</f>
        <v>Complete</v>
      </c>
      <c r="I848" s="55" t="s">
        <v>1046</v>
      </c>
    </row>
    <row r="849" spans="2:9" ht="15" customHeight="1" x14ac:dyDescent="0.25">
      <c r="B849" s="51" t="s">
        <v>124</v>
      </c>
      <c r="C849" s="52">
        <v>779</v>
      </c>
      <c r="D849" s="53" t="s">
        <v>4326</v>
      </c>
      <c r="E849" s="54"/>
      <c r="F849" s="52" t="str">
        <f>IF(INDEX(I.Performance.StartRange,779)="","",INDEX(I.Performance.StartRange,779))</f>
        <v/>
      </c>
      <c r="G849" s="54"/>
      <c r="H849" s="52" t="str">
        <f>IF(AND(I.Compliance.FulfilledPerformance&gt;0,I.Performance.RangeCount&gt;=779,F849=""),"Incomplete","Complete")</f>
        <v>Complete</v>
      </c>
      <c r="I849" s="55" t="s">
        <v>1047</v>
      </c>
    </row>
    <row r="850" spans="2:9" ht="15" customHeight="1" x14ac:dyDescent="0.25">
      <c r="B850" s="51" t="s">
        <v>124</v>
      </c>
      <c r="C850" s="52">
        <v>780</v>
      </c>
      <c r="D850" s="53" t="s">
        <v>4326</v>
      </c>
      <c r="E850" s="54"/>
      <c r="F850" s="52" t="str">
        <f>IF(INDEX(I.Performance.StartRange,780)="","",INDEX(I.Performance.StartRange,780))</f>
        <v/>
      </c>
      <c r="G850" s="54"/>
      <c r="H850" s="52" t="str">
        <f>IF(AND(I.Compliance.FulfilledPerformance&gt;0,I.Performance.RangeCount&gt;=780,F850=""),"Incomplete","Complete")</f>
        <v>Complete</v>
      </c>
      <c r="I850" s="55" t="s">
        <v>1048</v>
      </c>
    </row>
    <row r="851" spans="2:9" ht="15" customHeight="1" x14ac:dyDescent="0.25">
      <c r="B851" s="51" t="s">
        <v>124</v>
      </c>
      <c r="C851" s="52">
        <v>781</v>
      </c>
      <c r="D851" s="53" t="s">
        <v>4326</v>
      </c>
      <c r="E851" s="54"/>
      <c r="F851" s="52" t="str">
        <f>IF(INDEX(I.Performance.StartRange,781)="","",INDEX(I.Performance.StartRange,781))</f>
        <v/>
      </c>
      <c r="G851" s="54"/>
      <c r="H851" s="52" t="str">
        <f>IF(AND(I.Compliance.FulfilledPerformance&gt;0,I.Performance.RangeCount&gt;=781,F851=""),"Incomplete","Complete")</f>
        <v>Complete</v>
      </c>
      <c r="I851" s="55" t="s">
        <v>1049</v>
      </c>
    </row>
    <row r="852" spans="2:9" ht="15" customHeight="1" x14ac:dyDescent="0.25">
      <c r="B852" s="51" t="s">
        <v>124</v>
      </c>
      <c r="C852" s="52">
        <v>782</v>
      </c>
      <c r="D852" s="53" t="s">
        <v>4326</v>
      </c>
      <c r="E852" s="54"/>
      <c r="F852" s="52" t="str">
        <f>IF(INDEX(I.Performance.StartRange,782)="","",INDEX(I.Performance.StartRange,782))</f>
        <v/>
      </c>
      <c r="G852" s="54"/>
      <c r="H852" s="52" t="str">
        <f>IF(AND(I.Compliance.FulfilledPerformance&gt;0,I.Performance.RangeCount&gt;=782,F852=""),"Incomplete","Complete")</f>
        <v>Complete</v>
      </c>
      <c r="I852" s="55" t="s">
        <v>1050</v>
      </c>
    </row>
    <row r="853" spans="2:9" ht="15" customHeight="1" x14ac:dyDescent="0.25">
      <c r="B853" s="51" t="s">
        <v>124</v>
      </c>
      <c r="C853" s="52">
        <v>783</v>
      </c>
      <c r="D853" s="53" t="s">
        <v>4326</v>
      </c>
      <c r="E853" s="54"/>
      <c r="F853" s="52" t="str">
        <f>IF(INDEX(I.Performance.StartRange,783)="","",INDEX(I.Performance.StartRange,783))</f>
        <v/>
      </c>
      <c r="G853" s="54"/>
      <c r="H853" s="52" t="str">
        <f>IF(AND(I.Compliance.FulfilledPerformance&gt;0,I.Performance.RangeCount&gt;=783,F853=""),"Incomplete","Complete")</f>
        <v>Complete</v>
      </c>
      <c r="I853" s="55" t="s">
        <v>1051</v>
      </c>
    </row>
    <row r="854" spans="2:9" ht="15" customHeight="1" x14ac:dyDescent="0.25">
      <c r="B854" s="51" t="s">
        <v>124</v>
      </c>
      <c r="C854" s="52">
        <v>784</v>
      </c>
      <c r="D854" s="53" t="s">
        <v>4326</v>
      </c>
      <c r="E854" s="54"/>
      <c r="F854" s="52" t="str">
        <f>IF(INDEX(I.Performance.StartRange,784)="","",INDEX(I.Performance.StartRange,784))</f>
        <v/>
      </c>
      <c r="G854" s="54"/>
      <c r="H854" s="52" t="str">
        <f>IF(AND(I.Compliance.FulfilledPerformance&gt;0,I.Performance.RangeCount&gt;=784,F854=""),"Incomplete","Complete")</f>
        <v>Complete</v>
      </c>
      <c r="I854" s="55" t="s">
        <v>1052</v>
      </c>
    </row>
    <row r="855" spans="2:9" ht="15" customHeight="1" x14ac:dyDescent="0.25">
      <c r="B855" s="51" t="s">
        <v>124</v>
      </c>
      <c r="C855" s="52">
        <v>785</v>
      </c>
      <c r="D855" s="53" t="s">
        <v>4326</v>
      </c>
      <c r="E855" s="54"/>
      <c r="F855" s="52" t="str">
        <f>IF(INDEX(I.Performance.StartRange,785)="","",INDEX(I.Performance.StartRange,785))</f>
        <v/>
      </c>
      <c r="G855" s="54"/>
      <c r="H855" s="52" t="str">
        <f>IF(AND(I.Compliance.FulfilledPerformance&gt;0,I.Performance.RangeCount&gt;=785,F855=""),"Incomplete","Complete")</f>
        <v>Complete</v>
      </c>
      <c r="I855" s="55" t="s">
        <v>1053</v>
      </c>
    </row>
    <row r="856" spans="2:9" ht="15" customHeight="1" x14ac:dyDescent="0.25">
      <c r="B856" s="51" t="s">
        <v>124</v>
      </c>
      <c r="C856" s="52">
        <v>786</v>
      </c>
      <c r="D856" s="53" t="s">
        <v>4326</v>
      </c>
      <c r="E856" s="54"/>
      <c r="F856" s="52" t="str">
        <f>IF(INDEX(I.Performance.StartRange,786)="","",INDEX(I.Performance.StartRange,786))</f>
        <v/>
      </c>
      <c r="G856" s="54"/>
      <c r="H856" s="52" t="str">
        <f>IF(AND(I.Compliance.FulfilledPerformance&gt;0,I.Performance.RangeCount&gt;=786,F856=""),"Incomplete","Complete")</f>
        <v>Complete</v>
      </c>
      <c r="I856" s="55" t="s">
        <v>1054</v>
      </c>
    </row>
    <row r="857" spans="2:9" ht="15" customHeight="1" x14ac:dyDescent="0.25">
      <c r="B857" s="51" t="s">
        <v>124</v>
      </c>
      <c r="C857" s="52">
        <v>787</v>
      </c>
      <c r="D857" s="53" t="s">
        <v>4326</v>
      </c>
      <c r="E857" s="54"/>
      <c r="F857" s="52" t="str">
        <f>IF(INDEX(I.Performance.StartRange,787)="","",INDEX(I.Performance.StartRange,787))</f>
        <v/>
      </c>
      <c r="G857" s="54"/>
      <c r="H857" s="52" t="str">
        <f>IF(AND(I.Compliance.FulfilledPerformance&gt;0,I.Performance.RangeCount&gt;=787,F857=""),"Incomplete","Complete")</f>
        <v>Complete</v>
      </c>
      <c r="I857" s="55" t="s">
        <v>1055</v>
      </c>
    </row>
    <row r="858" spans="2:9" ht="15" customHeight="1" x14ac:dyDescent="0.25">
      <c r="B858" s="51" t="s">
        <v>124</v>
      </c>
      <c r="C858" s="52">
        <v>788</v>
      </c>
      <c r="D858" s="53" t="s">
        <v>4326</v>
      </c>
      <c r="E858" s="54"/>
      <c r="F858" s="52" t="str">
        <f>IF(INDEX(I.Performance.StartRange,788)="","",INDEX(I.Performance.StartRange,788))</f>
        <v/>
      </c>
      <c r="G858" s="54"/>
      <c r="H858" s="52" t="str">
        <f>IF(AND(I.Compliance.FulfilledPerformance&gt;0,I.Performance.RangeCount&gt;=788,F858=""),"Incomplete","Complete")</f>
        <v>Complete</v>
      </c>
      <c r="I858" s="55" t="s">
        <v>1056</v>
      </c>
    </row>
    <row r="859" spans="2:9" ht="15" customHeight="1" x14ac:dyDescent="0.25">
      <c r="B859" s="51" t="s">
        <v>124</v>
      </c>
      <c r="C859" s="52">
        <v>789</v>
      </c>
      <c r="D859" s="53" t="s">
        <v>4326</v>
      </c>
      <c r="E859" s="54"/>
      <c r="F859" s="52" t="str">
        <f>IF(INDEX(I.Performance.StartRange,789)="","",INDEX(I.Performance.StartRange,789))</f>
        <v/>
      </c>
      <c r="G859" s="54"/>
      <c r="H859" s="52" t="str">
        <f>IF(AND(I.Compliance.FulfilledPerformance&gt;0,I.Performance.RangeCount&gt;=789,F859=""),"Incomplete","Complete")</f>
        <v>Complete</v>
      </c>
      <c r="I859" s="55" t="s">
        <v>1057</v>
      </c>
    </row>
    <row r="860" spans="2:9" ht="15" customHeight="1" x14ac:dyDescent="0.25">
      <c r="B860" s="51" t="s">
        <v>124</v>
      </c>
      <c r="C860" s="52">
        <v>790</v>
      </c>
      <c r="D860" s="53" t="s">
        <v>4326</v>
      </c>
      <c r="E860" s="54"/>
      <c r="F860" s="52" t="str">
        <f>IF(INDEX(I.Performance.StartRange,790)="","",INDEX(I.Performance.StartRange,790))</f>
        <v/>
      </c>
      <c r="G860" s="54"/>
      <c r="H860" s="52" t="str">
        <f>IF(AND(I.Compliance.FulfilledPerformance&gt;0,I.Performance.RangeCount&gt;=790,F860=""),"Incomplete","Complete")</f>
        <v>Complete</v>
      </c>
      <c r="I860" s="55" t="s">
        <v>1058</v>
      </c>
    </row>
    <row r="861" spans="2:9" ht="15" customHeight="1" x14ac:dyDescent="0.25">
      <c r="B861" s="51" t="s">
        <v>124</v>
      </c>
      <c r="C861" s="52">
        <v>791</v>
      </c>
      <c r="D861" s="53" t="s">
        <v>4326</v>
      </c>
      <c r="E861" s="54"/>
      <c r="F861" s="52" t="str">
        <f>IF(INDEX(I.Performance.StartRange,791)="","",INDEX(I.Performance.StartRange,791))</f>
        <v/>
      </c>
      <c r="G861" s="54"/>
      <c r="H861" s="52" t="str">
        <f>IF(AND(I.Compliance.FulfilledPerformance&gt;0,I.Performance.RangeCount&gt;=791,F861=""),"Incomplete","Complete")</f>
        <v>Complete</v>
      </c>
      <c r="I861" s="55" t="s">
        <v>1059</v>
      </c>
    </row>
    <row r="862" spans="2:9" ht="15" customHeight="1" x14ac:dyDescent="0.25">
      <c r="B862" s="51" t="s">
        <v>124</v>
      </c>
      <c r="C862" s="52">
        <v>792</v>
      </c>
      <c r="D862" s="53" t="s">
        <v>4326</v>
      </c>
      <c r="E862" s="54"/>
      <c r="F862" s="52" t="str">
        <f>IF(INDEX(I.Performance.StartRange,792)="","",INDEX(I.Performance.StartRange,792))</f>
        <v/>
      </c>
      <c r="G862" s="54"/>
      <c r="H862" s="52" t="str">
        <f>IF(AND(I.Compliance.FulfilledPerformance&gt;0,I.Performance.RangeCount&gt;=792,F862=""),"Incomplete","Complete")</f>
        <v>Complete</v>
      </c>
      <c r="I862" s="55" t="s">
        <v>1060</v>
      </c>
    </row>
    <row r="863" spans="2:9" ht="15" customHeight="1" x14ac:dyDescent="0.25">
      <c r="B863" s="51" t="s">
        <v>124</v>
      </c>
      <c r="C863" s="52">
        <v>793</v>
      </c>
      <c r="D863" s="53" t="s">
        <v>4326</v>
      </c>
      <c r="E863" s="54"/>
      <c r="F863" s="52" t="str">
        <f>IF(INDEX(I.Performance.StartRange,793)="","",INDEX(I.Performance.StartRange,793))</f>
        <v/>
      </c>
      <c r="G863" s="54"/>
      <c r="H863" s="52" t="str">
        <f>IF(AND(I.Compliance.FulfilledPerformance&gt;0,I.Performance.RangeCount&gt;=793,F863=""),"Incomplete","Complete")</f>
        <v>Complete</v>
      </c>
      <c r="I863" s="55" t="s">
        <v>1061</v>
      </c>
    </row>
    <row r="864" spans="2:9" ht="15" customHeight="1" x14ac:dyDescent="0.25">
      <c r="B864" s="51" t="s">
        <v>124</v>
      </c>
      <c r="C864" s="52">
        <v>794</v>
      </c>
      <c r="D864" s="53" t="s">
        <v>4326</v>
      </c>
      <c r="E864" s="54"/>
      <c r="F864" s="52" t="str">
        <f>IF(INDEX(I.Performance.StartRange,794)="","",INDEX(I.Performance.StartRange,794))</f>
        <v/>
      </c>
      <c r="G864" s="54"/>
      <c r="H864" s="52" t="str">
        <f>IF(AND(I.Compliance.FulfilledPerformance&gt;0,I.Performance.RangeCount&gt;=794,F864=""),"Incomplete","Complete")</f>
        <v>Complete</v>
      </c>
      <c r="I864" s="55" t="s">
        <v>1062</v>
      </c>
    </row>
    <row r="865" spans="2:9" ht="15" customHeight="1" x14ac:dyDescent="0.25">
      <c r="B865" s="51" t="s">
        <v>124</v>
      </c>
      <c r="C865" s="52">
        <v>795</v>
      </c>
      <c r="D865" s="53" t="s">
        <v>4326</v>
      </c>
      <c r="E865" s="54"/>
      <c r="F865" s="52" t="str">
        <f>IF(INDEX(I.Performance.StartRange,795)="","",INDEX(I.Performance.StartRange,795))</f>
        <v/>
      </c>
      <c r="G865" s="54"/>
      <c r="H865" s="52" t="str">
        <f>IF(AND(I.Compliance.FulfilledPerformance&gt;0,I.Performance.RangeCount&gt;=795,F865=""),"Incomplete","Complete")</f>
        <v>Complete</v>
      </c>
      <c r="I865" s="55" t="s">
        <v>1063</v>
      </c>
    </row>
    <row r="866" spans="2:9" ht="15" customHeight="1" x14ac:dyDescent="0.25">
      <c r="B866" s="51" t="s">
        <v>124</v>
      </c>
      <c r="C866" s="52">
        <v>796</v>
      </c>
      <c r="D866" s="53" t="s">
        <v>4326</v>
      </c>
      <c r="E866" s="54"/>
      <c r="F866" s="52" t="str">
        <f>IF(INDEX(I.Performance.StartRange,796)="","",INDEX(I.Performance.StartRange,796))</f>
        <v/>
      </c>
      <c r="G866" s="54"/>
      <c r="H866" s="52" t="str">
        <f>IF(AND(I.Compliance.FulfilledPerformance&gt;0,I.Performance.RangeCount&gt;=796,F866=""),"Incomplete","Complete")</f>
        <v>Complete</v>
      </c>
      <c r="I866" s="55" t="s">
        <v>1064</v>
      </c>
    </row>
    <row r="867" spans="2:9" ht="15" customHeight="1" x14ac:dyDescent="0.25">
      <c r="B867" s="51" t="s">
        <v>124</v>
      </c>
      <c r="C867" s="52">
        <v>797</v>
      </c>
      <c r="D867" s="53" t="s">
        <v>4326</v>
      </c>
      <c r="E867" s="54"/>
      <c r="F867" s="52" t="str">
        <f>IF(INDEX(I.Performance.StartRange,797)="","",INDEX(I.Performance.StartRange,797))</f>
        <v/>
      </c>
      <c r="G867" s="54"/>
      <c r="H867" s="52" t="str">
        <f>IF(AND(I.Compliance.FulfilledPerformance&gt;0,I.Performance.RangeCount&gt;=797,F867=""),"Incomplete","Complete")</f>
        <v>Complete</v>
      </c>
      <c r="I867" s="55" t="s">
        <v>1065</v>
      </c>
    </row>
    <row r="868" spans="2:9" ht="15" customHeight="1" x14ac:dyDescent="0.25">
      <c r="B868" s="51" t="s">
        <v>124</v>
      </c>
      <c r="C868" s="52">
        <v>798</v>
      </c>
      <c r="D868" s="53" t="s">
        <v>4326</v>
      </c>
      <c r="E868" s="54"/>
      <c r="F868" s="52" t="str">
        <f>IF(INDEX(I.Performance.StartRange,798)="","",INDEX(I.Performance.StartRange,798))</f>
        <v/>
      </c>
      <c r="G868" s="54"/>
      <c r="H868" s="52" t="str">
        <f>IF(AND(I.Compliance.FulfilledPerformance&gt;0,I.Performance.RangeCount&gt;=798,F868=""),"Incomplete","Complete")</f>
        <v>Complete</v>
      </c>
      <c r="I868" s="55" t="s">
        <v>1066</v>
      </c>
    </row>
    <row r="869" spans="2:9" ht="15" customHeight="1" x14ac:dyDescent="0.25">
      <c r="B869" s="51" t="s">
        <v>124</v>
      </c>
      <c r="C869" s="52">
        <v>799</v>
      </c>
      <c r="D869" s="53" t="s">
        <v>4326</v>
      </c>
      <c r="E869" s="54"/>
      <c r="F869" s="52" t="str">
        <f>IF(INDEX(I.Performance.StartRange,799)="","",INDEX(I.Performance.StartRange,799))</f>
        <v/>
      </c>
      <c r="G869" s="54"/>
      <c r="H869" s="52" t="str">
        <f>IF(AND(I.Compliance.FulfilledPerformance&gt;0,I.Performance.RangeCount&gt;=799,F869=""),"Incomplete","Complete")</f>
        <v>Complete</v>
      </c>
      <c r="I869" s="55" t="s">
        <v>1067</v>
      </c>
    </row>
    <row r="870" spans="2:9" ht="15" customHeight="1" x14ac:dyDescent="0.25">
      <c r="B870" s="51" t="s">
        <v>124</v>
      </c>
      <c r="C870" s="52">
        <v>800</v>
      </c>
      <c r="D870" s="53" t="s">
        <v>4326</v>
      </c>
      <c r="E870" s="54"/>
      <c r="F870" s="52" t="str">
        <f>IF(INDEX(I.Performance.StartRange,800)="","",INDEX(I.Performance.StartRange,800))</f>
        <v/>
      </c>
      <c r="G870" s="54"/>
      <c r="H870" s="52" t="str">
        <f>IF(AND(I.Compliance.FulfilledPerformance&gt;0,I.Performance.RangeCount&gt;=800,F870=""),"Incomplete","Complete")</f>
        <v>Complete</v>
      </c>
      <c r="I870" s="55" t="s">
        <v>1068</v>
      </c>
    </row>
    <row r="871" spans="2:9" ht="15" customHeight="1" x14ac:dyDescent="0.25">
      <c r="B871" s="51" t="s">
        <v>124</v>
      </c>
      <c r="C871" s="52">
        <v>801</v>
      </c>
      <c r="D871" s="53" t="s">
        <v>4326</v>
      </c>
      <c r="E871" s="54"/>
      <c r="F871" s="52" t="str">
        <f>IF(INDEX(I.Performance.StartRange,801)="","",INDEX(I.Performance.StartRange,801))</f>
        <v/>
      </c>
      <c r="G871" s="54"/>
      <c r="H871" s="52" t="str">
        <f>IF(AND(I.Compliance.FulfilledPerformance&gt;0,I.Performance.RangeCount&gt;=801,F871=""),"Incomplete","Complete")</f>
        <v>Complete</v>
      </c>
      <c r="I871" s="55" t="s">
        <v>1069</v>
      </c>
    </row>
    <row r="872" spans="2:9" ht="15" customHeight="1" x14ac:dyDescent="0.25">
      <c r="B872" s="51" t="s">
        <v>124</v>
      </c>
      <c r="C872" s="52">
        <v>802</v>
      </c>
      <c r="D872" s="53" t="s">
        <v>4326</v>
      </c>
      <c r="E872" s="54"/>
      <c r="F872" s="52" t="str">
        <f>IF(INDEX(I.Performance.StartRange,802)="","",INDEX(I.Performance.StartRange,802))</f>
        <v/>
      </c>
      <c r="G872" s="54"/>
      <c r="H872" s="52" t="str">
        <f>IF(AND(I.Compliance.FulfilledPerformance&gt;0,I.Performance.RangeCount&gt;=802,F872=""),"Incomplete","Complete")</f>
        <v>Complete</v>
      </c>
      <c r="I872" s="55" t="s">
        <v>1070</v>
      </c>
    </row>
    <row r="873" spans="2:9" ht="15" customHeight="1" x14ac:dyDescent="0.25">
      <c r="B873" s="51" t="s">
        <v>124</v>
      </c>
      <c r="C873" s="52">
        <v>803</v>
      </c>
      <c r="D873" s="53" t="s">
        <v>4326</v>
      </c>
      <c r="E873" s="54"/>
      <c r="F873" s="52" t="str">
        <f>IF(INDEX(I.Performance.StartRange,803)="","",INDEX(I.Performance.StartRange,803))</f>
        <v/>
      </c>
      <c r="G873" s="54"/>
      <c r="H873" s="52" t="str">
        <f>IF(AND(I.Compliance.FulfilledPerformance&gt;0,I.Performance.RangeCount&gt;=803,F873=""),"Incomplete","Complete")</f>
        <v>Complete</v>
      </c>
      <c r="I873" s="55" t="s">
        <v>1071</v>
      </c>
    </row>
    <row r="874" spans="2:9" ht="15" customHeight="1" x14ac:dyDescent="0.25">
      <c r="B874" s="51" t="s">
        <v>124</v>
      </c>
      <c r="C874" s="52">
        <v>804</v>
      </c>
      <c r="D874" s="53" t="s">
        <v>4326</v>
      </c>
      <c r="E874" s="54"/>
      <c r="F874" s="52" t="str">
        <f>IF(INDEX(I.Performance.StartRange,804)="","",INDEX(I.Performance.StartRange,804))</f>
        <v/>
      </c>
      <c r="G874" s="54"/>
      <c r="H874" s="52" t="str">
        <f>IF(AND(I.Compliance.FulfilledPerformance&gt;0,I.Performance.RangeCount&gt;=804,F874=""),"Incomplete","Complete")</f>
        <v>Complete</v>
      </c>
      <c r="I874" s="55" t="s">
        <v>1072</v>
      </c>
    </row>
    <row r="875" spans="2:9" ht="15" customHeight="1" x14ac:dyDescent="0.25">
      <c r="B875" s="51" t="s">
        <v>124</v>
      </c>
      <c r="C875" s="52">
        <v>805</v>
      </c>
      <c r="D875" s="53" t="s">
        <v>4326</v>
      </c>
      <c r="E875" s="54"/>
      <c r="F875" s="52" t="str">
        <f>IF(INDEX(I.Performance.StartRange,805)="","",INDEX(I.Performance.StartRange,805))</f>
        <v/>
      </c>
      <c r="G875" s="54"/>
      <c r="H875" s="52" t="str">
        <f>IF(AND(I.Compliance.FulfilledPerformance&gt;0,I.Performance.RangeCount&gt;=805,F875=""),"Incomplete","Complete")</f>
        <v>Complete</v>
      </c>
      <c r="I875" s="55" t="s">
        <v>1073</v>
      </c>
    </row>
    <row r="876" spans="2:9" ht="15" customHeight="1" x14ac:dyDescent="0.25">
      <c r="B876" s="51" t="s">
        <v>124</v>
      </c>
      <c r="C876" s="52">
        <v>806</v>
      </c>
      <c r="D876" s="53" t="s">
        <v>4326</v>
      </c>
      <c r="E876" s="54"/>
      <c r="F876" s="52" t="str">
        <f>IF(INDEX(I.Performance.StartRange,806)="","",INDEX(I.Performance.StartRange,806))</f>
        <v/>
      </c>
      <c r="G876" s="54"/>
      <c r="H876" s="52" t="str">
        <f>IF(AND(I.Compliance.FulfilledPerformance&gt;0,I.Performance.RangeCount&gt;=806,F876=""),"Incomplete","Complete")</f>
        <v>Complete</v>
      </c>
      <c r="I876" s="55" t="s">
        <v>1074</v>
      </c>
    </row>
    <row r="877" spans="2:9" ht="15" customHeight="1" x14ac:dyDescent="0.25">
      <c r="B877" s="51" t="s">
        <v>124</v>
      </c>
      <c r="C877" s="52">
        <v>807</v>
      </c>
      <c r="D877" s="53" t="s">
        <v>4326</v>
      </c>
      <c r="E877" s="54"/>
      <c r="F877" s="52" t="str">
        <f>IF(INDEX(I.Performance.StartRange,807)="","",INDEX(I.Performance.StartRange,807))</f>
        <v/>
      </c>
      <c r="G877" s="54"/>
      <c r="H877" s="52" t="str">
        <f>IF(AND(I.Compliance.FulfilledPerformance&gt;0,I.Performance.RangeCount&gt;=807,F877=""),"Incomplete","Complete")</f>
        <v>Complete</v>
      </c>
      <c r="I877" s="55" t="s">
        <v>1075</v>
      </c>
    </row>
    <row r="878" spans="2:9" ht="15" customHeight="1" x14ac:dyDescent="0.25">
      <c r="B878" s="51" t="s">
        <v>124</v>
      </c>
      <c r="C878" s="52">
        <v>808</v>
      </c>
      <c r="D878" s="53" t="s">
        <v>4326</v>
      </c>
      <c r="E878" s="54"/>
      <c r="F878" s="52" t="str">
        <f>IF(INDEX(I.Performance.StartRange,808)="","",INDEX(I.Performance.StartRange,808))</f>
        <v/>
      </c>
      <c r="G878" s="54"/>
      <c r="H878" s="52" t="str">
        <f>IF(AND(I.Compliance.FulfilledPerformance&gt;0,I.Performance.RangeCount&gt;=808,F878=""),"Incomplete","Complete")</f>
        <v>Complete</v>
      </c>
      <c r="I878" s="55" t="s">
        <v>1076</v>
      </c>
    </row>
    <row r="879" spans="2:9" ht="15" customHeight="1" x14ac:dyDescent="0.25">
      <c r="B879" s="51" t="s">
        <v>124</v>
      </c>
      <c r="C879" s="52">
        <v>809</v>
      </c>
      <c r="D879" s="53" t="s">
        <v>4326</v>
      </c>
      <c r="E879" s="54"/>
      <c r="F879" s="52" t="str">
        <f>IF(INDEX(I.Performance.StartRange,809)="","",INDEX(I.Performance.StartRange,809))</f>
        <v/>
      </c>
      <c r="G879" s="54"/>
      <c r="H879" s="52" t="str">
        <f>IF(AND(I.Compliance.FulfilledPerformance&gt;0,I.Performance.RangeCount&gt;=809,F879=""),"Incomplete","Complete")</f>
        <v>Complete</v>
      </c>
      <c r="I879" s="55" t="s">
        <v>1077</v>
      </c>
    </row>
    <row r="880" spans="2:9" ht="15" customHeight="1" x14ac:dyDescent="0.25">
      <c r="B880" s="51" t="s">
        <v>124</v>
      </c>
      <c r="C880" s="52">
        <v>810</v>
      </c>
      <c r="D880" s="53" t="s">
        <v>4326</v>
      </c>
      <c r="E880" s="54"/>
      <c r="F880" s="52" t="str">
        <f>IF(INDEX(I.Performance.StartRange,810)="","",INDEX(I.Performance.StartRange,810))</f>
        <v/>
      </c>
      <c r="G880" s="54"/>
      <c r="H880" s="52" t="str">
        <f>IF(AND(I.Compliance.FulfilledPerformance&gt;0,I.Performance.RangeCount&gt;=810,F880=""),"Incomplete","Complete")</f>
        <v>Complete</v>
      </c>
      <c r="I880" s="55" t="s">
        <v>1078</v>
      </c>
    </row>
    <row r="881" spans="2:9" ht="15" customHeight="1" x14ac:dyDescent="0.25">
      <c r="B881" s="51" t="s">
        <v>124</v>
      </c>
      <c r="C881" s="52">
        <v>811</v>
      </c>
      <c r="D881" s="53" t="s">
        <v>4326</v>
      </c>
      <c r="E881" s="54"/>
      <c r="F881" s="52" t="str">
        <f>IF(INDEX(I.Performance.StartRange,811)="","",INDEX(I.Performance.StartRange,811))</f>
        <v/>
      </c>
      <c r="G881" s="54"/>
      <c r="H881" s="52" t="str">
        <f>IF(AND(I.Compliance.FulfilledPerformance&gt;0,I.Performance.RangeCount&gt;=811,F881=""),"Incomplete","Complete")</f>
        <v>Complete</v>
      </c>
      <c r="I881" s="55" t="s">
        <v>1079</v>
      </c>
    </row>
    <row r="882" spans="2:9" ht="15" customHeight="1" x14ac:dyDescent="0.25">
      <c r="B882" s="51" t="s">
        <v>124</v>
      </c>
      <c r="C882" s="52">
        <v>812</v>
      </c>
      <c r="D882" s="53" t="s">
        <v>4326</v>
      </c>
      <c r="E882" s="54"/>
      <c r="F882" s="52" t="str">
        <f>IF(INDEX(I.Performance.StartRange,812)="","",INDEX(I.Performance.StartRange,812))</f>
        <v/>
      </c>
      <c r="G882" s="54"/>
      <c r="H882" s="52" t="str">
        <f>IF(AND(I.Compliance.FulfilledPerformance&gt;0,I.Performance.RangeCount&gt;=812,F882=""),"Incomplete","Complete")</f>
        <v>Complete</v>
      </c>
      <c r="I882" s="55" t="s">
        <v>1080</v>
      </c>
    </row>
    <row r="883" spans="2:9" ht="15" customHeight="1" x14ac:dyDescent="0.25">
      <c r="B883" s="51" t="s">
        <v>124</v>
      </c>
      <c r="C883" s="52">
        <v>813</v>
      </c>
      <c r="D883" s="53" t="s">
        <v>4326</v>
      </c>
      <c r="E883" s="54"/>
      <c r="F883" s="52" t="str">
        <f>IF(INDEX(I.Performance.StartRange,813)="","",INDEX(I.Performance.StartRange,813))</f>
        <v/>
      </c>
      <c r="G883" s="54"/>
      <c r="H883" s="52" t="str">
        <f>IF(AND(I.Compliance.FulfilledPerformance&gt;0,I.Performance.RangeCount&gt;=813,F883=""),"Incomplete","Complete")</f>
        <v>Complete</v>
      </c>
      <c r="I883" s="55" t="s">
        <v>1081</v>
      </c>
    </row>
    <row r="884" spans="2:9" ht="15" customHeight="1" x14ac:dyDescent="0.25">
      <c r="B884" s="51" t="s">
        <v>124</v>
      </c>
      <c r="C884" s="52">
        <v>814</v>
      </c>
      <c r="D884" s="53" t="s">
        <v>4326</v>
      </c>
      <c r="E884" s="54"/>
      <c r="F884" s="52" t="str">
        <f>IF(INDEX(I.Performance.StartRange,814)="","",INDEX(I.Performance.StartRange,814))</f>
        <v/>
      </c>
      <c r="G884" s="54"/>
      <c r="H884" s="52" t="str">
        <f>IF(AND(I.Compliance.FulfilledPerformance&gt;0,I.Performance.RangeCount&gt;=814,F884=""),"Incomplete","Complete")</f>
        <v>Complete</v>
      </c>
      <c r="I884" s="55" t="s">
        <v>1082</v>
      </c>
    </row>
    <row r="885" spans="2:9" ht="15" customHeight="1" x14ac:dyDescent="0.25">
      <c r="B885" s="51" t="s">
        <v>124</v>
      </c>
      <c r="C885" s="52">
        <v>815</v>
      </c>
      <c r="D885" s="53" t="s">
        <v>4326</v>
      </c>
      <c r="E885" s="54"/>
      <c r="F885" s="52" t="str">
        <f>IF(INDEX(I.Performance.StartRange,815)="","",INDEX(I.Performance.StartRange,815))</f>
        <v/>
      </c>
      <c r="G885" s="54"/>
      <c r="H885" s="52" t="str">
        <f>IF(AND(I.Compliance.FulfilledPerformance&gt;0,I.Performance.RangeCount&gt;=815,F885=""),"Incomplete","Complete")</f>
        <v>Complete</v>
      </c>
      <c r="I885" s="55" t="s">
        <v>1083</v>
      </c>
    </row>
    <row r="886" spans="2:9" ht="15" customHeight="1" x14ac:dyDescent="0.25">
      <c r="B886" s="51" t="s">
        <v>124</v>
      </c>
      <c r="C886" s="52">
        <v>816</v>
      </c>
      <c r="D886" s="53" t="s">
        <v>4326</v>
      </c>
      <c r="E886" s="54"/>
      <c r="F886" s="52" t="str">
        <f>IF(INDEX(I.Performance.StartRange,816)="","",INDEX(I.Performance.StartRange,816))</f>
        <v/>
      </c>
      <c r="G886" s="54"/>
      <c r="H886" s="52" t="str">
        <f>IF(AND(I.Compliance.FulfilledPerformance&gt;0,I.Performance.RangeCount&gt;=816,F886=""),"Incomplete","Complete")</f>
        <v>Complete</v>
      </c>
      <c r="I886" s="55" t="s">
        <v>1084</v>
      </c>
    </row>
    <row r="887" spans="2:9" ht="15" customHeight="1" x14ac:dyDescent="0.25">
      <c r="B887" s="51" t="s">
        <v>124</v>
      </c>
      <c r="C887" s="52">
        <v>817</v>
      </c>
      <c r="D887" s="53" t="s">
        <v>4326</v>
      </c>
      <c r="E887" s="54"/>
      <c r="F887" s="52" t="str">
        <f>IF(INDEX(I.Performance.StartRange,817)="","",INDEX(I.Performance.StartRange,817))</f>
        <v/>
      </c>
      <c r="G887" s="54"/>
      <c r="H887" s="52" t="str">
        <f>IF(AND(I.Compliance.FulfilledPerformance&gt;0,I.Performance.RangeCount&gt;=817,F887=""),"Incomplete","Complete")</f>
        <v>Complete</v>
      </c>
      <c r="I887" s="55" t="s">
        <v>1085</v>
      </c>
    </row>
    <row r="888" spans="2:9" ht="15" customHeight="1" x14ac:dyDescent="0.25">
      <c r="B888" s="51" t="s">
        <v>124</v>
      </c>
      <c r="C888" s="52">
        <v>818</v>
      </c>
      <c r="D888" s="53" t="s">
        <v>4326</v>
      </c>
      <c r="E888" s="54"/>
      <c r="F888" s="52" t="str">
        <f>IF(INDEX(I.Performance.StartRange,818)="","",INDEX(I.Performance.StartRange,818))</f>
        <v/>
      </c>
      <c r="G888" s="54"/>
      <c r="H888" s="52" t="str">
        <f>IF(AND(I.Compliance.FulfilledPerformance&gt;0,I.Performance.RangeCount&gt;=818,F888=""),"Incomplete","Complete")</f>
        <v>Complete</v>
      </c>
      <c r="I888" s="55" t="s">
        <v>1086</v>
      </c>
    </row>
    <row r="889" spans="2:9" ht="15" customHeight="1" x14ac:dyDescent="0.25">
      <c r="B889" s="51" t="s">
        <v>124</v>
      </c>
      <c r="C889" s="52">
        <v>819</v>
      </c>
      <c r="D889" s="53" t="s">
        <v>4326</v>
      </c>
      <c r="E889" s="54"/>
      <c r="F889" s="52" t="str">
        <f>IF(INDEX(I.Performance.StartRange,819)="","",INDEX(I.Performance.StartRange,819))</f>
        <v/>
      </c>
      <c r="G889" s="54"/>
      <c r="H889" s="52" t="str">
        <f>IF(AND(I.Compliance.FulfilledPerformance&gt;0,I.Performance.RangeCount&gt;=819,F889=""),"Incomplete","Complete")</f>
        <v>Complete</v>
      </c>
      <c r="I889" s="55" t="s">
        <v>1087</v>
      </c>
    </row>
    <row r="890" spans="2:9" ht="15" customHeight="1" x14ac:dyDescent="0.25">
      <c r="B890" s="51" t="s">
        <v>124</v>
      </c>
      <c r="C890" s="52">
        <v>820</v>
      </c>
      <c r="D890" s="53" t="s">
        <v>4326</v>
      </c>
      <c r="E890" s="54"/>
      <c r="F890" s="52" t="str">
        <f>IF(INDEX(I.Performance.StartRange,820)="","",INDEX(I.Performance.StartRange,820))</f>
        <v/>
      </c>
      <c r="G890" s="54"/>
      <c r="H890" s="52" t="str">
        <f>IF(AND(I.Compliance.FulfilledPerformance&gt;0,I.Performance.RangeCount&gt;=820,F890=""),"Incomplete","Complete")</f>
        <v>Complete</v>
      </c>
      <c r="I890" s="55" t="s">
        <v>1088</v>
      </c>
    </row>
    <row r="891" spans="2:9" ht="15" customHeight="1" x14ac:dyDescent="0.25">
      <c r="B891" s="51" t="s">
        <v>124</v>
      </c>
      <c r="C891" s="52">
        <v>821</v>
      </c>
      <c r="D891" s="53" t="s">
        <v>4326</v>
      </c>
      <c r="E891" s="54"/>
      <c r="F891" s="52" t="str">
        <f>IF(INDEX(I.Performance.StartRange,821)="","",INDEX(I.Performance.StartRange,821))</f>
        <v/>
      </c>
      <c r="G891" s="54"/>
      <c r="H891" s="52" t="str">
        <f>IF(AND(I.Compliance.FulfilledPerformance&gt;0,I.Performance.RangeCount&gt;=821,F891=""),"Incomplete","Complete")</f>
        <v>Complete</v>
      </c>
      <c r="I891" s="55" t="s">
        <v>1089</v>
      </c>
    </row>
    <row r="892" spans="2:9" ht="15" customHeight="1" x14ac:dyDescent="0.25">
      <c r="B892" s="51" t="s">
        <v>124</v>
      </c>
      <c r="C892" s="52">
        <v>822</v>
      </c>
      <c r="D892" s="53" t="s">
        <v>4326</v>
      </c>
      <c r="E892" s="54"/>
      <c r="F892" s="52" t="str">
        <f>IF(INDEX(I.Performance.StartRange,822)="","",INDEX(I.Performance.StartRange,822))</f>
        <v/>
      </c>
      <c r="G892" s="54"/>
      <c r="H892" s="52" t="str">
        <f>IF(AND(I.Compliance.FulfilledPerformance&gt;0,I.Performance.RangeCount&gt;=822,F892=""),"Incomplete","Complete")</f>
        <v>Complete</v>
      </c>
      <c r="I892" s="55" t="s">
        <v>1090</v>
      </c>
    </row>
    <row r="893" spans="2:9" ht="15" customHeight="1" x14ac:dyDescent="0.25">
      <c r="B893" s="51" t="s">
        <v>124</v>
      </c>
      <c r="C893" s="52">
        <v>823</v>
      </c>
      <c r="D893" s="53" t="s">
        <v>4326</v>
      </c>
      <c r="E893" s="54"/>
      <c r="F893" s="52" t="str">
        <f>IF(INDEX(I.Performance.StartRange,823)="","",INDEX(I.Performance.StartRange,823))</f>
        <v/>
      </c>
      <c r="G893" s="54"/>
      <c r="H893" s="52" t="str">
        <f>IF(AND(I.Compliance.FulfilledPerformance&gt;0,I.Performance.RangeCount&gt;=823,F893=""),"Incomplete","Complete")</f>
        <v>Complete</v>
      </c>
      <c r="I893" s="55" t="s">
        <v>1091</v>
      </c>
    </row>
    <row r="894" spans="2:9" ht="15" customHeight="1" x14ac:dyDescent="0.25">
      <c r="B894" s="51" t="s">
        <v>124</v>
      </c>
      <c r="C894" s="52">
        <v>824</v>
      </c>
      <c r="D894" s="53" t="s">
        <v>4326</v>
      </c>
      <c r="E894" s="54"/>
      <c r="F894" s="52" t="str">
        <f>IF(INDEX(I.Performance.StartRange,824)="","",INDEX(I.Performance.StartRange,824))</f>
        <v/>
      </c>
      <c r="G894" s="54"/>
      <c r="H894" s="52" t="str">
        <f>IF(AND(I.Compliance.FulfilledPerformance&gt;0,I.Performance.RangeCount&gt;=824,F894=""),"Incomplete","Complete")</f>
        <v>Complete</v>
      </c>
      <c r="I894" s="55" t="s">
        <v>1092</v>
      </c>
    </row>
    <row r="895" spans="2:9" ht="15" customHeight="1" x14ac:dyDescent="0.25">
      <c r="B895" s="51" t="s">
        <v>124</v>
      </c>
      <c r="C895" s="52">
        <v>825</v>
      </c>
      <c r="D895" s="53" t="s">
        <v>4326</v>
      </c>
      <c r="E895" s="54"/>
      <c r="F895" s="52" t="str">
        <f>IF(INDEX(I.Performance.StartRange,825)="","",INDEX(I.Performance.StartRange,825))</f>
        <v/>
      </c>
      <c r="G895" s="54"/>
      <c r="H895" s="52" t="str">
        <f>IF(AND(I.Compliance.FulfilledPerformance&gt;0,I.Performance.RangeCount&gt;=825,F895=""),"Incomplete","Complete")</f>
        <v>Complete</v>
      </c>
      <c r="I895" s="55" t="s">
        <v>1093</v>
      </c>
    </row>
    <row r="896" spans="2:9" ht="15" customHeight="1" x14ac:dyDescent="0.25">
      <c r="B896" s="51" t="s">
        <v>124</v>
      </c>
      <c r="C896" s="52">
        <v>826</v>
      </c>
      <c r="D896" s="53" t="s">
        <v>4326</v>
      </c>
      <c r="E896" s="54"/>
      <c r="F896" s="52" t="str">
        <f>IF(INDEX(I.Performance.StartRange,826)="","",INDEX(I.Performance.StartRange,826))</f>
        <v/>
      </c>
      <c r="G896" s="54"/>
      <c r="H896" s="52" t="str">
        <f>IF(AND(I.Compliance.FulfilledPerformance&gt;0,I.Performance.RangeCount&gt;=826,F896=""),"Incomplete","Complete")</f>
        <v>Complete</v>
      </c>
      <c r="I896" s="55" t="s">
        <v>1094</v>
      </c>
    </row>
    <row r="897" spans="2:9" ht="15" customHeight="1" x14ac:dyDescent="0.25">
      <c r="B897" s="51" t="s">
        <v>124</v>
      </c>
      <c r="C897" s="52">
        <v>827</v>
      </c>
      <c r="D897" s="53" t="s">
        <v>4326</v>
      </c>
      <c r="E897" s="54"/>
      <c r="F897" s="52" t="str">
        <f>IF(INDEX(I.Performance.StartRange,827)="","",INDEX(I.Performance.StartRange,827))</f>
        <v/>
      </c>
      <c r="G897" s="54"/>
      <c r="H897" s="52" t="str">
        <f>IF(AND(I.Compliance.FulfilledPerformance&gt;0,I.Performance.RangeCount&gt;=827,F897=""),"Incomplete","Complete")</f>
        <v>Complete</v>
      </c>
      <c r="I897" s="55" t="s">
        <v>1095</v>
      </c>
    </row>
    <row r="898" spans="2:9" ht="15" customHeight="1" x14ac:dyDescent="0.25">
      <c r="B898" s="51" t="s">
        <v>124</v>
      </c>
      <c r="C898" s="52">
        <v>828</v>
      </c>
      <c r="D898" s="53" t="s">
        <v>4326</v>
      </c>
      <c r="E898" s="54"/>
      <c r="F898" s="52" t="str">
        <f>IF(INDEX(I.Performance.StartRange,828)="","",INDEX(I.Performance.StartRange,828))</f>
        <v/>
      </c>
      <c r="G898" s="54"/>
      <c r="H898" s="52" t="str">
        <f>IF(AND(I.Compliance.FulfilledPerformance&gt;0,I.Performance.RangeCount&gt;=828,F898=""),"Incomplete","Complete")</f>
        <v>Complete</v>
      </c>
      <c r="I898" s="55" t="s">
        <v>1096</v>
      </c>
    </row>
    <row r="899" spans="2:9" ht="15" customHeight="1" x14ac:dyDescent="0.25">
      <c r="B899" s="51" t="s">
        <v>124</v>
      </c>
      <c r="C899" s="52">
        <v>829</v>
      </c>
      <c r="D899" s="53" t="s">
        <v>4326</v>
      </c>
      <c r="E899" s="54"/>
      <c r="F899" s="52" t="str">
        <f>IF(INDEX(I.Performance.StartRange,829)="","",INDEX(I.Performance.StartRange,829))</f>
        <v/>
      </c>
      <c r="G899" s="54"/>
      <c r="H899" s="52" t="str">
        <f>IF(AND(I.Compliance.FulfilledPerformance&gt;0,I.Performance.RangeCount&gt;=829,F899=""),"Incomplete","Complete")</f>
        <v>Complete</v>
      </c>
      <c r="I899" s="55" t="s">
        <v>1097</v>
      </c>
    </row>
    <row r="900" spans="2:9" ht="15" customHeight="1" x14ac:dyDescent="0.25">
      <c r="B900" s="51" t="s">
        <v>124</v>
      </c>
      <c r="C900" s="52">
        <v>830</v>
      </c>
      <c r="D900" s="53" t="s">
        <v>4326</v>
      </c>
      <c r="E900" s="54"/>
      <c r="F900" s="52" t="str">
        <f>IF(INDEX(I.Performance.StartRange,830)="","",INDEX(I.Performance.StartRange,830))</f>
        <v/>
      </c>
      <c r="G900" s="54"/>
      <c r="H900" s="52" t="str">
        <f>IF(AND(I.Compliance.FulfilledPerformance&gt;0,I.Performance.RangeCount&gt;=830,F900=""),"Incomplete","Complete")</f>
        <v>Complete</v>
      </c>
      <c r="I900" s="55" t="s">
        <v>1098</v>
      </c>
    </row>
    <row r="901" spans="2:9" ht="15" customHeight="1" x14ac:dyDescent="0.25">
      <c r="B901" s="51" t="s">
        <v>124</v>
      </c>
      <c r="C901" s="52">
        <v>831</v>
      </c>
      <c r="D901" s="53" t="s">
        <v>4326</v>
      </c>
      <c r="E901" s="54"/>
      <c r="F901" s="52" t="str">
        <f>IF(INDEX(I.Performance.StartRange,831)="","",INDEX(I.Performance.StartRange,831))</f>
        <v/>
      </c>
      <c r="G901" s="54"/>
      <c r="H901" s="52" t="str">
        <f>IF(AND(I.Compliance.FulfilledPerformance&gt;0,I.Performance.RangeCount&gt;=831,F901=""),"Incomplete","Complete")</f>
        <v>Complete</v>
      </c>
      <c r="I901" s="55" t="s">
        <v>1099</v>
      </c>
    </row>
    <row r="902" spans="2:9" ht="15" customHeight="1" x14ac:dyDescent="0.25">
      <c r="B902" s="51" t="s">
        <v>124</v>
      </c>
      <c r="C902" s="52">
        <v>832</v>
      </c>
      <c r="D902" s="53" t="s">
        <v>4326</v>
      </c>
      <c r="E902" s="54"/>
      <c r="F902" s="52" t="str">
        <f>IF(INDEX(I.Performance.StartRange,832)="","",INDEX(I.Performance.StartRange,832))</f>
        <v/>
      </c>
      <c r="G902" s="54"/>
      <c r="H902" s="52" t="str">
        <f>IF(AND(I.Compliance.FulfilledPerformance&gt;0,I.Performance.RangeCount&gt;=832,F902=""),"Incomplete","Complete")</f>
        <v>Complete</v>
      </c>
      <c r="I902" s="55" t="s">
        <v>1100</v>
      </c>
    </row>
    <row r="903" spans="2:9" ht="15" customHeight="1" x14ac:dyDescent="0.25">
      <c r="B903" s="51" t="s">
        <v>124</v>
      </c>
      <c r="C903" s="52">
        <v>833</v>
      </c>
      <c r="D903" s="53" t="s">
        <v>4326</v>
      </c>
      <c r="E903" s="54"/>
      <c r="F903" s="52" t="str">
        <f>IF(INDEX(I.Performance.StartRange,833)="","",INDEX(I.Performance.StartRange,833))</f>
        <v/>
      </c>
      <c r="G903" s="54"/>
      <c r="H903" s="52" t="str">
        <f>IF(AND(I.Compliance.FulfilledPerformance&gt;0,I.Performance.RangeCount&gt;=833,F903=""),"Incomplete","Complete")</f>
        <v>Complete</v>
      </c>
      <c r="I903" s="55" t="s">
        <v>1101</v>
      </c>
    </row>
    <row r="904" spans="2:9" ht="15" customHeight="1" x14ac:dyDescent="0.25">
      <c r="B904" s="51" t="s">
        <v>124</v>
      </c>
      <c r="C904" s="52">
        <v>834</v>
      </c>
      <c r="D904" s="53" t="s">
        <v>4326</v>
      </c>
      <c r="E904" s="54"/>
      <c r="F904" s="52" t="str">
        <f>IF(INDEX(I.Performance.StartRange,834)="","",INDEX(I.Performance.StartRange,834))</f>
        <v/>
      </c>
      <c r="G904" s="54"/>
      <c r="H904" s="52" t="str">
        <f>IF(AND(I.Compliance.FulfilledPerformance&gt;0,I.Performance.RangeCount&gt;=834,F904=""),"Incomplete","Complete")</f>
        <v>Complete</v>
      </c>
      <c r="I904" s="55" t="s">
        <v>1102</v>
      </c>
    </row>
    <row r="905" spans="2:9" ht="15" customHeight="1" x14ac:dyDescent="0.25">
      <c r="B905" s="51" t="s">
        <v>124</v>
      </c>
      <c r="C905" s="52">
        <v>835</v>
      </c>
      <c r="D905" s="53" t="s">
        <v>4326</v>
      </c>
      <c r="E905" s="54"/>
      <c r="F905" s="52" t="str">
        <f>IF(INDEX(I.Performance.StartRange,835)="","",INDEX(I.Performance.StartRange,835))</f>
        <v/>
      </c>
      <c r="G905" s="54"/>
      <c r="H905" s="52" t="str">
        <f>IF(AND(I.Compliance.FulfilledPerformance&gt;0,I.Performance.RangeCount&gt;=835,F905=""),"Incomplete","Complete")</f>
        <v>Complete</v>
      </c>
      <c r="I905" s="55" t="s">
        <v>1103</v>
      </c>
    </row>
    <row r="906" spans="2:9" ht="15" customHeight="1" x14ac:dyDescent="0.25">
      <c r="B906" s="51" t="s">
        <v>124</v>
      </c>
      <c r="C906" s="52">
        <v>836</v>
      </c>
      <c r="D906" s="53" t="s">
        <v>4326</v>
      </c>
      <c r="E906" s="54"/>
      <c r="F906" s="52" t="str">
        <f>IF(INDEX(I.Performance.StartRange,836)="","",INDEX(I.Performance.StartRange,836))</f>
        <v/>
      </c>
      <c r="G906" s="54"/>
      <c r="H906" s="52" t="str">
        <f>IF(AND(I.Compliance.FulfilledPerformance&gt;0,I.Performance.RangeCount&gt;=836,F906=""),"Incomplete","Complete")</f>
        <v>Complete</v>
      </c>
      <c r="I906" s="55" t="s">
        <v>1104</v>
      </c>
    </row>
    <row r="907" spans="2:9" ht="15" customHeight="1" x14ac:dyDescent="0.25">
      <c r="B907" s="51" t="s">
        <v>124</v>
      </c>
      <c r="C907" s="52">
        <v>837</v>
      </c>
      <c r="D907" s="53" t="s">
        <v>4326</v>
      </c>
      <c r="E907" s="54"/>
      <c r="F907" s="52" t="str">
        <f>IF(INDEX(I.Performance.StartRange,837)="","",INDEX(I.Performance.StartRange,837))</f>
        <v/>
      </c>
      <c r="G907" s="54"/>
      <c r="H907" s="52" t="str">
        <f>IF(AND(I.Compliance.FulfilledPerformance&gt;0,I.Performance.RangeCount&gt;=837,F907=""),"Incomplete","Complete")</f>
        <v>Complete</v>
      </c>
      <c r="I907" s="55" t="s">
        <v>1105</v>
      </c>
    </row>
    <row r="908" spans="2:9" ht="15" customHeight="1" x14ac:dyDescent="0.25">
      <c r="B908" s="51" t="s">
        <v>124</v>
      </c>
      <c r="C908" s="52">
        <v>838</v>
      </c>
      <c r="D908" s="53" t="s">
        <v>4326</v>
      </c>
      <c r="E908" s="54"/>
      <c r="F908" s="52" t="str">
        <f>IF(INDEX(I.Performance.StartRange,838)="","",INDEX(I.Performance.StartRange,838))</f>
        <v/>
      </c>
      <c r="G908" s="54"/>
      <c r="H908" s="52" t="str">
        <f>IF(AND(I.Compliance.FulfilledPerformance&gt;0,I.Performance.RangeCount&gt;=838,F908=""),"Incomplete","Complete")</f>
        <v>Complete</v>
      </c>
      <c r="I908" s="55" t="s">
        <v>1106</v>
      </c>
    </row>
    <row r="909" spans="2:9" ht="15" customHeight="1" x14ac:dyDescent="0.25">
      <c r="B909" s="51" t="s">
        <v>124</v>
      </c>
      <c r="C909" s="52">
        <v>839</v>
      </c>
      <c r="D909" s="53" t="s">
        <v>4326</v>
      </c>
      <c r="E909" s="54"/>
      <c r="F909" s="52" t="str">
        <f>IF(INDEX(I.Performance.StartRange,839)="","",INDEX(I.Performance.StartRange,839))</f>
        <v/>
      </c>
      <c r="G909" s="54"/>
      <c r="H909" s="52" t="str">
        <f>IF(AND(I.Compliance.FulfilledPerformance&gt;0,I.Performance.RangeCount&gt;=839,F909=""),"Incomplete","Complete")</f>
        <v>Complete</v>
      </c>
      <c r="I909" s="55" t="s">
        <v>1107</v>
      </c>
    </row>
    <row r="910" spans="2:9" ht="15" customHeight="1" x14ac:dyDescent="0.25">
      <c r="B910" s="51" t="s">
        <v>124</v>
      </c>
      <c r="C910" s="52">
        <v>840</v>
      </c>
      <c r="D910" s="53" t="s">
        <v>4326</v>
      </c>
      <c r="E910" s="54"/>
      <c r="F910" s="52" t="str">
        <f>IF(INDEX(I.Performance.StartRange,840)="","",INDEX(I.Performance.StartRange,840))</f>
        <v/>
      </c>
      <c r="G910" s="54"/>
      <c r="H910" s="52" t="str">
        <f>IF(AND(I.Compliance.FulfilledPerformance&gt;0,I.Performance.RangeCount&gt;=840,F910=""),"Incomplete","Complete")</f>
        <v>Complete</v>
      </c>
      <c r="I910" s="55" t="s">
        <v>1108</v>
      </c>
    </row>
    <row r="911" spans="2:9" ht="15" customHeight="1" x14ac:dyDescent="0.25">
      <c r="B911" s="51" t="s">
        <v>124</v>
      </c>
      <c r="C911" s="52">
        <v>841</v>
      </c>
      <c r="D911" s="53" t="s">
        <v>4326</v>
      </c>
      <c r="E911" s="54"/>
      <c r="F911" s="52" t="str">
        <f>IF(INDEX(I.Performance.StartRange,841)="","",INDEX(I.Performance.StartRange,841))</f>
        <v/>
      </c>
      <c r="G911" s="54"/>
      <c r="H911" s="52" t="str">
        <f>IF(AND(I.Compliance.FulfilledPerformance&gt;0,I.Performance.RangeCount&gt;=841,F911=""),"Incomplete","Complete")</f>
        <v>Complete</v>
      </c>
      <c r="I911" s="55" t="s">
        <v>1109</v>
      </c>
    </row>
    <row r="912" spans="2:9" ht="15" customHeight="1" x14ac:dyDescent="0.25">
      <c r="B912" s="51" t="s">
        <v>124</v>
      </c>
      <c r="C912" s="52">
        <v>842</v>
      </c>
      <c r="D912" s="53" t="s">
        <v>4326</v>
      </c>
      <c r="E912" s="54"/>
      <c r="F912" s="52" t="str">
        <f>IF(INDEX(I.Performance.StartRange,842)="","",INDEX(I.Performance.StartRange,842))</f>
        <v/>
      </c>
      <c r="G912" s="54"/>
      <c r="H912" s="52" t="str">
        <f>IF(AND(I.Compliance.FulfilledPerformance&gt;0,I.Performance.RangeCount&gt;=842,F912=""),"Incomplete","Complete")</f>
        <v>Complete</v>
      </c>
      <c r="I912" s="55" t="s">
        <v>1110</v>
      </c>
    </row>
    <row r="913" spans="2:9" ht="15" customHeight="1" x14ac:dyDescent="0.25">
      <c r="B913" s="51" t="s">
        <v>124</v>
      </c>
      <c r="C913" s="52">
        <v>843</v>
      </c>
      <c r="D913" s="53" t="s">
        <v>4326</v>
      </c>
      <c r="E913" s="54"/>
      <c r="F913" s="52" t="str">
        <f>IF(INDEX(I.Performance.StartRange,843)="","",INDEX(I.Performance.StartRange,843))</f>
        <v/>
      </c>
      <c r="G913" s="54"/>
      <c r="H913" s="52" t="str">
        <f>IF(AND(I.Compliance.FulfilledPerformance&gt;0,I.Performance.RangeCount&gt;=843,F913=""),"Incomplete","Complete")</f>
        <v>Complete</v>
      </c>
      <c r="I913" s="55" t="s">
        <v>1111</v>
      </c>
    </row>
    <row r="914" spans="2:9" ht="15" customHeight="1" x14ac:dyDescent="0.25">
      <c r="B914" s="51" t="s">
        <v>124</v>
      </c>
      <c r="C914" s="52">
        <v>844</v>
      </c>
      <c r="D914" s="53" t="s">
        <v>4326</v>
      </c>
      <c r="E914" s="54"/>
      <c r="F914" s="52" t="str">
        <f>IF(INDEX(I.Performance.StartRange,844)="","",INDEX(I.Performance.StartRange,844))</f>
        <v/>
      </c>
      <c r="G914" s="54"/>
      <c r="H914" s="52" t="str">
        <f>IF(AND(I.Compliance.FulfilledPerformance&gt;0,I.Performance.RangeCount&gt;=844,F914=""),"Incomplete","Complete")</f>
        <v>Complete</v>
      </c>
      <c r="I914" s="55" t="s">
        <v>1112</v>
      </c>
    </row>
    <row r="915" spans="2:9" ht="15" customHeight="1" x14ac:dyDescent="0.25">
      <c r="B915" s="51" t="s">
        <v>124</v>
      </c>
      <c r="C915" s="52">
        <v>845</v>
      </c>
      <c r="D915" s="53" t="s">
        <v>4326</v>
      </c>
      <c r="E915" s="54"/>
      <c r="F915" s="52" t="str">
        <f>IF(INDEX(I.Performance.StartRange,845)="","",INDEX(I.Performance.StartRange,845))</f>
        <v/>
      </c>
      <c r="G915" s="54"/>
      <c r="H915" s="52" t="str">
        <f>IF(AND(I.Compliance.FulfilledPerformance&gt;0,I.Performance.RangeCount&gt;=845,F915=""),"Incomplete","Complete")</f>
        <v>Complete</v>
      </c>
      <c r="I915" s="55" t="s">
        <v>1113</v>
      </c>
    </row>
    <row r="916" spans="2:9" ht="15" customHeight="1" x14ac:dyDescent="0.25">
      <c r="B916" s="51" t="s">
        <v>124</v>
      </c>
      <c r="C916" s="52">
        <v>846</v>
      </c>
      <c r="D916" s="53" t="s">
        <v>4326</v>
      </c>
      <c r="E916" s="54"/>
      <c r="F916" s="52" t="str">
        <f>IF(INDEX(I.Performance.StartRange,846)="","",INDEX(I.Performance.StartRange,846))</f>
        <v/>
      </c>
      <c r="G916" s="54"/>
      <c r="H916" s="52" t="str">
        <f>IF(AND(I.Compliance.FulfilledPerformance&gt;0,I.Performance.RangeCount&gt;=846,F916=""),"Incomplete","Complete")</f>
        <v>Complete</v>
      </c>
      <c r="I916" s="55" t="s">
        <v>1114</v>
      </c>
    </row>
    <row r="917" spans="2:9" ht="15" customHeight="1" x14ac:dyDescent="0.25">
      <c r="B917" s="51" t="s">
        <v>124</v>
      </c>
      <c r="C917" s="52">
        <v>847</v>
      </c>
      <c r="D917" s="53" t="s">
        <v>4326</v>
      </c>
      <c r="E917" s="54"/>
      <c r="F917" s="52" t="str">
        <f>IF(INDEX(I.Performance.StartRange,847)="","",INDEX(I.Performance.StartRange,847))</f>
        <v/>
      </c>
      <c r="G917" s="54"/>
      <c r="H917" s="52" t="str">
        <f>IF(AND(I.Compliance.FulfilledPerformance&gt;0,I.Performance.RangeCount&gt;=847,F917=""),"Incomplete","Complete")</f>
        <v>Complete</v>
      </c>
      <c r="I917" s="55" t="s">
        <v>1115</v>
      </c>
    </row>
    <row r="918" spans="2:9" ht="15" customHeight="1" x14ac:dyDescent="0.25">
      <c r="B918" s="51" t="s">
        <v>124</v>
      </c>
      <c r="C918" s="52">
        <v>848</v>
      </c>
      <c r="D918" s="53" t="s">
        <v>4326</v>
      </c>
      <c r="E918" s="54"/>
      <c r="F918" s="52" t="str">
        <f>IF(INDEX(I.Performance.StartRange,848)="","",INDEX(I.Performance.StartRange,848))</f>
        <v/>
      </c>
      <c r="G918" s="54"/>
      <c r="H918" s="52" t="str">
        <f>IF(AND(I.Compliance.FulfilledPerformance&gt;0,I.Performance.RangeCount&gt;=848,F918=""),"Incomplete","Complete")</f>
        <v>Complete</v>
      </c>
      <c r="I918" s="55" t="s">
        <v>1116</v>
      </c>
    </row>
    <row r="919" spans="2:9" ht="15" customHeight="1" x14ac:dyDescent="0.25">
      <c r="B919" s="51" t="s">
        <v>124</v>
      </c>
      <c r="C919" s="52">
        <v>849</v>
      </c>
      <c r="D919" s="53" t="s">
        <v>4326</v>
      </c>
      <c r="E919" s="54"/>
      <c r="F919" s="52" t="str">
        <f>IF(INDEX(I.Performance.StartRange,849)="","",INDEX(I.Performance.StartRange,849))</f>
        <v/>
      </c>
      <c r="G919" s="54"/>
      <c r="H919" s="52" t="str">
        <f>IF(AND(I.Compliance.FulfilledPerformance&gt;0,I.Performance.RangeCount&gt;=849,F919=""),"Incomplete","Complete")</f>
        <v>Complete</v>
      </c>
      <c r="I919" s="55" t="s">
        <v>1117</v>
      </c>
    </row>
    <row r="920" spans="2:9" ht="15" customHeight="1" x14ac:dyDescent="0.25">
      <c r="B920" s="51" t="s">
        <v>124</v>
      </c>
      <c r="C920" s="52">
        <v>850</v>
      </c>
      <c r="D920" s="53" t="s">
        <v>4326</v>
      </c>
      <c r="E920" s="54"/>
      <c r="F920" s="52" t="str">
        <f>IF(INDEX(I.Performance.StartRange,850)="","",INDEX(I.Performance.StartRange,850))</f>
        <v/>
      </c>
      <c r="G920" s="54"/>
      <c r="H920" s="52" t="str">
        <f>IF(AND(I.Compliance.FulfilledPerformance&gt;0,I.Performance.RangeCount&gt;=850,F920=""),"Incomplete","Complete")</f>
        <v>Complete</v>
      </c>
      <c r="I920" s="55" t="s">
        <v>1118</v>
      </c>
    </row>
    <row r="921" spans="2:9" ht="15" customHeight="1" x14ac:dyDescent="0.25">
      <c r="B921" s="51" t="s">
        <v>124</v>
      </c>
      <c r="C921" s="52">
        <v>851</v>
      </c>
      <c r="D921" s="53" t="s">
        <v>4326</v>
      </c>
      <c r="E921" s="54"/>
      <c r="F921" s="52" t="str">
        <f>IF(INDEX(I.Performance.StartRange,851)="","",INDEX(I.Performance.StartRange,851))</f>
        <v/>
      </c>
      <c r="G921" s="54"/>
      <c r="H921" s="52" t="str">
        <f>IF(AND(I.Compliance.FulfilledPerformance&gt;0,I.Performance.RangeCount&gt;=851,F921=""),"Incomplete","Complete")</f>
        <v>Complete</v>
      </c>
      <c r="I921" s="55" t="s">
        <v>1119</v>
      </c>
    </row>
    <row r="922" spans="2:9" ht="15" customHeight="1" x14ac:dyDescent="0.25">
      <c r="B922" s="51" t="s">
        <v>124</v>
      </c>
      <c r="C922" s="52">
        <v>852</v>
      </c>
      <c r="D922" s="53" t="s">
        <v>4326</v>
      </c>
      <c r="E922" s="54"/>
      <c r="F922" s="52" t="str">
        <f>IF(INDEX(I.Performance.StartRange,852)="","",INDEX(I.Performance.StartRange,852))</f>
        <v/>
      </c>
      <c r="G922" s="54"/>
      <c r="H922" s="52" t="str">
        <f>IF(AND(I.Compliance.FulfilledPerformance&gt;0,I.Performance.RangeCount&gt;=852,F922=""),"Incomplete","Complete")</f>
        <v>Complete</v>
      </c>
      <c r="I922" s="55" t="s">
        <v>1120</v>
      </c>
    </row>
    <row r="923" spans="2:9" ht="15" customHeight="1" x14ac:dyDescent="0.25">
      <c r="B923" s="51" t="s">
        <v>124</v>
      </c>
      <c r="C923" s="52">
        <v>853</v>
      </c>
      <c r="D923" s="53" t="s">
        <v>4326</v>
      </c>
      <c r="E923" s="54"/>
      <c r="F923" s="52" t="str">
        <f>IF(INDEX(I.Performance.StartRange,853)="","",INDEX(I.Performance.StartRange,853))</f>
        <v/>
      </c>
      <c r="G923" s="54"/>
      <c r="H923" s="52" t="str">
        <f>IF(AND(I.Compliance.FulfilledPerformance&gt;0,I.Performance.RangeCount&gt;=853,F923=""),"Incomplete","Complete")</f>
        <v>Complete</v>
      </c>
      <c r="I923" s="55" t="s">
        <v>1121</v>
      </c>
    </row>
    <row r="924" spans="2:9" ht="15" customHeight="1" x14ac:dyDescent="0.25">
      <c r="B924" s="51" t="s">
        <v>124</v>
      </c>
      <c r="C924" s="52">
        <v>854</v>
      </c>
      <c r="D924" s="53" t="s">
        <v>4326</v>
      </c>
      <c r="E924" s="54"/>
      <c r="F924" s="52" t="str">
        <f>IF(INDEX(I.Performance.StartRange,854)="","",INDEX(I.Performance.StartRange,854))</f>
        <v/>
      </c>
      <c r="G924" s="54"/>
      <c r="H924" s="52" t="str">
        <f>IF(AND(I.Compliance.FulfilledPerformance&gt;0,I.Performance.RangeCount&gt;=854,F924=""),"Incomplete","Complete")</f>
        <v>Complete</v>
      </c>
      <c r="I924" s="55" t="s">
        <v>1122</v>
      </c>
    </row>
    <row r="925" spans="2:9" ht="15" customHeight="1" x14ac:dyDescent="0.25">
      <c r="B925" s="51" t="s">
        <v>124</v>
      </c>
      <c r="C925" s="52">
        <v>855</v>
      </c>
      <c r="D925" s="53" t="s">
        <v>4326</v>
      </c>
      <c r="E925" s="54"/>
      <c r="F925" s="52" t="str">
        <f>IF(INDEX(I.Performance.StartRange,855)="","",INDEX(I.Performance.StartRange,855))</f>
        <v/>
      </c>
      <c r="G925" s="54"/>
      <c r="H925" s="52" t="str">
        <f>IF(AND(I.Compliance.FulfilledPerformance&gt;0,I.Performance.RangeCount&gt;=855,F925=""),"Incomplete","Complete")</f>
        <v>Complete</v>
      </c>
      <c r="I925" s="55" t="s">
        <v>1123</v>
      </c>
    </row>
    <row r="926" spans="2:9" ht="15" customHeight="1" x14ac:dyDescent="0.25">
      <c r="B926" s="51" t="s">
        <v>124</v>
      </c>
      <c r="C926" s="52">
        <v>856</v>
      </c>
      <c r="D926" s="53" t="s">
        <v>4326</v>
      </c>
      <c r="E926" s="54"/>
      <c r="F926" s="52" t="str">
        <f>IF(INDEX(I.Performance.StartRange,856)="","",INDEX(I.Performance.StartRange,856))</f>
        <v/>
      </c>
      <c r="G926" s="54"/>
      <c r="H926" s="52" t="str">
        <f>IF(AND(I.Compliance.FulfilledPerformance&gt;0,I.Performance.RangeCount&gt;=856,F926=""),"Incomplete","Complete")</f>
        <v>Complete</v>
      </c>
      <c r="I926" s="55" t="s">
        <v>1124</v>
      </c>
    </row>
    <row r="927" spans="2:9" ht="15" customHeight="1" x14ac:dyDescent="0.25">
      <c r="B927" s="51" t="s">
        <v>124</v>
      </c>
      <c r="C927" s="52">
        <v>857</v>
      </c>
      <c r="D927" s="53" t="s">
        <v>4326</v>
      </c>
      <c r="E927" s="54"/>
      <c r="F927" s="52" t="str">
        <f>IF(INDEX(I.Performance.StartRange,857)="","",INDEX(I.Performance.StartRange,857))</f>
        <v/>
      </c>
      <c r="G927" s="54"/>
      <c r="H927" s="52" t="str">
        <f>IF(AND(I.Compliance.FulfilledPerformance&gt;0,I.Performance.RangeCount&gt;=857,F927=""),"Incomplete","Complete")</f>
        <v>Complete</v>
      </c>
      <c r="I927" s="55" t="s">
        <v>1125</v>
      </c>
    </row>
    <row r="928" spans="2:9" ht="15" customHeight="1" x14ac:dyDescent="0.25">
      <c r="B928" s="51" t="s">
        <v>124</v>
      </c>
      <c r="C928" s="52">
        <v>858</v>
      </c>
      <c r="D928" s="53" t="s">
        <v>4326</v>
      </c>
      <c r="E928" s="54"/>
      <c r="F928" s="52" t="str">
        <f>IF(INDEX(I.Performance.StartRange,858)="","",INDEX(I.Performance.StartRange,858))</f>
        <v/>
      </c>
      <c r="G928" s="54"/>
      <c r="H928" s="52" t="str">
        <f>IF(AND(I.Compliance.FulfilledPerformance&gt;0,I.Performance.RangeCount&gt;=858,F928=""),"Incomplete","Complete")</f>
        <v>Complete</v>
      </c>
      <c r="I928" s="55" t="s">
        <v>1126</v>
      </c>
    </row>
    <row r="929" spans="2:9" ht="15" customHeight="1" x14ac:dyDescent="0.25">
      <c r="B929" s="51" t="s">
        <v>124</v>
      </c>
      <c r="C929" s="52">
        <v>859</v>
      </c>
      <c r="D929" s="53" t="s">
        <v>4326</v>
      </c>
      <c r="E929" s="54"/>
      <c r="F929" s="52" t="str">
        <f>IF(INDEX(I.Performance.StartRange,859)="","",INDEX(I.Performance.StartRange,859))</f>
        <v/>
      </c>
      <c r="G929" s="54"/>
      <c r="H929" s="52" t="str">
        <f>IF(AND(I.Compliance.FulfilledPerformance&gt;0,I.Performance.RangeCount&gt;=859,F929=""),"Incomplete","Complete")</f>
        <v>Complete</v>
      </c>
      <c r="I929" s="55" t="s">
        <v>1127</v>
      </c>
    </row>
    <row r="930" spans="2:9" ht="15" customHeight="1" x14ac:dyDescent="0.25">
      <c r="B930" s="51" t="s">
        <v>124</v>
      </c>
      <c r="C930" s="52">
        <v>860</v>
      </c>
      <c r="D930" s="53" t="s">
        <v>4326</v>
      </c>
      <c r="E930" s="54"/>
      <c r="F930" s="52" t="str">
        <f>IF(INDEX(I.Performance.StartRange,860)="","",INDEX(I.Performance.StartRange,860))</f>
        <v/>
      </c>
      <c r="G930" s="54"/>
      <c r="H930" s="52" t="str">
        <f>IF(AND(I.Compliance.FulfilledPerformance&gt;0,I.Performance.RangeCount&gt;=860,F930=""),"Incomplete","Complete")</f>
        <v>Complete</v>
      </c>
      <c r="I930" s="55" t="s">
        <v>1128</v>
      </c>
    </row>
    <row r="931" spans="2:9" ht="15" customHeight="1" x14ac:dyDescent="0.25">
      <c r="B931" s="51" t="s">
        <v>124</v>
      </c>
      <c r="C931" s="52">
        <v>861</v>
      </c>
      <c r="D931" s="53" t="s">
        <v>4326</v>
      </c>
      <c r="E931" s="54"/>
      <c r="F931" s="52" t="str">
        <f>IF(INDEX(I.Performance.StartRange,861)="","",INDEX(I.Performance.StartRange,861))</f>
        <v/>
      </c>
      <c r="G931" s="54"/>
      <c r="H931" s="52" t="str">
        <f>IF(AND(I.Compliance.FulfilledPerformance&gt;0,I.Performance.RangeCount&gt;=861,F931=""),"Incomplete","Complete")</f>
        <v>Complete</v>
      </c>
      <c r="I931" s="55" t="s">
        <v>1129</v>
      </c>
    </row>
    <row r="932" spans="2:9" ht="15" customHeight="1" x14ac:dyDescent="0.25">
      <c r="B932" s="51" t="s">
        <v>124</v>
      </c>
      <c r="C932" s="52">
        <v>862</v>
      </c>
      <c r="D932" s="53" t="s">
        <v>4326</v>
      </c>
      <c r="E932" s="54"/>
      <c r="F932" s="52" t="str">
        <f>IF(INDEX(I.Performance.StartRange,862)="","",INDEX(I.Performance.StartRange,862))</f>
        <v/>
      </c>
      <c r="G932" s="54"/>
      <c r="H932" s="52" t="str">
        <f>IF(AND(I.Compliance.FulfilledPerformance&gt;0,I.Performance.RangeCount&gt;=862,F932=""),"Incomplete","Complete")</f>
        <v>Complete</v>
      </c>
      <c r="I932" s="55" t="s">
        <v>1130</v>
      </c>
    </row>
    <row r="933" spans="2:9" ht="15" customHeight="1" x14ac:dyDescent="0.25">
      <c r="B933" s="51" t="s">
        <v>124</v>
      </c>
      <c r="C933" s="52">
        <v>863</v>
      </c>
      <c r="D933" s="53" t="s">
        <v>4326</v>
      </c>
      <c r="E933" s="54"/>
      <c r="F933" s="52" t="str">
        <f>IF(INDEX(I.Performance.StartRange,863)="","",INDEX(I.Performance.StartRange,863))</f>
        <v/>
      </c>
      <c r="G933" s="54"/>
      <c r="H933" s="52" t="str">
        <f>IF(AND(I.Compliance.FulfilledPerformance&gt;0,I.Performance.RangeCount&gt;=863,F933=""),"Incomplete","Complete")</f>
        <v>Complete</v>
      </c>
      <c r="I933" s="55" t="s">
        <v>1131</v>
      </c>
    </row>
    <row r="934" spans="2:9" ht="15" customHeight="1" x14ac:dyDescent="0.25">
      <c r="B934" s="51" t="s">
        <v>124</v>
      </c>
      <c r="C934" s="52">
        <v>864</v>
      </c>
      <c r="D934" s="53" t="s">
        <v>4326</v>
      </c>
      <c r="E934" s="54"/>
      <c r="F934" s="52" t="str">
        <f>IF(INDEX(I.Performance.StartRange,864)="","",INDEX(I.Performance.StartRange,864))</f>
        <v/>
      </c>
      <c r="G934" s="54"/>
      <c r="H934" s="52" t="str">
        <f>IF(AND(I.Compliance.FulfilledPerformance&gt;0,I.Performance.RangeCount&gt;=864,F934=""),"Incomplete","Complete")</f>
        <v>Complete</v>
      </c>
      <c r="I934" s="55" t="s">
        <v>1132</v>
      </c>
    </row>
    <row r="935" spans="2:9" ht="15" customHeight="1" x14ac:dyDescent="0.25">
      <c r="B935" s="51" t="s">
        <v>124</v>
      </c>
      <c r="C935" s="52">
        <v>865</v>
      </c>
      <c r="D935" s="53" t="s">
        <v>4326</v>
      </c>
      <c r="E935" s="54"/>
      <c r="F935" s="52" t="str">
        <f>IF(INDEX(I.Performance.StartRange,865)="","",INDEX(I.Performance.StartRange,865))</f>
        <v/>
      </c>
      <c r="G935" s="54"/>
      <c r="H935" s="52" t="str">
        <f>IF(AND(I.Compliance.FulfilledPerformance&gt;0,I.Performance.RangeCount&gt;=865,F935=""),"Incomplete","Complete")</f>
        <v>Complete</v>
      </c>
      <c r="I935" s="55" t="s">
        <v>1133</v>
      </c>
    </row>
    <row r="936" spans="2:9" ht="15" customHeight="1" x14ac:dyDescent="0.25">
      <c r="B936" s="51" t="s">
        <v>124</v>
      </c>
      <c r="C936" s="52">
        <v>866</v>
      </c>
      <c r="D936" s="53" t="s">
        <v>4326</v>
      </c>
      <c r="E936" s="54"/>
      <c r="F936" s="52" t="str">
        <f>IF(INDEX(I.Performance.StartRange,866)="","",INDEX(I.Performance.StartRange,866))</f>
        <v/>
      </c>
      <c r="G936" s="54"/>
      <c r="H936" s="52" t="str">
        <f>IF(AND(I.Compliance.FulfilledPerformance&gt;0,I.Performance.RangeCount&gt;=866,F936=""),"Incomplete","Complete")</f>
        <v>Complete</v>
      </c>
      <c r="I936" s="55" t="s">
        <v>1134</v>
      </c>
    </row>
    <row r="937" spans="2:9" ht="15" customHeight="1" x14ac:dyDescent="0.25">
      <c r="B937" s="51" t="s">
        <v>124</v>
      </c>
      <c r="C937" s="52">
        <v>867</v>
      </c>
      <c r="D937" s="53" t="s">
        <v>4326</v>
      </c>
      <c r="E937" s="54"/>
      <c r="F937" s="52" t="str">
        <f>IF(INDEX(I.Performance.StartRange,867)="","",INDEX(I.Performance.StartRange,867))</f>
        <v/>
      </c>
      <c r="G937" s="54"/>
      <c r="H937" s="52" t="str">
        <f>IF(AND(I.Compliance.FulfilledPerformance&gt;0,I.Performance.RangeCount&gt;=867,F937=""),"Incomplete","Complete")</f>
        <v>Complete</v>
      </c>
      <c r="I937" s="55" t="s">
        <v>1135</v>
      </c>
    </row>
    <row r="938" spans="2:9" ht="15" customHeight="1" x14ac:dyDescent="0.25">
      <c r="B938" s="51" t="s">
        <v>124</v>
      </c>
      <c r="C938" s="52">
        <v>868</v>
      </c>
      <c r="D938" s="53" t="s">
        <v>4326</v>
      </c>
      <c r="E938" s="54"/>
      <c r="F938" s="52" t="str">
        <f>IF(INDEX(I.Performance.StartRange,868)="","",INDEX(I.Performance.StartRange,868))</f>
        <v/>
      </c>
      <c r="G938" s="54"/>
      <c r="H938" s="52" t="str">
        <f>IF(AND(I.Compliance.FulfilledPerformance&gt;0,I.Performance.RangeCount&gt;=868,F938=""),"Incomplete","Complete")</f>
        <v>Complete</v>
      </c>
      <c r="I938" s="55" t="s">
        <v>1136</v>
      </c>
    </row>
    <row r="939" spans="2:9" ht="15" customHeight="1" x14ac:dyDescent="0.25">
      <c r="B939" s="51" t="s">
        <v>124</v>
      </c>
      <c r="C939" s="52">
        <v>869</v>
      </c>
      <c r="D939" s="53" t="s">
        <v>4326</v>
      </c>
      <c r="E939" s="54"/>
      <c r="F939" s="52" t="str">
        <f>IF(INDEX(I.Performance.StartRange,869)="","",INDEX(I.Performance.StartRange,869))</f>
        <v/>
      </c>
      <c r="G939" s="54"/>
      <c r="H939" s="52" t="str">
        <f>IF(AND(I.Compliance.FulfilledPerformance&gt;0,I.Performance.RangeCount&gt;=869,F939=""),"Incomplete","Complete")</f>
        <v>Complete</v>
      </c>
      <c r="I939" s="55" t="s">
        <v>1137</v>
      </c>
    </row>
    <row r="940" spans="2:9" ht="15" customHeight="1" x14ac:dyDescent="0.25">
      <c r="B940" s="51" t="s">
        <v>124</v>
      </c>
      <c r="C940" s="52">
        <v>870</v>
      </c>
      <c r="D940" s="53" t="s">
        <v>4326</v>
      </c>
      <c r="E940" s="54"/>
      <c r="F940" s="52" t="str">
        <f>IF(INDEX(I.Performance.StartRange,870)="","",INDEX(I.Performance.StartRange,870))</f>
        <v/>
      </c>
      <c r="G940" s="54"/>
      <c r="H940" s="52" t="str">
        <f>IF(AND(I.Compliance.FulfilledPerformance&gt;0,I.Performance.RangeCount&gt;=870,F940=""),"Incomplete","Complete")</f>
        <v>Complete</v>
      </c>
      <c r="I940" s="55" t="s">
        <v>1138</v>
      </c>
    </row>
    <row r="941" spans="2:9" ht="15" customHeight="1" x14ac:dyDescent="0.25">
      <c r="B941" s="51" t="s">
        <v>124</v>
      </c>
      <c r="C941" s="52">
        <v>871</v>
      </c>
      <c r="D941" s="53" t="s">
        <v>4326</v>
      </c>
      <c r="E941" s="54"/>
      <c r="F941" s="52" t="str">
        <f>IF(INDEX(I.Performance.StartRange,871)="","",INDEX(I.Performance.StartRange,871))</f>
        <v/>
      </c>
      <c r="G941" s="54"/>
      <c r="H941" s="52" t="str">
        <f>IF(AND(I.Compliance.FulfilledPerformance&gt;0,I.Performance.RangeCount&gt;=871,F941=""),"Incomplete","Complete")</f>
        <v>Complete</v>
      </c>
      <c r="I941" s="55" t="s">
        <v>1139</v>
      </c>
    </row>
    <row r="942" spans="2:9" ht="15" customHeight="1" x14ac:dyDescent="0.25">
      <c r="B942" s="51" t="s">
        <v>124</v>
      </c>
      <c r="C942" s="52">
        <v>872</v>
      </c>
      <c r="D942" s="53" t="s">
        <v>4326</v>
      </c>
      <c r="E942" s="54"/>
      <c r="F942" s="52" t="str">
        <f>IF(INDEX(I.Performance.StartRange,872)="","",INDEX(I.Performance.StartRange,872))</f>
        <v/>
      </c>
      <c r="G942" s="54"/>
      <c r="H942" s="52" t="str">
        <f>IF(AND(I.Compliance.FulfilledPerformance&gt;0,I.Performance.RangeCount&gt;=872,F942=""),"Incomplete","Complete")</f>
        <v>Complete</v>
      </c>
      <c r="I942" s="55" t="s">
        <v>1140</v>
      </c>
    </row>
    <row r="943" spans="2:9" ht="15" customHeight="1" x14ac:dyDescent="0.25">
      <c r="B943" s="51" t="s">
        <v>124</v>
      </c>
      <c r="C943" s="52">
        <v>873</v>
      </c>
      <c r="D943" s="53" t="s">
        <v>4326</v>
      </c>
      <c r="E943" s="54"/>
      <c r="F943" s="52" t="str">
        <f>IF(INDEX(I.Performance.StartRange,873)="","",INDEX(I.Performance.StartRange,873))</f>
        <v/>
      </c>
      <c r="G943" s="54"/>
      <c r="H943" s="52" t="str">
        <f>IF(AND(I.Compliance.FulfilledPerformance&gt;0,I.Performance.RangeCount&gt;=873,F943=""),"Incomplete","Complete")</f>
        <v>Complete</v>
      </c>
      <c r="I943" s="55" t="s">
        <v>1141</v>
      </c>
    </row>
    <row r="944" spans="2:9" ht="15" customHeight="1" x14ac:dyDescent="0.25">
      <c r="B944" s="51" t="s">
        <v>124</v>
      </c>
      <c r="C944" s="52">
        <v>874</v>
      </c>
      <c r="D944" s="53" t="s">
        <v>4326</v>
      </c>
      <c r="E944" s="54"/>
      <c r="F944" s="52" t="str">
        <f>IF(INDEX(I.Performance.StartRange,874)="","",INDEX(I.Performance.StartRange,874))</f>
        <v/>
      </c>
      <c r="G944" s="54"/>
      <c r="H944" s="52" t="str">
        <f>IF(AND(I.Compliance.FulfilledPerformance&gt;0,I.Performance.RangeCount&gt;=874,F944=""),"Incomplete","Complete")</f>
        <v>Complete</v>
      </c>
      <c r="I944" s="55" t="s">
        <v>1142</v>
      </c>
    </row>
    <row r="945" spans="2:9" ht="15" customHeight="1" x14ac:dyDescent="0.25">
      <c r="B945" s="51" t="s">
        <v>124</v>
      </c>
      <c r="C945" s="52">
        <v>875</v>
      </c>
      <c r="D945" s="53" t="s">
        <v>4326</v>
      </c>
      <c r="E945" s="54"/>
      <c r="F945" s="52" t="str">
        <f>IF(INDEX(I.Performance.StartRange,875)="","",INDEX(I.Performance.StartRange,875))</f>
        <v/>
      </c>
      <c r="G945" s="54"/>
      <c r="H945" s="52" t="str">
        <f>IF(AND(I.Compliance.FulfilledPerformance&gt;0,I.Performance.RangeCount&gt;=875,F945=""),"Incomplete","Complete")</f>
        <v>Complete</v>
      </c>
      <c r="I945" s="55" t="s">
        <v>1143</v>
      </c>
    </row>
    <row r="946" spans="2:9" ht="15" customHeight="1" x14ac:dyDescent="0.25">
      <c r="B946" s="51" t="s">
        <v>124</v>
      </c>
      <c r="C946" s="52">
        <v>876</v>
      </c>
      <c r="D946" s="53" t="s">
        <v>4326</v>
      </c>
      <c r="E946" s="54"/>
      <c r="F946" s="52" t="str">
        <f>IF(INDEX(I.Performance.StartRange,876)="","",INDEX(I.Performance.StartRange,876))</f>
        <v/>
      </c>
      <c r="G946" s="54"/>
      <c r="H946" s="52" t="str">
        <f>IF(AND(I.Compliance.FulfilledPerformance&gt;0,I.Performance.RangeCount&gt;=876,F946=""),"Incomplete","Complete")</f>
        <v>Complete</v>
      </c>
      <c r="I946" s="55" t="s">
        <v>1144</v>
      </c>
    </row>
    <row r="947" spans="2:9" ht="15" customHeight="1" x14ac:dyDescent="0.25">
      <c r="B947" s="51" t="s">
        <v>124</v>
      </c>
      <c r="C947" s="52">
        <v>877</v>
      </c>
      <c r="D947" s="53" t="s">
        <v>4326</v>
      </c>
      <c r="E947" s="54"/>
      <c r="F947" s="52" t="str">
        <f>IF(INDEX(I.Performance.StartRange,877)="","",INDEX(I.Performance.StartRange,877))</f>
        <v/>
      </c>
      <c r="G947" s="54"/>
      <c r="H947" s="52" t="str">
        <f>IF(AND(I.Compliance.FulfilledPerformance&gt;0,I.Performance.RangeCount&gt;=877,F947=""),"Incomplete","Complete")</f>
        <v>Complete</v>
      </c>
      <c r="I947" s="55" t="s">
        <v>1145</v>
      </c>
    </row>
    <row r="948" spans="2:9" ht="15" customHeight="1" x14ac:dyDescent="0.25">
      <c r="B948" s="51" t="s">
        <v>124</v>
      </c>
      <c r="C948" s="52">
        <v>878</v>
      </c>
      <c r="D948" s="53" t="s">
        <v>4326</v>
      </c>
      <c r="E948" s="54"/>
      <c r="F948" s="52" t="str">
        <f>IF(INDEX(I.Performance.StartRange,878)="","",INDEX(I.Performance.StartRange,878))</f>
        <v/>
      </c>
      <c r="G948" s="54"/>
      <c r="H948" s="52" t="str">
        <f>IF(AND(I.Compliance.FulfilledPerformance&gt;0,I.Performance.RangeCount&gt;=878,F948=""),"Incomplete","Complete")</f>
        <v>Complete</v>
      </c>
      <c r="I948" s="55" t="s">
        <v>1146</v>
      </c>
    </row>
    <row r="949" spans="2:9" ht="15" customHeight="1" x14ac:dyDescent="0.25">
      <c r="B949" s="51" t="s">
        <v>124</v>
      </c>
      <c r="C949" s="52">
        <v>879</v>
      </c>
      <c r="D949" s="53" t="s">
        <v>4326</v>
      </c>
      <c r="E949" s="54"/>
      <c r="F949" s="52" t="str">
        <f>IF(INDEX(I.Performance.StartRange,879)="","",INDEX(I.Performance.StartRange,879))</f>
        <v/>
      </c>
      <c r="G949" s="54"/>
      <c r="H949" s="52" t="str">
        <f>IF(AND(I.Compliance.FulfilledPerformance&gt;0,I.Performance.RangeCount&gt;=879,F949=""),"Incomplete","Complete")</f>
        <v>Complete</v>
      </c>
      <c r="I949" s="55" t="s">
        <v>1147</v>
      </c>
    </row>
    <row r="950" spans="2:9" ht="15" customHeight="1" x14ac:dyDescent="0.25">
      <c r="B950" s="51" t="s">
        <v>124</v>
      </c>
      <c r="C950" s="52">
        <v>880</v>
      </c>
      <c r="D950" s="53" t="s">
        <v>4326</v>
      </c>
      <c r="E950" s="54"/>
      <c r="F950" s="52" t="str">
        <f>IF(INDEX(I.Performance.StartRange,880)="","",INDEX(I.Performance.StartRange,880))</f>
        <v/>
      </c>
      <c r="G950" s="54"/>
      <c r="H950" s="52" t="str">
        <f>IF(AND(I.Compliance.FulfilledPerformance&gt;0,I.Performance.RangeCount&gt;=880,F950=""),"Incomplete","Complete")</f>
        <v>Complete</v>
      </c>
      <c r="I950" s="55" t="s">
        <v>1148</v>
      </c>
    </row>
    <row r="951" spans="2:9" ht="15" customHeight="1" x14ac:dyDescent="0.25">
      <c r="B951" s="51" t="s">
        <v>124</v>
      </c>
      <c r="C951" s="52">
        <v>881</v>
      </c>
      <c r="D951" s="53" t="s">
        <v>4326</v>
      </c>
      <c r="E951" s="54"/>
      <c r="F951" s="52" t="str">
        <f>IF(INDEX(I.Performance.StartRange,881)="","",INDEX(I.Performance.StartRange,881))</f>
        <v/>
      </c>
      <c r="G951" s="54"/>
      <c r="H951" s="52" t="str">
        <f>IF(AND(I.Compliance.FulfilledPerformance&gt;0,I.Performance.RangeCount&gt;=881,F951=""),"Incomplete","Complete")</f>
        <v>Complete</v>
      </c>
      <c r="I951" s="55" t="s">
        <v>1149</v>
      </c>
    </row>
    <row r="952" spans="2:9" ht="15" customHeight="1" x14ac:dyDescent="0.25">
      <c r="B952" s="51" t="s">
        <v>124</v>
      </c>
      <c r="C952" s="52">
        <v>882</v>
      </c>
      <c r="D952" s="53" t="s">
        <v>4326</v>
      </c>
      <c r="E952" s="54"/>
      <c r="F952" s="52" t="str">
        <f>IF(INDEX(I.Performance.StartRange,882)="","",INDEX(I.Performance.StartRange,882))</f>
        <v/>
      </c>
      <c r="G952" s="54"/>
      <c r="H952" s="52" t="str">
        <f>IF(AND(I.Compliance.FulfilledPerformance&gt;0,I.Performance.RangeCount&gt;=882,F952=""),"Incomplete","Complete")</f>
        <v>Complete</v>
      </c>
      <c r="I952" s="55" t="s">
        <v>1150</v>
      </c>
    </row>
    <row r="953" spans="2:9" ht="15" customHeight="1" x14ac:dyDescent="0.25">
      <c r="B953" s="51" t="s">
        <v>124</v>
      </c>
      <c r="C953" s="52">
        <v>883</v>
      </c>
      <c r="D953" s="53" t="s">
        <v>4326</v>
      </c>
      <c r="E953" s="54"/>
      <c r="F953" s="52" t="str">
        <f>IF(INDEX(I.Performance.StartRange,883)="","",INDEX(I.Performance.StartRange,883))</f>
        <v/>
      </c>
      <c r="G953" s="54"/>
      <c r="H953" s="52" t="str">
        <f>IF(AND(I.Compliance.FulfilledPerformance&gt;0,I.Performance.RangeCount&gt;=883,F953=""),"Incomplete","Complete")</f>
        <v>Complete</v>
      </c>
      <c r="I953" s="55" t="s">
        <v>1151</v>
      </c>
    </row>
    <row r="954" spans="2:9" ht="15" customHeight="1" x14ac:dyDescent="0.25">
      <c r="B954" s="51" t="s">
        <v>124</v>
      </c>
      <c r="C954" s="52">
        <v>884</v>
      </c>
      <c r="D954" s="53" t="s">
        <v>4326</v>
      </c>
      <c r="E954" s="54"/>
      <c r="F954" s="52" t="str">
        <f>IF(INDEX(I.Performance.StartRange,884)="","",INDEX(I.Performance.StartRange,884))</f>
        <v/>
      </c>
      <c r="G954" s="54"/>
      <c r="H954" s="52" t="str">
        <f>IF(AND(I.Compliance.FulfilledPerformance&gt;0,I.Performance.RangeCount&gt;=884,F954=""),"Incomplete","Complete")</f>
        <v>Complete</v>
      </c>
      <c r="I954" s="55" t="s">
        <v>1152</v>
      </c>
    </row>
    <row r="955" spans="2:9" ht="15" customHeight="1" x14ac:dyDescent="0.25">
      <c r="B955" s="51" t="s">
        <v>124</v>
      </c>
      <c r="C955" s="52">
        <v>885</v>
      </c>
      <c r="D955" s="53" t="s">
        <v>4326</v>
      </c>
      <c r="E955" s="54"/>
      <c r="F955" s="52" t="str">
        <f>IF(INDEX(I.Performance.StartRange,885)="","",INDEX(I.Performance.StartRange,885))</f>
        <v/>
      </c>
      <c r="G955" s="54"/>
      <c r="H955" s="52" t="str">
        <f>IF(AND(I.Compliance.FulfilledPerformance&gt;0,I.Performance.RangeCount&gt;=885,F955=""),"Incomplete","Complete")</f>
        <v>Complete</v>
      </c>
      <c r="I955" s="55" t="s">
        <v>1153</v>
      </c>
    </row>
    <row r="956" spans="2:9" ht="15" customHeight="1" x14ac:dyDescent="0.25">
      <c r="B956" s="51" t="s">
        <v>124</v>
      </c>
      <c r="C956" s="52">
        <v>886</v>
      </c>
      <c r="D956" s="53" t="s">
        <v>4326</v>
      </c>
      <c r="E956" s="54"/>
      <c r="F956" s="52" t="str">
        <f>IF(INDEX(I.Performance.StartRange,886)="","",INDEX(I.Performance.StartRange,886))</f>
        <v/>
      </c>
      <c r="G956" s="54"/>
      <c r="H956" s="52" t="str">
        <f>IF(AND(I.Compliance.FulfilledPerformance&gt;0,I.Performance.RangeCount&gt;=886,F956=""),"Incomplete","Complete")</f>
        <v>Complete</v>
      </c>
      <c r="I956" s="55" t="s">
        <v>1154</v>
      </c>
    </row>
    <row r="957" spans="2:9" ht="15" customHeight="1" x14ac:dyDescent="0.25">
      <c r="B957" s="51" t="s">
        <v>124</v>
      </c>
      <c r="C957" s="52">
        <v>887</v>
      </c>
      <c r="D957" s="53" t="s">
        <v>4326</v>
      </c>
      <c r="E957" s="54"/>
      <c r="F957" s="52" t="str">
        <f>IF(INDEX(I.Performance.StartRange,887)="","",INDEX(I.Performance.StartRange,887))</f>
        <v/>
      </c>
      <c r="G957" s="54"/>
      <c r="H957" s="52" t="str">
        <f>IF(AND(I.Compliance.FulfilledPerformance&gt;0,I.Performance.RangeCount&gt;=887,F957=""),"Incomplete","Complete")</f>
        <v>Complete</v>
      </c>
      <c r="I957" s="55" t="s">
        <v>1155</v>
      </c>
    </row>
    <row r="958" spans="2:9" ht="15" customHeight="1" x14ac:dyDescent="0.25">
      <c r="B958" s="51" t="s">
        <v>124</v>
      </c>
      <c r="C958" s="52">
        <v>888</v>
      </c>
      <c r="D958" s="53" t="s">
        <v>4326</v>
      </c>
      <c r="E958" s="54"/>
      <c r="F958" s="52" t="str">
        <f>IF(INDEX(I.Performance.StartRange,888)="","",INDEX(I.Performance.StartRange,888))</f>
        <v/>
      </c>
      <c r="G958" s="54"/>
      <c r="H958" s="52" t="str">
        <f>IF(AND(I.Compliance.FulfilledPerformance&gt;0,I.Performance.RangeCount&gt;=888,F958=""),"Incomplete","Complete")</f>
        <v>Complete</v>
      </c>
      <c r="I958" s="55" t="s">
        <v>1156</v>
      </c>
    </row>
    <row r="959" spans="2:9" ht="15" customHeight="1" x14ac:dyDescent="0.25">
      <c r="B959" s="51" t="s">
        <v>124</v>
      </c>
      <c r="C959" s="52">
        <v>889</v>
      </c>
      <c r="D959" s="53" t="s">
        <v>4326</v>
      </c>
      <c r="E959" s="54"/>
      <c r="F959" s="52" t="str">
        <f>IF(INDEX(I.Performance.StartRange,889)="","",INDEX(I.Performance.StartRange,889))</f>
        <v/>
      </c>
      <c r="G959" s="54"/>
      <c r="H959" s="52" t="str">
        <f>IF(AND(I.Compliance.FulfilledPerformance&gt;0,I.Performance.RangeCount&gt;=889,F959=""),"Incomplete","Complete")</f>
        <v>Complete</v>
      </c>
      <c r="I959" s="55" t="s">
        <v>1157</v>
      </c>
    </row>
    <row r="960" spans="2:9" ht="15" customHeight="1" x14ac:dyDescent="0.25">
      <c r="B960" s="51" t="s">
        <v>124</v>
      </c>
      <c r="C960" s="52">
        <v>890</v>
      </c>
      <c r="D960" s="53" t="s">
        <v>4326</v>
      </c>
      <c r="E960" s="54"/>
      <c r="F960" s="52" t="str">
        <f>IF(INDEX(I.Performance.StartRange,890)="","",INDEX(I.Performance.StartRange,890))</f>
        <v/>
      </c>
      <c r="G960" s="54"/>
      <c r="H960" s="52" t="str">
        <f>IF(AND(I.Compliance.FulfilledPerformance&gt;0,I.Performance.RangeCount&gt;=890,F960=""),"Incomplete","Complete")</f>
        <v>Complete</v>
      </c>
      <c r="I960" s="55" t="s">
        <v>1158</v>
      </c>
    </row>
    <row r="961" spans="2:9" ht="15" customHeight="1" x14ac:dyDescent="0.25">
      <c r="B961" s="51" t="s">
        <v>124</v>
      </c>
      <c r="C961" s="52">
        <v>891</v>
      </c>
      <c r="D961" s="53" t="s">
        <v>4326</v>
      </c>
      <c r="E961" s="54"/>
      <c r="F961" s="52" t="str">
        <f>IF(INDEX(I.Performance.StartRange,891)="","",INDEX(I.Performance.StartRange,891))</f>
        <v/>
      </c>
      <c r="G961" s="54"/>
      <c r="H961" s="52" t="str">
        <f>IF(AND(I.Compliance.FulfilledPerformance&gt;0,I.Performance.RangeCount&gt;=891,F961=""),"Incomplete","Complete")</f>
        <v>Complete</v>
      </c>
      <c r="I961" s="55" t="s">
        <v>1159</v>
      </c>
    </row>
    <row r="962" spans="2:9" ht="15" customHeight="1" x14ac:dyDescent="0.25">
      <c r="B962" s="51" t="s">
        <v>124</v>
      </c>
      <c r="C962" s="52">
        <v>892</v>
      </c>
      <c r="D962" s="53" t="s">
        <v>4326</v>
      </c>
      <c r="E962" s="54"/>
      <c r="F962" s="52" t="str">
        <f>IF(INDEX(I.Performance.StartRange,892)="","",INDEX(I.Performance.StartRange,892))</f>
        <v/>
      </c>
      <c r="G962" s="54"/>
      <c r="H962" s="52" t="str">
        <f>IF(AND(I.Compliance.FulfilledPerformance&gt;0,I.Performance.RangeCount&gt;=892,F962=""),"Incomplete","Complete")</f>
        <v>Complete</v>
      </c>
      <c r="I962" s="55" t="s">
        <v>1160</v>
      </c>
    </row>
    <row r="963" spans="2:9" ht="15" customHeight="1" x14ac:dyDescent="0.25">
      <c r="B963" s="51" t="s">
        <v>124</v>
      </c>
      <c r="C963" s="52">
        <v>893</v>
      </c>
      <c r="D963" s="53" t="s">
        <v>4326</v>
      </c>
      <c r="E963" s="54"/>
      <c r="F963" s="52" t="str">
        <f>IF(INDEX(I.Performance.StartRange,893)="","",INDEX(I.Performance.StartRange,893))</f>
        <v/>
      </c>
      <c r="G963" s="54"/>
      <c r="H963" s="52" t="str">
        <f>IF(AND(I.Compliance.FulfilledPerformance&gt;0,I.Performance.RangeCount&gt;=893,F963=""),"Incomplete","Complete")</f>
        <v>Complete</v>
      </c>
      <c r="I963" s="55" t="s">
        <v>1161</v>
      </c>
    </row>
    <row r="964" spans="2:9" ht="15" customHeight="1" x14ac:dyDescent="0.25">
      <c r="B964" s="51" t="s">
        <v>124</v>
      </c>
      <c r="C964" s="52">
        <v>894</v>
      </c>
      <c r="D964" s="53" t="s">
        <v>4326</v>
      </c>
      <c r="E964" s="54"/>
      <c r="F964" s="52" t="str">
        <f>IF(INDEX(I.Performance.StartRange,894)="","",INDEX(I.Performance.StartRange,894))</f>
        <v/>
      </c>
      <c r="G964" s="54"/>
      <c r="H964" s="52" t="str">
        <f>IF(AND(I.Compliance.FulfilledPerformance&gt;0,I.Performance.RangeCount&gt;=894,F964=""),"Incomplete","Complete")</f>
        <v>Complete</v>
      </c>
      <c r="I964" s="55" t="s">
        <v>1162</v>
      </c>
    </row>
    <row r="965" spans="2:9" ht="15" customHeight="1" x14ac:dyDescent="0.25">
      <c r="B965" s="51" t="s">
        <v>124</v>
      </c>
      <c r="C965" s="52">
        <v>895</v>
      </c>
      <c r="D965" s="53" t="s">
        <v>4326</v>
      </c>
      <c r="E965" s="54"/>
      <c r="F965" s="52" t="str">
        <f>IF(INDEX(I.Performance.StartRange,895)="","",INDEX(I.Performance.StartRange,895))</f>
        <v/>
      </c>
      <c r="G965" s="54"/>
      <c r="H965" s="52" t="str">
        <f>IF(AND(I.Compliance.FulfilledPerformance&gt;0,I.Performance.RangeCount&gt;=895,F965=""),"Incomplete","Complete")</f>
        <v>Complete</v>
      </c>
      <c r="I965" s="55" t="s">
        <v>1163</v>
      </c>
    </row>
    <row r="966" spans="2:9" ht="15" customHeight="1" x14ac:dyDescent="0.25">
      <c r="B966" s="51" t="s">
        <v>124</v>
      </c>
      <c r="C966" s="52">
        <v>896</v>
      </c>
      <c r="D966" s="53" t="s">
        <v>4326</v>
      </c>
      <c r="E966" s="54"/>
      <c r="F966" s="52" t="str">
        <f>IF(INDEX(I.Performance.StartRange,896)="","",INDEX(I.Performance.StartRange,896))</f>
        <v/>
      </c>
      <c r="G966" s="54"/>
      <c r="H966" s="52" t="str">
        <f>IF(AND(I.Compliance.FulfilledPerformance&gt;0,I.Performance.RangeCount&gt;=896,F966=""),"Incomplete","Complete")</f>
        <v>Complete</v>
      </c>
      <c r="I966" s="55" t="s">
        <v>1164</v>
      </c>
    </row>
    <row r="967" spans="2:9" ht="15" customHeight="1" x14ac:dyDescent="0.25">
      <c r="B967" s="51" t="s">
        <v>124</v>
      </c>
      <c r="C967" s="52">
        <v>897</v>
      </c>
      <c r="D967" s="53" t="s">
        <v>4326</v>
      </c>
      <c r="E967" s="54"/>
      <c r="F967" s="52" t="str">
        <f>IF(INDEX(I.Performance.StartRange,897)="","",INDEX(I.Performance.StartRange,897))</f>
        <v/>
      </c>
      <c r="G967" s="54"/>
      <c r="H967" s="52" t="str">
        <f>IF(AND(I.Compliance.FulfilledPerformance&gt;0,I.Performance.RangeCount&gt;=897,F967=""),"Incomplete","Complete")</f>
        <v>Complete</v>
      </c>
      <c r="I967" s="55" t="s">
        <v>1165</v>
      </c>
    </row>
    <row r="968" spans="2:9" ht="15" customHeight="1" x14ac:dyDescent="0.25">
      <c r="B968" s="51" t="s">
        <v>124</v>
      </c>
      <c r="C968" s="52">
        <v>898</v>
      </c>
      <c r="D968" s="53" t="s">
        <v>4326</v>
      </c>
      <c r="E968" s="54"/>
      <c r="F968" s="52" t="str">
        <f>IF(INDEX(I.Performance.StartRange,898)="","",INDEX(I.Performance.StartRange,898))</f>
        <v/>
      </c>
      <c r="G968" s="54"/>
      <c r="H968" s="52" t="str">
        <f>IF(AND(I.Compliance.FulfilledPerformance&gt;0,I.Performance.RangeCount&gt;=898,F968=""),"Incomplete","Complete")</f>
        <v>Complete</v>
      </c>
      <c r="I968" s="55" t="s">
        <v>1166</v>
      </c>
    </row>
    <row r="969" spans="2:9" ht="15" customHeight="1" x14ac:dyDescent="0.25">
      <c r="B969" s="51" t="s">
        <v>124</v>
      </c>
      <c r="C969" s="52">
        <v>899</v>
      </c>
      <c r="D969" s="53" t="s">
        <v>4326</v>
      </c>
      <c r="E969" s="54"/>
      <c r="F969" s="52" t="str">
        <f>IF(INDEX(I.Performance.StartRange,899)="","",INDEX(I.Performance.StartRange,899))</f>
        <v/>
      </c>
      <c r="G969" s="54"/>
      <c r="H969" s="52" t="str">
        <f>IF(AND(I.Compliance.FulfilledPerformance&gt;0,I.Performance.RangeCount&gt;=899,F969=""),"Incomplete","Complete")</f>
        <v>Complete</v>
      </c>
      <c r="I969" s="55" t="s">
        <v>1167</v>
      </c>
    </row>
    <row r="970" spans="2:9" ht="15" customHeight="1" x14ac:dyDescent="0.25">
      <c r="B970" s="51" t="s">
        <v>124</v>
      </c>
      <c r="C970" s="52">
        <v>900</v>
      </c>
      <c r="D970" s="53" t="s">
        <v>4326</v>
      </c>
      <c r="E970" s="54"/>
      <c r="F970" s="52" t="str">
        <f>IF(INDEX(I.Performance.StartRange,900)="","",INDEX(I.Performance.StartRange,900))</f>
        <v/>
      </c>
      <c r="G970" s="54"/>
      <c r="H970" s="52" t="str">
        <f>IF(AND(I.Compliance.FulfilledPerformance&gt;0,I.Performance.RangeCount&gt;=900,F970=""),"Incomplete","Complete")</f>
        <v>Complete</v>
      </c>
      <c r="I970" s="55" t="s">
        <v>1168</v>
      </c>
    </row>
    <row r="971" spans="2:9" ht="15" customHeight="1" x14ac:dyDescent="0.25">
      <c r="B971" s="51" t="s">
        <v>124</v>
      </c>
      <c r="C971" s="52">
        <v>901</v>
      </c>
      <c r="D971" s="53" t="s">
        <v>4326</v>
      </c>
      <c r="E971" s="54"/>
      <c r="F971" s="52" t="str">
        <f>IF(INDEX(I.Performance.StartRange,901)="","",INDEX(I.Performance.StartRange,901))</f>
        <v/>
      </c>
      <c r="G971" s="54"/>
      <c r="H971" s="52" t="str">
        <f>IF(AND(I.Compliance.FulfilledPerformance&gt;0,I.Performance.RangeCount&gt;=901,F971=""),"Incomplete","Complete")</f>
        <v>Complete</v>
      </c>
      <c r="I971" s="55" t="s">
        <v>1169</v>
      </c>
    </row>
    <row r="972" spans="2:9" ht="15" customHeight="1" x14ac:dyDescent="0.25">
      <c r="B972" s="51" t="s">
        <v>124</v>
      </c>
      <c r="C972" s="52">
        <v>902</v>
      </c>
      <c r="D972" s="53" t="s">
        <v>4326</v>
      </c>
      <c r="E972" s="54"/>
      <c r="F972" s="52" t="str">
        <f>IF(INDEX(I.Performance.StartRange,902)="","",INDEX(I.Performance.StartRange,902))</f>
        <v/>
      </c>
      <c r="G972" s="54"/>
      <c r="H972" s="52" t="str">
        <f>IF(AND(I.Compliance.FulfilledPerformance&gt;0,I.Performance.RangeCount&gt;=902,F972=""),"Incomplete","Complete")</f>
        <v>Complete</v>
      </c>
      <c r="I972" s="55" t="s">
        <v>1170</v>
      </c>
    </row>
    <row r="973" spans="2:9" ht="15" customHeight="1" x14ac:dyDescent="0.25">
      <c r="B973" s="51" t="s">
        <v>124</v>
      </c>
      <c r="C973" s="52">
        <v>903</v>
      </c>
      <c r="D973" s="53" t="s">
        <v>4326</v>
      </c>
      <c r="E973" s="54"/>
      <c r="F973" s="52" t="str">
        <f>IF(INDEX(I.Performance.StartRange,903)="","",INDEX(I.Performance.StartRange,903))</f>
        <v/>
      </c>
      <c r="G973" s="54"/>
      <c r="H973" s="52" t="str">
        <f>IF(AND(I.Compliance.FulfilledPerformance&gt;0,I.Performance.RangeCount&gt;=903,F973=""),"Incomplete","Complete")</f>
        <v>Complete</v>
      </c>
      <c r="I973" s="55" t="s">
        <v>1171</v>
      </c>
    </row>
    <row r="974" spans="2:9" ht="15" customHeight="1" x14ac:dyDescent="0.25">
      <c r="B974" s="51" t="s">
        <v>124</v>
      </c>
      <c r="C974" s="52">
        <v>904</v>
      </c>
      <c r="D974" s="53" t="s">
        <v>4326</v>
      </c>
      <c r="E974" s="54"/>
      <c r="F974" s="52" t="str">
        <f>IF(INDEX(I.Performance.StartRange,904)="","",INDEX(I.Performance.StartRange,904))</f>
        <v/>
      </c>
      <c r="G974" s="54"/>
      <c r="H974" s="52" t="str">
        <f>IF(AND(I.Compliance.FulfilledPerformance&gt;0,I.Performance.RangeCount&gt;=904,F974=""),"Incomplete","Complete")</f>
        <v>Complete</v>
      </c>
      <c r="I974" s="55" t="s">
        <v>1172</v>
      </c>
    </row>
    <row r="975" spans="2:9" ht="15" customHeight="1" x14ac:dyDescent="0.25">
      <c r="B975" s="51" t="s">
        <v>124</v>
      </c>
      <c r="C975" s="52">
        <v>905</v>
      </c>
      <c r="D975" s="53" t="s">
        <v>4326</v>
      </c>
      <c r="E975" s="54"/>
      <c r="F975" s="52" t="str">
        <f>IF(INDEX(I.Performance.StartRange,905)="","",INDEX(I.Performance.StartRange,905))</f>
        <v/>
      </c>
      <c r="G975" s="54"/>
      <c r="H975" s="52" t="str">
        <f>IF(AND(I.Compliance.FulfilledPerformance&gt;0,I.Performance.RangeCount&gt;=905,F975=""),"Incomplete","Complete")</f>
        <v>Complete</v>
      </c>
      <c r="I975" s="55" t="s">
        <v>1173</v>
      </c>
    </row>
    <row r="976" spans="2:9" ht="15" customHeight="1" x14ac:dyDescent="0.25">
      <c r="B976" s="51" t="s">
        <v>124</v>
      </c>
      <c r="C976" s="52">
        <v>906</v>
      </c>
      <c r="D976" s="53" t="s">
        <v>4326</v>
      </c>
      <c r="E976" s="54"/>
      <c r="F976" s="52" t="str">
        <f>IF(INDEX(I.Performance.StartRange,906)="","",INDEX(I.Performance.StartRange,906))</f>
        <v/>
      </c>
      <c r="G976" s="54"/>
      <c r="H976" s="52" t="str">
        <f>IF(AND(I.Compliance.FulfilledPerformance&gt;0,I.Performance.RangeCount&gt;=906,F976=""),"Incomplete","Complete")</f>
        <v>Complete</v>
      </c>
      <c r="I976" s="55" t="s">
        <v>1174</v>
      </c>
    </row>
    <row r="977" spans="2:9" ht="15" customHeight="1" x14ac:dyDescent="0.25">
      <c r="B977" s="51" t="s">
        <v>124</v>
      </c>
      <c r="C977" s="52">
        <v>907</v>
      </c>
      <c r="D977" s="53" t="s">
        <v>4326</v>
      </c>
      <c r="E977" s="54"/>
      <c r="F977" s="52" t="str">
        <f>IF(INDEX(I.Performance.StartRange,907)="","",INDEX(I.Performance.StartRange,907))</f>
        <v/>
      </c>
      <c r="G977" s="54"/>
      <c r="H977" s="52" t="str">
        <f>IF(AND(I.Compliance.FulfilledPerformance&gt;0,I.Performance.RangeCount&gt;=907,F977=""),"Incomplete","Complete")</f>
        <v>Complete</v>
      </c>
      <c r="I977" s="55" t="s">
        <v>1175</v>
      </c>
    </row>
    <row r="978" spans="2:9" ht="15" customHeight="1" x14ac:dyDescent="0.25">
      <c r="B978" s="51" t="s">
        <v>124</v>
      </c>
      <c r="C978" s="52">
        <v>908</v>
      </c>
      <c r="D978" s="53" t="s">
        <v>4326</v>
      </c>
      <c r="E978" s="54"/>
      <c r="F978" s="52" t="str">
        <f>IF(INDEX(I.Performance.StartRange,908)="","",INDEX(I.Performance.StartRange,908))</f>
        <v/>
      </c>
      <c r="G978" s="54"/>
      <c r="H978" s="52" t="str">
        <f>IF(AND(I.Compliance.FulfilledPerformance&gt;0,I.Performance.RangeCount&gt;=908,F978=""),"Incomplete","Complete")</f>
        <v>Complete</v>
      </c>
      <c r="I978" s="55" t="s">
        <v>1176</v>
      </c>
    </row>
    <row r="979" spans="2:9" ht="15" customHeight="1" x14ac:dyDescent="0.25">
      <c r="B979" s="51" t="s">
        <v>124</v>
      </c>
      <c r="C979" s="52">
        <v>909</v>
      </c>
      <c r="D979" s="53" t="s">
        <v>4326</v>
      </c>
      <c r="E979" s="54"/>
      <c r="F979" s="52" t="str">
        <f>IF(INDEX(I.Performance.StartRange,909)="","",INDEX(I.Performance.StartRange,909))</f>
        <v/>
      </c>
      <c r="G979" s="54"/>
      <c r="H979" s="52" t="str">
        <f>IF(AND(I.Compliance.FulfilledPerformance&gt;0,I.Performance.RangeCount&gt;=909,F979=""),"Incomplete","Complete")</f>
        <v>Complete</v>
      </c>
      <c r="I979" s="55" t="s">
        <v>1177</v>
      </c>
    </row>
    <row r="980" spans="2:9" ht="15" customHeight="1" x14ac:dyDescent="0.25">
      <c r="B980" s="51" t="s">
        <v>124</v>
      </c>
      <c r="C980" s="52">
        <v>910</v>
      </c>
      <c r="D980" s="53" t="s">
        <v>4326</v>
      </c>
      <c r="E980" s="54"/>
      <c r="F980" s="52" t="str">
        <f>IF(INDEX(I.Performance.StartRange,910)="","",INDEX(I.Performance.StartRange,910))</f>
        <v/>
      </c>
      <c r="G980" s="54"/>
      <c r="H980" s="52" t="str">
        <f>IF(AND(I.Compliance.FulfilledPerformance&gt;0,I.Performance.RangeCount&gt;=910,F980=""),"Incomplete","Complete")</f>
        <v>Complete</v>
      </c>
      <c r="I980" s="55" t="s">
        <v>1178</v>
      </c>
    </row>
    <row r="981" spans="2:9" ht="15" customHeight="1" x14ac:dyDescent="0.25">
      <c r="B981" s="51" t="s">
        <v>124</v>
      </c>
      <c r="C981" s="52">
        <v>911</v>
      </c>
      <c r="D981" s="53" t="s">
        <v>4326</v>
      </c>
      <c r="E981" s="54"/>
      <c r="F981" s="52" t="str">
        <f>IF(INDEX(I.Performance.StartRange,911)="","",INDEX(I.Performance.StartRange,911))</f>
        <v/>
      </c>
      <c r="G981" s="54"/>
      <c r="H981" s="52" t="str">
        <f>IF(AND(I.Compliance.FulfilledPerformance&gt;0,I.Performance.RangeCount&gt;=911,F981=""),"Incomplete","Complete")</f>
        <v>Complete</v>
      </c>
      <c r="I981" s="55" t="s">
        <v>1179</v>
      </c>
    </row>
    <row r="982" spans="2:9" ht="15" customHeight="1" x14ac:dyDescent="0.25">
      <c r="B982" s="51" t="s">
        <v>124</v>
      </c>
      <c r="C982" s="52">
        <v>912</v>
      </c>
      <c r="D982" s="53" t="s">
        <v>4326</v>
      </c>
      <c r="E982" s="54"/>
      <c r="F982" s="52" t="str">
        <f>IF(INDEX(I.Performance.StartRange,912)="","",INDEX(I.Performance.StartRange,912))</f>
        <v/>
      </c>
      <c r="G982" s="54"/>
      <c r="H982" s="52" t="str">
        <f>IF(AND(I.Compliance.FulfilledPerformance&gt;0,I.Performance.RangeCount&gt;=912,F982=""),"Incomplete","Complete")</f>
        <v>Complete</v>
      </c>
      <c r="I982" s="55" t="s">
        <v>1180</v>
      </c>
    </row>
    <row r="983" spans="2:9" ht="15" customHeight="1" x14ac:dyDescent="0.25">
      <c r="B983" s="51" t="s">
        <v>124</v>
      </c>
      <c r="C983" s="52">
        <v>913</v>
      </c>
      <c r="D983" s="53" t="s">
        <v>4326</v>
      </c>
      <c r="E983" s="54"/>
      <c r="F983" s="52" t="str">
        <f>IF(INDEX(I.Performance.StartRange,913)="","",INDEX(I.Performance.StartRange,913))</f>
        <v/>
      </c>
      <c r="G983" s="54"/>
      <c r="H983" s="52" t="str">
        <f>IF(AND(I.Compliance.FulfilledPerformance&gt;0,I.Performance.RangeCount&gt;=913,F983=""),"Incomplete","Complete")</f>
        <v>Complete</v>
      </c>
      <c r="I983" s="55" t="s">
        <v>1181</v>
      </c>
    </row>
    <row r="984" spans="2:9" ht="15" customHeight="1" x14ac:dyDescent="0.25">
      <c r="B984" s="51" t="s">
        <v>124</v>
      </c>
      <c r="C984" s="52">
        <v>914</v>
      </c>
      <c r="D984" s="53" t="s">
        <v>4326</v>
      </c>
      <c r="E984" s="54"/>
      <c r="F984" s="52" t="str">
        <f>IF(INDEX(I.Performance.StartRange,914)="","",INDEX(I.Performance.StartRange,914))</f>
        <v/>
      </c>
      <c r="G984" s="54"/>
      <c r="H984" s="52" t="str">
        <f>IF(AND(I.Compliance.FulfilledPerformance&gt;0,I.Performance.RangeCount&gt;=914,F984=""),"Incomplete","Complete")</f>
        <v>Complete</v>
      </c>
      <c r="I984" s="55" t="s">
        <v>1182</v>
      </c>
    </row>
    <row r="985" spans="2:9" ht="15" customHeight="1" x14ac:dyDescent="0.25">
      <c r="B985" s="51" t="s">
        <v>124</v>
      </c>
      <c r="C985" s="52">
        <v>915</v>
      </c>
      <c r="D985" s="53" t="s">
        <v>4326</v>
      </c>
      <c r="E985" s="54"/>
      <c r="F985" s="52" t="str">
        <f>IF(INDEX(I.Performance.StartRange,915)="","",INDEX(I.Performance.StartRange,915))</f>
        <v/>
      </c>
      <c r="G985" s="54"/>
      <c r="H985" s="52" t="str">
        <f>IF(AND(I.Compliance.FulfilledPerformance&gt;0,I.Performance.RangeCount&gt;=915,F985=""),"Incomplete","Complete")</f>
        <v>Complete</v>
      </c>
      <c r="I985" s="55" t="s">
        <v>1183</v>
      </c>
    </row>
    <row r="986" spans="2:9" ht="15" customHeight="1" x14ac:dyDescent="0.25">
      <c r="B986" s="51" t="s">
        <v>124</v>
      </c>
      <c r="C986" s="52">
        <v>916</v>
      </c>
      <c r="D986" s="53" t="s">
        <v>4326</v>
      </c>
      <c r="E986" s="54"/>
      <c r="F986" s="52" t="str">
        <f>IF(INDEX(I.Performance.StartRange,916)="","",INDEX(I.Performance.StartRange,916))</f>
        <v/>
      </c>
      <c r="G986" s="54"/>
      <c r="H986" s="52" t="str">
        <f>IF(AND(I.Compliance.FulfilledPerformance&gt;0,I.Performance.RangeCount&gt;=916,F986=""),"Incomplete","Complete")</f>
        <v>Complete</v>
      </c>
      <c r="I986" s="55" t="s">
        <v>1184</v>
      </c>
    </row>
    <row r="987" spans="2:9" ht="15" customHeight="1" x14ac:dyDescent="0.25">
      <c r="B987" s="51" t="s">
        <v>124</v>
      </c>
      <c r="C987" s="52">
        <v>917</v>
      </c>
      <c r="D987" s="53" t="s">
        <v>4326</v>
      </c>
      <c r="E987" s="54"/>
      <c r="F987" s="52" t="str">
        <f>IF(INDEX(I.Performance.StartRange,917)="","",INDEX(I.Performance.StartRange,917))</f>
        <v/>
      </c>
      <c r="G987" s="54"/>
      <c r="H987" s="52" t="str">
        <f>IF(AND(I.Compliance.FulfilledPerformance&gt;0,I.Performance.RangeCount&gt;=917,F987=""),"Incomplete","Complete")</f>
        <v>Complete</v>
      </c>
      <c r="I987" s="55" t="s">
        <v>1185</v>
      </c>
    </row>
    <row r="988" spans="2:9" ht="15" customHeight="1" x14ac:dyDescent="0.25">
      <c r="B988" s="51" t="s">
        <v>124</v>
      </c>
      <c r="C988" s="52">
        <v>918</v>
      </c>
      <c r="D988" s="53" t="s">
        <v>4326</v>
      </c>
      <c r="E988" s="54"/>
      <c r="F988" s="52" t="str">
        <f>IF(INDEX(I.Performance.StartRange,918)="","",INDEX(I.Performance.StartRange,918))</f>
        <v/>
      </c>
      <c r="G988" s="54"/>
      <c r="H988" s="52" t="str">
        <f>IF(AND(I.Compliance.FulfilledPerformance&gt;0,I.Performance.RangeCount&gt;=918,F988=""),"Incomplete","Complete")</f>
        <v>Complete</v>
      </c>
      <c r="I988" s="55" t="s">
        <v>1186</v>
      </c>
    </row>
    <row r="989" spans="2:9" ht="15" customHeight="1" x14ac:dyDescent="0.25">
      <c r="B989" s="51" t="s">
        <v>124</v>
      </c>
      <c r="C989" s="52">
        <v>919</v>
      </c>
      <c r="D989" s="53" t="s">
        <v>4326</v>
      </c>
      <c r="E989" s="54"/>
      <c r="F989" s="52" t="str">
        <f>IF(INDEX(I.Performance.StartRange,919)="","",INDEX(I.Performance.StartRange,919))</f>
        <v/>
      </c>
      <c r="G989" s="54"/>
      <c r="H989" s="52" t="str">
        <f>IF(AND(I.Compliance.FulfilledPerformance&gt;0,I.Performance.RangeCount&gt;=919,F989=""),"Incomplete","Complete")</f>
        <v>Complete</v>
      </c>
      <c r="I989" s="55" t="s">
        <v>1187</v>
      </c>
    </row>
    <row r="990" spans="2:9" ht="15" customHeight="1" x14ac:dyDescent="0.25">
      <c r="B990" s="51" t="s">
        <v>124</v>
      </c>
      <c r="C990" s="52">
        <v>920</v>
      </c>
      <c r="D990" s="53" t="s">
        <v>4326</v>
      </c>
      <c r="E990" s="54"/>
      <c r="F990" s="52" t="str">
        <f>IF(INDEX(I.Performance.StartRange,920)="","",INDEX(I.Performance.StartRange,920))</f>
        <v/>
      </c>
      <c r="G990" s="54"/>
      <c r="H990" s="52" t="str">
        <f>IF(AND(I.Compliance.FulfilledPerformance&gt;0,I.Performance.RangeCount&gt;=920,F990=""),"Incomplete","Complete")</f>
        <v>Complete</v>
      </c>
      <c r="I990" s="55" t="s">
        <v>1188</v>
      </c>
    </row>
    <row r="991" spans="2:9" ht="15" customHeight="1" x14ac:dyDescent="0.25">
      <c r="B991" s="51" t="s">
        <v>124</v>
      </c>
      <c r="C991" s="52">
        <v>921</v>
      </c>
      <c r="D991" s="53" t="s">
        <v>4326</v>
      </c>
      <c r="E991" s="54"/>
      <c r="F991" s="52" t="str">
        <f>IF(INDEX(I.Performance.StartRange,921)="","",INDEX(I.Performance.StartRange,921))</f>
        <v/>
      </c>
      <c r="G991" s="54"/>
      <c r="H991" s="52" t="str">
        <f>IF(AND(I.Compliance.FulfilledPerformance&gt;0,I.Performance.RangeCount&gt;=921,F991=""),"Incomplete","Complete")</f>
        <v>Complete</v>
      </c>
      <c r="I991" s="55" t="s">
        <v>1189</v>
      </c>
    </row>
    <row r="992" spans="2:9" ht="15" customHeight="1" x14ac:dyDescent="0.25">
      <c r="B992" s="51" t="s">
        <v>124</v>
      </c>
      <c r="C992" s="52">
        <v>922</v>
      </c>
      <c r="D992" s="53" t="s">
        <v>4326</v>
      </c>
      <c r="E992" s="54"/>
      <c r="F992" s="52" t="str">
        <f>IF(INDEX(I.Performance.StartRange,922)="","",INDEX(I.Performance.StartRange,922))</f>
        <v/>
      </c>
      <c r="G992" s="54"/>
      <c r="H992" s="52" t="str">
        <f>IF(AND(I.Compliance.FulfilledPerformance&gt;0,I.Performance.RangeCount&gt;=922,F992=""),"Incomplete","Complete")</f>
        <v>Complete</v>
      </c>
      <c r="I992" s="55" t="s">
        <v>1190</v>
      </c>
    </row>
    <row r="993" spans="2:9" ht="15" customHeight="1" x14ac:dyDescent="0.25">
      <c r="B993" s="51" t="s">
        <v>124</v>
      </c>
      <c r="C993" s="52">
        <v>923</v>
      </c>
      <c r="D993" s="53" t="s">
        <v>4326</v>
      </c>
      <c r="E993" s="54"/>
      <c r="F993" s="52" t="str">
        <f>IF(INDEX(I.Performance.StartRange,923)="","",INDEX(I.Performance.StartRange,923))</f>
        <v/>
      </c>
      <c r="G993" s="54"/>
      <c r="H993" s="52" t="str">
        <f>IF(AND(I.Compliance.FulfilledPerformance&gt;0,I.Performance.RangeCount&gt;=923,F993=""),"Incomplete","Complete")</f>
        <v>Complete</v>
      </c>
      <c r="I993" s="55" t="s">
        <v>1191</v>
      </c>
    </row>
    <row r="994" spans="2:9" ht="15" customHeight="1" x14ac:dyDescent="0.25">
      <c r="B994" s="51" t="s">
        <v>124</v>
      </c>
      <c r="C994" s="52">
        <v>924</v>
      </c>
      <c r="D994" s="53" t="s">
        <v>4326</v>
      </c>
      <c r="E994" s="54"/>
      <c r="F994" s="52" t="str">
        <f>IF(INDEX(I.Performance.StartRange,924)="","",INDEX(I.Performance.StartRange,924))</f>
        <v/>
      </c>
      <c r="G994" s="54"/>
      <c r="H994" s="52" t="str">
        <f>IF(AND(I.Compliance.FulfilledPerformance&gt;0,I.Performance.RangeCount&gt;=924,F994=""),"Incomplete","Complete")</f>
        <v>Complete</v>
      </c>
      <c r="I994" s="55" t="s">
        <v>1192</v>
      </c>
    </row>
    <row r="995" spans="2:9" ht="15" customHeight="1" x14ac:dyDescent="0.25">
      <c r="B995" s="51" t="s">
        <v>124</v>
      </c>
      <c r="C995" s="52">
        <v>925</v>
      </c>
      <c r="D995" s="53" t="s">
        <v>4326</v>
      </c>
      <c r="E995" s="54"/>
      <c r="F995" s="52" t="str">
        <f>IF(INDEX(I.Performance.StartRange,925)="","",INDEX(I.Performance.StartRange,925))</f>
        <v/>
      </c>
      <c r="G995" s="54"/>
      <c r="H995" s="52" t="str">
        <f>IF(AND(I.Compliance.FulfilledPerformance&gt;0,I.Performance.RangeCount&gt;=925,F995=""),"Incomplete","Complete")</f>
        <v>Complete</v>
      </c>
      <c r="I995" s="55" t="s">
        <v>1193</v>
      </c>
    </row>
    <row r="996" spans="2:9" ht="15" customHeight="1" x14ac:dyDescent="0.25">
      <c r="B996" s="51" t="s">
        <v>124</v>
      </c>
      <c r="C996" s="52">
        <v>926</v>
      </c>
      <c r="D996" s="53" t="s">
        <v>4326</v>
      </c>
      <c r="E996" s="54"/>
      <c r="F996" s="52" t="str">
        <f>IF(INDEX(I.Performance.StartRange,926)="","",INDEX(I.Performance.StartRange,926))</f>
        <v/>
      </c>
      <c r="G996" s="54"/>
      <c r="H996" s="52" t="str">
        <f>IF(AND(I.Compliance.FulfilledPerformance&gt;0,I.Performance.RangeCount&gt;=926,F996=""),"Incomplete","Complete")</f>
        <v>Complete</v>
      </c>
      <c r="I996" s="55" t="s">
        <v>1194</v>
      </c>
    </row>
    <row r="997" spans="2:9" ht="15" customHeight="1" x14ac:dyDescent="0.25">
      <c r="B997" s="51" t="s">
        <v>124</v>
      </c>
      <c r="C997" s="52">
        <v>927</v>
      </c>
      <c r="D997" s="53" t="s">
        <v>4326</v>
      </c>
      <c r="E997" s="54"/>
      <c r="F997" s="52" t="str">
        <f>IF(INDEX(I.Performance.StartRange,927)="","",INDEX(I.Performance.StartRange,927))</f>
        <v/>
      </c>
      <c r="G997" s="54"/>
      <c r="H997" s="52" t="str">
        <f>IF(AND(I.Compliance.FulfilledPerformance&gt;0,I.Performance.RangeCount&gt;=927,F997=""),"Incomplete","Complete")</f>
        <v>Complete</v>
      </c>
      <c r="I997" s="55" t="s">
        <v>1195</v>
      </c>
    </row>
    <row r="998" spans="2:9" ht="15" customHeight="1" x14ac:dyDescent="0.25">
      <c r="B998" s="51" t="s">
        <v>124</v>
      </c>
      <c r="C998" s="52">
        <v>928</v>
      </c>
      <c r="D998" s="53" t="s">
        <v>4326</v>
      </c>
      <c r="E998" s="54"/>
      <c r="F998" s="52" t="str">
        <f>IF(INDEX(I.Performance.StartRange,928)="","",INDEX(I.Performance.StartRange,928))</f>
        <v/>
      </c>
      <c r="G998" s="54"/>
      <c r="H998" s="52" t="str">
        <f>IF(AND(I.Compliance.FulfilledPerformance&gt;0,I.Performance.RangeCount&gt;=928,F998=""),"Incomplete","Complete")</f>
        <v>Complete</v>
      </c>
      <c r="I998" s="55" t="s">
        <v>1196</v>
      </c>
    </row>
    <row r="999" spans="2:9" ht="15" customHeight="1" x14ac:dyDescent="0.25">
      <c r="B999" s="51" t="s">
        <v>124</v>
      </c>
      <c r="C999" s="52">
        <v>929</v>
      </c>
      <c r="D999" s="53" t="s">
        <v>4326</v>
      </c>
      <c r="E999" s="54"/>
      <c r="F999" s="52" t="str">
        <f>IF(INDEX(I.Performance.StartRange,929)="","",INDEX(I.Performance.StartRange,929))</f>
        <v/>
      </c>
      <c r="G999" s="54"/>
      <c r="H999" s="52" t="str">
        <f>IF(AND(I.Compliance.FulfilledPerformance&gt;0,I.Performance.RangeCount&gt;=929,F999=""),"Incomplete","Complete")</f>
        <v>Complete</v>
      </c>
      <c r="I999" s="55" t="s">
        <v>1197</v>
      </c>
    </row>
    <row r="1000" spans="2:9" ht="15" customHeight="1" x14ac:dyDescent="0.25">
      <c r="B1000" s="51" t="s">
        <v>124</v>
      </c>
      <c r="C1000" s="52">
        <v>930</v>
      </c>
      <c r="D1000" s="53" t="s">
        <v>4326</v>
      </c>
      <c r="E1000" s="54"/>
      <c r="F1000" s="52" t="str">
        <f>IF(INDEX(I.Performance.StartRange,930)="","",INDEX(I.Performance.StartRange,930))</f>
        <v/>
      </c>
      <c r="G1000" s="54"/>
      <c r="H1000" s="52" t="str">
        <f>IF(AND(I.Compliance.FulfilledPerformance&gt;0,I.Performance.RangeCount&gt;=930,F1000=""),"Incomplete","Complete")</f>
        <v>Complete</v>
      </c>
      <c r="I1000" s="55" t="s">
        <v>1198</v>
      </c>
    </row>
    <row r="1001" spans="2:9" ht="15" customHeight="1" x14ac:dyDescent="0.25">
      <c r="B1001" s="51" t="s">
        <v>124</v>
      </c>
      <c r="C1001" s="52">
        <v>931</v>
      </c>
      <c r="D1001" s="53" t="s">
        <v>4326</v>
      </c>
      <c r="E1001" s="54"/>
      <c r="F1001" s="52" t="str">
        <f>IF(INDEX(I.Performance.StartRange,931)="","",INDEX(I.Performance.StartRange,931))</f>
        <v/>
      </c>
      <c r="G1001" s="54"/>
      <c r="H1001" s="52" t="str">
        <f>IF(AND(I.Compliance.FulfilledPerformance&gt;0,I.Performance.RangeCount&gt;=931,F1001=""),"Incomplete","Complete")</f>
        <v>Complete</v>
      </c>
      <c r="I1001" s="55" t="s">
        <v>1199</v>
      </c>
    </row>
    <row r="1002" spans="2:9" ht="15" customHeight="1" x14ac:dyDescent="0.25">
      <c r="B1002" s="51" t="s">
        <v>124</v>
      </c>
      <c r="C1002" s="52">
        <v>932</v>
      </c>
      <c r="D1002" s="53" t="s">
        <v>4326</v>
      </c>
      <c r="E1002" s="54"/>
      <c r="F1002" s="52" t="str">
        <f>IF(INDEX(I.Performance.StartRange,932)="","",INDEX(I.Performance.StartRange,932))</f>
        <v/>
      </c>
      <c r="G1002" s="54"/>
      <c r="H1002" s="52" t="str">
        <f>IF(AND(I.Compliance.FulfilledPerformance&gt;0,I.Performance.RangeCount&gt;=932,F1002=""),"Incomplete","Complete")</f>
        <v>Complete</v>
      </c>
      <c r="I1002" s="55" t="s">
        <v>1200</v>
      </c>
    </row>
    <row r="1003" spans="2:9" ht="15" customHeight="1" x14ac:dyDescent="0.25">
      <c r="B1003" s="51" t="s">
        <v>124</v>
      </c>
      <c r="C1003" s="52">
        <v>933</v>
      </c>
      <c r="D1003" s="53" t="s">
        <v>4326</v>
      </c>
      <c r="E1003" s="54"/>
      <c r="F1003" s="52" t="str">
        <f>IF(INDEX(I.Performance.StartRange,933)="","",INDEX(I.Performance.StartRange,933))</f>
        <v/>
      </c>
      <c r="G1003" s="54"/>
      <c r="H1003" s="52" t="str">
        <f>IF(AND(I.Compliance.FulfilledPerformance&gt;0,I.Performance.RangeCount&gt;=933,F1003=""),"Incomplete","Complete")</f>
        <v>Complete</v>
      </c>
      <c r="I1003" s="55" t="s">
        <v>1201</v>
      </c>
    </row>
    <row r="1004" spans="2:9" ht="15" customHeight="1" x14ac:dyDescent="0.25">
      <c r="B1004" s="51" t="s">
        <v>124</v>
      </c>
      <c r="C1004" s="52">
        <v>934</v>
      </c>
      <c r="D1004" s="53" t="s">
        <v>4326</v>
      </c>
      <c r="E1004" s="54"/>
      <c r="F1004" s="52" t="str">
        <f>IF(INDEX(I.Performance.StartRange,934)="","",INDEX(I.Performance.StartRange,934))</f>
        <v/>
      </c>
      <c r="G1004" s="54"/>
      <c r="H1004" s="52" t="str">
        <f>IF(AND(I.Compliance.FulfilledPerformance&gt;0,I.Performance.RangeCount&gt;=934,F1004=""),"Incomplete","Complete")</f>
        <v>Complete</v>
      </c>
      <c r="I1004" s="55" t="s">
        <v>1202</v>
      </c>
    </row>
    <row r="1005" spans="2:9" ht="15" customHeight="1" x14ac:dyDescent="0.25">
      <c r="B1005" s="51" t="s">
        <v>124</v>
      </c>
      <c r="C1005" s="52">
        <v>935</v>
      </c>
      <c r="D1005" s="53" t="s">
        <v>4326</v>
      </c>
      <c r="E1005" s="54"/>
      <c r="F1005" s="52" t="str">
        <f>IF(INDEX(I.Performance.StartRange,935)="","",INDEX(I.Performance.StartRange,935))</f>
        <v/>
      </c>
      <c r="G1005" s="54"/>
      <c r="H1005" s="52" t="str">
        <f>IF(AND(I.Compliance.FulfilledPerformance&gt;0,I.Performance.RangeCount&gt;=935,F1005=""),"Incomplete","Complete")</f>
        <v>Complete</v>
      </c>
      <c r="I1005" s="55" t="s">
        <v>1203</v>
      </c>
    </row>
    <row r="1006" spans="2:9" ht="15" customHeight="1" x14ac:dyDescent="0.25">
      <c r="B1006" s="51" t="s">
        <v>124</v>
      </c>
      <c r="C1006" s="52">
        <v>936</v>
      </c>
      <c r="D1006" s="53" t="s">
        <v>4326</v>
      </c>
      <c r="E1006" s="54"/>
      <c r="F1006" s="52" t="str">
        <f>IF(INDEX(I.Performance.StartRange,936)="","",INDEX(I.Performance.StartRange,936))</f>
        <v/>
      </c>
      <c r="G1006" s="54"/>
      <c r="H1006" s="52" t="str">
        <f>IF(AND(I.Compliance.FulfilledPerformance&gt;0,I.Performance.RangeCount&gt;=936,F1006=""),"Incomplete","Complete")</f>
        <v>Complete</v>
      </c>
      <c r="I1006" s="55" t="s">
        <v>1204</v>
      </c>
    </row>
    <row r="1007" spans="2:9" ht="15" customHeight="1" x14ac:dyDescent="0.25">
      <c r="B1007" s="51" t="s">
        <v>124</v>
      </c>
      <c r="C1007" s="52">
        <v>937</v>
      </c>
      <c r="D1007" s="53" t="s">
        <v>4326</v>
      </c>
      <c r="E1007" s="54"/>
      <c r="F1007" s="52" t="str">
        <f>IF(INDEX(I.Performance.StartRange,937)="","",INDEX(I.Performance.StartRange,937))</f>
        <v/>
      </c>
      <c r="G1007" s="54"/>
      <c r="H1007" s="52" t="str">
        <f>IF(AND(I.Compliance.FulfilledPerformance&gt;0,I.Performance.RangeCount&gt;=937,F1007=""),"Incomplete","Complete")</f>
        <v>Complete</v>
      </c>
      <c r="I1007" s="55" t="s">
        <v>1205</v>
      </c>
    </row>
    <row r="1008" spans="2:9" ht="15" customHeight="1" x14ac:dyDescent="0.25">
      <c r="B1008" s="51" t="s">
        <v>124</v>
      </c>
      <c r="C1008" s="52">
        <v>938</v>
      </c>
      <c r="D1008" s="53" t="s">
        <v>4326</v>
      </c>
      <c r="E1008" s="54"/>
      <c r="F1008" s="52" t="str">
        <f>IF(INDEX(I.Performance.StartRange,938)="","",INDEX(I.Performance.StartRange,938))</f>
        <v/>
      </c>
      <c r="G1008" s="54"/>
      <c r="H1008" s="52" t="str">
        <f>IF(AND(I.Compliance.FulfilledPerformance&gt;0,I.Performance.RangeCount&gt;=938,F1008=""),"Incomplete","Complete")</f>
        <v>Complete</v>
      </c>
      <c r="I1008" s="55" t="s">
        <v>1206</v>
      </c>
    </row>
    <row r="1009" spans="2:9" ht="15" customHeight="1" x14ac:dyDescent="0.25">
      <c r="B1009" s="51" t="s">
        <v>124</v>
      </c>
      <c r="C1009" s="52">
        <v>939</v>
      </c>
      <c r="D1009" s="53" t="s">
        <v>4326</v>
      </c>
      <c r="E1009" s="54"/>
      <c r="F1009" s="52" t="str">
        <f>IF(INDEX(I.Performance.StartRange,939)="","",INDEX(I.Performance.StartRange,939))</f>
        <v/>
      </c>
      <c r="G1009" s="54"/>
      <c r="H1009" s="52" t="str">
        <f>IF(AND(I.Compliance.FulfilledPerformance&gt;0,I.Performance.RangeCount&gt;=939,F1009=""),"Incomplete","Complete")</f>
        <v>Complete</v>
      </c>
      <c r="I1009" s="55" t="s">
        <v>1207</v>
      </c>
    </row>
    <row r="1010" spans="2:9" ht="15" customHeight="1" x14ac:dyDescent="0.25">
      <c r="B1010" s="51" t="s">
        <v>124</v>
      </c>
      <c r="C1010" s="52">
        <v>940</v>
      </c>
      <c r="D1010" s="53" t="s">
        <v>4326</v>
      </c>
      <c r="E1010" s="54"/>
      <c r="F1010" s="52" t="str">
        <f>IF(INDEX(I.Performance.StartRange,940)="","",INDEX(I.Performance.StartRange,940))</f>
        <v/>
      </c>
      <c r="G1010" s="54"/>
      <c r="H1010" s="52" t="str">
        <f>IF(AND(I.Compliance.FulfilledPerformance&gt;0,I.Performance.RangeCount&gt;=940,F1010=""),"Incomplete","Complete")</f>
        <v>Complete</v>
      </c>
      <c r="I1010" s="55" t="s">
        <v>1208</v>
      </c>
    </row>
    <row r="1011" spans="2:9" ht="15" customHeight="1" x14ac:dyDescent="0.25">
      <c r="B1011" s="51" t="s">
        <v>124</v>
      </c>
      <c r="C1011" s="52">
        <v>941</v>
      </c>
      <c r="D1011" s="53" t="s">
        <v>4326</v>
      </c>
      <c r="E1011" s="54"/>
      <c r="F1011" s="52" t="str">
        <f>IF(INDEX(I.Performance.StartRange,941)="","",INDEX(I.Performance.StartRange,941))</f>
        <v/>
      </c>
      <c r="G1011" s="54"/>
      <c r="H1011" s="52" t="str">
        <f>IF(AND(I.Compliance.FulfilledPerformance&gt;0,I.Performance.RangeCount&gt;=941,F1011=""),"Incomplete","Complete")</f>
        <v>Complete</v>
      </c>
      <c r="I1011" s="55" t="s">
        <v>1209</v>
      </c>
    </row>
    <row r="1012" spans="2:9" ht="15" customHeight="1" x14ac:dyDescent="0.25">
      <c r="B1012" s="51" t="s">
        <v>124</v>
      </c>
      <c r="C1012" s="52">
        <v>942</v>
      </c>
      <c r="D1012" s="53" t="s">
        <v>4326</v>
      </c>
      <c r="E1012" s="54"/>
      <c r="F1012" s="52" t="str">
        <f>IF(INDEX(I.Performance.StartRange,942)="","",INDEX(I.Performance.StartRange,942))</f>
        <v/>
      </c>
      <c r="G1012" s="54"/>
      <c r="H1012" s="52" t="str">
        <f>IF(AND(I.Compliance.FulfilledPerformance&gt;0,I.Performance.RangeCount&gt;=942,F1012=""),"Incomplete","Complete")</f>
        <v>Complete</v>
      </c>
      <c r="I1012" s="55" t="s">
        <v>1210</v>
      </c>
    </row>
    <row r="1013" spans="2:9" ht="15" customHeight="1" x14ac:dyDescent="0.25">
      <c r="B1013" s="51" t="s">
        <v>124</v>
      </c>
      <c r="C1013" s="52">
        <v>943</v>
      </c>
      <c r="D1013" s="53" t="s">
        <v>4326</v>
      </c>
      <c r="E1013" s="54"/>
      <c r="F1013" s="52" t="str">
        <f>IF(INDEX(I.Performance.StartRange,943)="","",INDEX(I.Performance.StartRange,943))</f>
        <v/>
      </c>
      <c r="G1013" s="54"/>
      <c r="H1013" s="52" t="str">
        <f>IF(AND(I.Compliance.FulfilledPerformance&gt;0,I.Performance.RangeCount&gt;=943,F1013=""),"Incomplete","Complete")</f>
        <v>Complete</v>
      </c>
      <c r="I1013" s="55" t="s">
        <v>1211</v>
      </c>
    </row>
    <row r="1014" spans="2:9" ht="15" customHeight="1" x14ac:dyDescent="0.25">
      <c r="B1014" s="51" t="s">
        <v>124</v>
      </c>
      <c r="C1014" s="52">
        <v>944</v>
      </c>
      <c r="D1014" s="53" t="s">
        <v>4326</v>
      </c>
      <c r="E1014" s="54"/>
      <c r="F1014" s="52" t="str">
        <f>IF(INDEX(I.Performance.StartRange,944)="","",INDEX(I.Performance.StartRange,944))</f>
        <v/>
      </c>
      <c r="G1014" s="54"/>
      <c r="H1014" s="52" t="str">
        <f>IF(AND(I.Compliance.FulfilledPerformance&gt;0,I.Performance.RangeCount&gt;=944,F1014=""),"Incomplete","Complete")</f>
        <v>Complete</v>
      </c>
      <c r="I1014" s="55" t="s">
        <v>1212</v>
      </c>
    </row>
    <row r="1015" spans="2:9" ht="15" customHeight="1" x14ac:dyDescent="0.25">
      <c r="B1015" s="51" t="s">
        <v>124</v>
      </c>
      <c r="C1015" s="52">
        <v>945</v>
      </c>
      <c r="D1015" s="53" t="s">
        <v>4326</v>
      </c>
      <c r="E1015" s="54"/>
      <c r="F1015" s="52" t="str">
        <f>IF(INDEX(I.Performance.StartRange,945)="","",INDEX(I.Performance.StartRange,945))</f>
        <v/>
      </c>
      <c r="G1015" s="54"/>
      <c r="H1015" s="52" t="str">
        <f>IF(AND(I.Compliance.FulfilledPerformance&gt;0,I.Performance.RangeCount&gt;=945,F1015=""),"Incomplete","Complete")</f>
        <v>Complete</v>
      </c>
      <c r="I1015" s="55" t="s">
        <v>1213</v>
      </c>
    </row>
    <row r="1016" spans="2:9" ht="15" customHeight="1" x14ac:dyDescent="0.25">
      <c r="B1016" s="51" t="s">
        <v>124</v>
      </c>
      <c r="C1016" s="52">
        <v>946</v>
      </c>
      <c r="D1016" s="53" t="s">
        <v>4326</v>
      </c>
      <c r="E1016" s="54"/>
      <c r="F1016" s="52" t="str">
        <f>IF(INDEX(I.Performance.StartRange,946)="","",INDEX(I.Performance.StartRange,946))</f>
        <v/>
      </c>
      <c r="G1016" s="54"/>
      <c r="H1016" s="52" t="str">
        <f>IF(AND(I.Compliance.FulfilledPerformance&gt;0,I.Performance.RangeCount&gt;=946,F1016=""),"Incomplete","Complete")</f>
        <v>Complete</v>
      </c>
      <c r="I1016" s="55" t="s">
        <v>1214</v>
      </c>
    </row>
    <row r="1017" spans="2:9" ht="15" customHeight="1" x14ac:dyDescent="0.25">
      <c r="B1017" s="51" t="s">
        <v>124</v>
      </c>
      <c r="C1017" s="52">
        <v>947</v>
      </c>
      <c r="D1017" s="53" t="s">
        <v>4326</v>
      </c>
      <c r="E1017" s="54"/>
      <c r="F1017" s="52" t="str">
        <f>IF(INDEX(I.Performance.StartRange,947)="","",INDEX(I.Performance.StartRange,947))</f>
        <v/>
      </c>
      <c r="G1017" s="54"/>
      <c r="H1017" s="52" t="str">
        <f>IF(AND(I.Compliance.FulfilledPerformance&gt;0,I.Performance.RangeCount&gt;=947,F1017=""),"Incomplete","Complete")</f>
        <v>Complete</v>
      </c>
      <c r="I1017" s="55" t="s">
        <v>1215</v>
      </c>
    </row>
    <row r="1018" spans="2:9" ht="15" customHeight="1" x14ac:dyDescent="0.25">
      <c r="B1018" s="51" t="s">
        <v>124</v>
      </c>
      <c r="C1018" s="52">
        <v>948</v>
      </c>
      <c r="D1018" s="53" t="s">
        <v>4326</v>
      </c>
      <c r="E1018" s="54"/>
      <c r="F1018" s="52" t="str">
        <f>IF(INDEX(I.Performance.StartRange,948)="","",INDEX(I.Performance.StartRange,948))</f>
        <v/>
      </c>
      <c r="G1018" s="54"/>
      <c r="H1018" s="52" t="str">
        <f>IF(AND(I.Compliance.FulfilledPerformance&gt;0,I.Performance.RangeCount&gt;=948,F1018=""),"Incomplete","Complete")</f>
        <v>Complete</v>
      </c>
      <c r="I1018" s="55" t="s">
        <v>1216</v>
      </c>
    </row>
    <row r="1019" spans="2:9" ht="15" customHeight="1" x14ac:dyDescent="0.25">
      <c r="B1019" s="51" t="s">
        <v>124</v>
      </c>
      <c r="C1019" s="52">
        <v>949</v>
      </c>
      <c r="D1019" s="53" t="s">
        <v>4326</v>
      </c>
      <c r="E1019" s="54"/>
      <c r="F1019" s="52" t="str">
        <f>IF(INDEX(I.Performance.StartRange,949)="","",INDEX(I.Performance.StartRange,949))</f>
        <v/>
      </c>
      <c r="G1019" s="54"/>
      <c r="H1019" s="52" t="str">
        <f>IF(AND(I.Compliance.FulfilledPerformance&gt;0,I.Performance.RangeCount&gt;=949,F1019=""),"Incomplete","Complete")</f>
        <v>Complete</v>
      </c>
      <c r="I1019" s="55" t="s">
        <v>1217</v>
      </c>
    </row>
    <row r="1020" spans="2:9" ht="15" customHeight="1" x14ac:dyDescent="0.25">
      <c r="B1020" s="51" t="s">
        <v>124</v>
      </c>
      <c r="C1020" s="52">
        <v>950</v>
      </c>
      <c r="D1020" s="53" t="s">
        <v>4326</v>
      </c>
      <c r="E1020" s="54"/>
      <c r="F1020" s="52" t="str">
        <f>IF(INDEX(I.Performance.StartRange,950)="","",INDEX(I.Performance.StartRange,950))</f>
        <v/>
      </c>
      <c r="G1020" s="54"/>
      <c r="H1020" s="52" t="str">
        <f>IF(AND(I.Compliance.FulfilledPerformance&gt;0,I.Performance.RangeCount&gt;=950,F1020=""),"Incomplete","Complete")</f>
        <v>Complete</v>
      </c>
      <c r="I1020" s="55" t="s">
        <v>1218</v>
      </c>
    </row>
    <row r="1021" spans="2:9" ht="15" customHeight="1" x14ac:dyDescent="0.25">
      <c r="B1021" s="51" t="s">
        <v>124</v>
      </c>
      <c r="C1021" s="52">
        <v>951</v>
      </c>
      <c r="D1021" s="53" t="s">
        <v>4326</v>
      </c>
      <c r="E1021" s="54"/>
      <c r="F1021" s="52" t="str">
        <f>IF(INDEX(I.Performance.StartRange,951)="","",INDEX(I.Performance.StartRange,951))</f>
        <v/>
      </c>
      <c r="G1021" s="54"/>
      <c r="H1021" s="52" t="str">
        <f>IF(AND(I.Compliance.FulfilledPerformance&gt;0,I.Performance.RangeCount&gt;=951,F1021=""),"Incomplete","Complete")</f>
        <v>Complete</v>
      </c>
      <c r="I1021" s="55" t="s">
        <v>1219</v>
      </c>
    </row>
    <row r="1022" spans="2:9" ht="15" customHeight="1" x14ac:dyDescent="0.25">
      <c r="B1022" s="51" t="s">
        <v>124</v>
      </c>
      <c r="C1022" s="52">
        <v>952</v>
      </c>
      <c r="D1022" s="53" t="s">
        <v>4326</v>
      </c>
      <c r="E1022" s="54"/>
      <c r="F1022" s="52" t="str">
        <f>IF(INDEX(I.Performance.StartRange,952)="","",INDEX(I.Performance.StartRange,952))</f>
        <v/>
      </c>
      <c r="G1022" s="54"/>
      <c r="H1022" s="52" t="str">
        <f>IF(AND(I.Compliance.FulfilledPerformance&gt;0,I.Performance.RangeCount&gt;=952,F1022=""),"Incomplete","Complete")</f>
        <v>Complete</v>
      </c>
      <c r="I1022" s="55" t="s">
        <v>1220</v>
      </c>
    </row>
    <row r="1023" spans="2:9" ht="15" customHeight="1" x14ac:dyDescent="0.25">
      <c r="B1023" s="51" t="s">
        <v>124</v>
      </c>
      <c r="C1023" s="52">
        <v>953</v>
      </c>
      <c r="D1023" s="53" t="s">
        <v>4326</v>
      </c>
      <c r="E1023" s="54"/>
      <c r="F1023" s="52" t="str">
        <f>IF(INDEX(I.Performance.StartRange,953)="","",INDEX(I.Performance.StartRange,953))</f>
        <v/>
      </c>
      <c r="G1023" s="54"/>
      <c r="H1023" s="52" t="str">
        <f>IF(AND(I.Compliance.FulfilledPerformance&gt;0,I.Performance.RangeCount&gt;=953,F1023=""),"Incomplete","Complete")</f>
        <v>Complete</v>
      </c>
      <c r="I1023" s="55" t="s">
        <v>1221</v>
      </c>
    </row>
    <row r="1024" spans="2:9" ht="15" customHeight="1" x14ac:dyDescent="0.25">
      <c r="B1024" s="51" t="s">
        <v>124</v>
      </c>
      <c r="C1024" s="52">
        <v>954</v>
      </c>
      <c r="D1024" s="53" t="s">
        <v>4326</v>
      </c>
      <c r="E1024" s="54"/>
      <c r="F1024" s="52" t="str">
        <f>IF(INDEX(I.Performance.StartRange,954)="","",INDEX(I.Performance.StartRange,954))</f>
        <v/>
      </c>
      <c r="G1024" s="54"/>
      <c r="H1024" s="52" t="str">
        <f>IF(AND(I.Compliance.FulfilledPerformance&gt;0,I.Performance.RangeCount&gt;=954,F1024=""),"Incomplete","Complete")</f>
        <v>Complete</v>
      </c>
      <c r="I1024" s="55" t="s">
        <v>1222</v>
      </c>
    </row>
    <row r="1025" spans="2:9" ht="15" customHeight="1" x14ac:dyDescent="0.25">
      <c r="B1025" s="51" t="s">
        <v>124</v>
      </c>
      <c r="C1025" s="52">
        <v>955</v>
      </c>
      <c r="D1025" s="53" t="s">
        <v>4326</v>
      </c>
      <c r="E1025" s="54"/>
      <c r="F1025" s="52" t="str">
        <f>IF(INDEX(I.Performance.StartRange,955)="","",INDEX(I.Performance.StartRange,955))</f>
        <v/>
      </c>
      <c r="G1025" s="54"/>
      <c r="H1025" s="52" t="str">
        <f>IF(AND(I.Compliance.FulfilledPerformance&gt;0,I.Performance.RangeCount&gt;=955,F1025=""),"Incomplete","Complete")</f>
        <v>Complete</v>
      </c>
      <c r="I1025" s="55" t="s">
        <v>1223</v>
      </c>
    </row>
    <row r="1026" spans="2:9" ht="15" customHeight="1" x14ac:dyDescent="0.25">
      <c r="B1026" s="51" t="s">
        <v>124</v>
      </c>
      <c r="C1026" s="52">
        <v>956</v>
      </c>
      <c r="D1026" s="53" t="s">
        <v>4326</v>
      </c>
      <c r="E1026" s="54"/>
      <c r="F1026" s="52" t="str">
        <f>IF(INDEX(I.Performance.StartRange,956)="","",INDEX(I.Performance.StartRange,956))</f>
        <v/>
      </c>
      <c r="G1026" s="54"/>
      <c r="H1026" s="52" t="str">
        <f>IF(AND(I.Compliance.FulfilledPerformance&gt;0,I.Performance.RangeCount&gt;=956,F1026=""),"Incomplete","Complete")</f>
        <v>Complete</v>
      </c>
      <c r="I1026" s="55" t="s">
        <v>1224</v>
      </c>
    </row>
    <row r="1027" spans="2:9" ht="15" customHeight="1" x14ac:dyDescent="0.25">
      <c r="B1027" s="51" t="s">
        <v>124</v>
      </c>
      <c r="C1027" s="52">
        <v>957</v>
      </c>
      <c r="D1027" s="53" t="s">
        <v>4326</v>
      </c>
      <c r="E1027" s="54"/>
      <c r="F1027" s="52" t="str">
        <f>IF(INDEX(I.Performance.StartRange,957)="","",INDEX(I.Performance.StartRange,957))</f>
        <v/>
      </c>
      <c r="G1027" s="54"/>
      <c r="H1027" s="52" t="str">
        <f>IF(AND(I.Compliance.FulfilledPerformance&gt;0,I.Performance.RangeCount&gt;=957,F1027=""),"Incomplete","Complete")</f>
        <v>Complete</v>
      </c>
      <c r="I1027" s="55" t="s">
        <v>1225</v>
      </c>
    </row>
    <row r="1028" spans="2:9" ht="15" customHeight="1" x14ac:dyDescent="0.25">
      <c r="B1028" s="51" t="s">
        <v>124</v>
      </c>
      <c r="C1028" s="52">
        <v>958</v>
      </c>
      <c r="D1028" s="53" t="s">
        <v>4326</v>
      </c>
      <c r="E1028" s="54"/>
      <c r="F1028" s="52" t="str">
        <f>IF(INDEX(I.Performance.StartRange,958)="","",INDEX(I.Performance.StartRange,958))</f>
        <v/>
      </c>
      <c r="G1028" s="54"/>
      <c r="H1028" s="52" t="str">
        <f>IF(AND(I.Compliance.FulfilledPerformance&gt;0,I.Performance.RangeCount&gt;=958,F1028=""),"Incomplete","Complete")</f>
        <v>Complete</v>
      </c>
      <c r="I1028" s="55" t="s">
        <v>1226</v>
      </c>
    </row>
    <row r="1029" spans="2:9" ht="15" customHeight="1" x14ac:dyDescent="0.25">
      <c r="B1029" s="51" t="s">
        <v>124</v>
      </c>
      <c r="C1029" s="52">
        <v>959</v>
      </c>
      <c r="D1029" s="53" t="s">
        <v>4326</v>
      </c>
      <c r="E1029" s="54"/>
      <c r="F1029" s="52" t="str">
        <f>IF(INDEX(I.Performance.StartRange,959)="","",INDEX(I.Performance.StartRange,959))</f>
        <v/>
      </c>
      <c r="G1029" s="54"/>
      <c r="H1029" s="52" t="str">
        <f>IF(AND(I.Compliance.FulfilledPerformance&gt;0,I.Performance.RangeCount&gt;=959,F1029=""),"Incomplete","Complete")</f>
        <v>Complete</v>
      </c>
      <c r="I1029" s="55" t="s">
        <v>1227</v>
      </c>
    </row>
    <row r="1030" spans="2:9" ht="15" customHeight="1" x14ac:dyDescent="0.25">
      <c r="B1030" s="51" t="s">
        <v>124</v>
      </c>
      <c r="C1030" s="52">
        <v>960</v>
      </c>
      <c r="D1030" s="53" t="s">
        <v>4326</v>
      </c>
      <c r="E1030" s="54"/>
      <c r="F1030" s="52" t="str">
        <f>IF(INDEX(I.Performance.StartRange,960)="","",INDEX(I.Performance.StartRange,960))</f>
        <v/>
      </c>
      <c r="G1030" s="54"/>
      <c r="H1030" s="52" t="str">
        <f>IF(AND(I.Compliance.FulfilledPerformance&gt;0,I.Performance.RangeCount&gt;=960,F1030=""),"Incomplete","Complete")</f>
        <v>Complete</v>
      </c>
      <c r="I1030" s="55" t="s">
        <v>1228</v>
      </c>
    </row>
    <row r="1031" spans="2:9" ht="15" customHeight="1" x14ac:dyDescent="0.25">
      <c r="B1031" s="51" t="s">
        <v>124</v>
      </c>
      <c r="C1031" s="52">
        <v>961</v>
      </c>
      <c r="D1031" s="53" t="s">
        <v>4326</v>
      </c>
      <c r="E1031" s="54"/>
      <c r="F1031" s="52" t="str">
        <f>IF(INDEX(I.Performance.StartRange,961)="","",INDEX(I.Performance.StartRange,961))</f>
        <v/>
      </c>
      <c r="G1031" s="54"/>
      <c r="H1031" s="52" t="str">
        <f>IF(AND(I.Compliance.FulfilledPerformance&gt;0,I.Performance.RangeCount&gt;=961,F1031=""),"Incomplete","Complete")</f>
        <v>Complete</v>
      </c>
      <c r="I1031" s="55" t="s">
        <v>1229</v>
      </c>
    </row>
    <row r="1032" spans="2:9" ht="15" customHeight="1" x14ac:dyDescent="0.25">
      <c r="B1032" s="51" t="s">
        <v>124</v>
      </c>
      <c r="C1032" s="52">
        <v>962</v>
      </c>
      <c r="D1032" s="53" t="s">
        <v>4326</v>
      </c>
      <c r="E1032" s="54"/>
      <c r="F1032" s="52" t="str">
        <f>IF(INDEX(I.Performance.StartRange,962)="","",INDEX(I.Performance.StartRange,962))</f>
        <v/>
      </c>
      <c r="G1032" s="54"/>
      <c r="H1032" s="52" t="str">
        <f>IF(AND(I.Compliance.FulfilledPerformance&gt;0,I.Performance.RangeCount&gt;=962,F1032=""),"Incomplete","Complete")</f>
        <v>Complete</v>
      </c>
      <c r="I1032" s="55" t="s">
        <v>1230</v>
      </c>
    </row>
    <row r="1033" spans="2:9" ht="15" customHeight="1" x14ac:dyDescent="0.25">
      <c r="B1033" s="51" t="s">
        <v>124</v>
      </c>
      <c r="C1033" s="52">
        <v>963</v>
      </c>
      <c r="D1033" s="53" t="s">
        <v>4326</v>
      </c>
      <c r="E1033" s="54"/>
      <c r="F1033" s="52" t="str">
        <f>IF(INDEX(I.Performance.StartRange,963)="","",INDEX(I.Performance.StartRange,963))</f>
        <v/>
      </c>
      <c r="G1033" s="54"/>
      <c r="H1033" s="52" t="str">
        <f>IF(AND(I.Compliance.FulfilledPerformance&gt;0,I.Performance.RangeCount&gt;=963,F1033=""),"Incomplete","Complete")</f>
        <v>Complete</v>
      </c>
      <c r="I1033" s="55" t="s">
        <v>1231</v>
      </c>
    </row>
    <row r="1034" spans="2:9" ht="15" customHeight="1" x14ac:dyDescent="0.25">
      <c r="B1034" s="51" t="s">
        <v>124</v>
      </c>
      <c r="C1034" s="52">
        <v>964</v>
      </c>
      <c r="D1034" s="53" t="s">
        <v>4326</v>
      </c>
      <c r="E1034" s="54"/>
      <c r="F1034" s="52" t="str">
        <f>IF(INDEX(I.Performance.StartRange,964)="","",INDEX(I.Performance.StartRange,964))</f>
        <v/>
      </c>
      <c r="G1034" s="54"/>
      <c r="H1034" s="52" t="str">
        <f>IF(AND(I.Compliance.FulfilledPerformance&gt;0,I.Performance.RangeCount&gt;=964,F1034=""),"Incomplete","Complete")</f>
        <v>Complete</v>
      </c>
      <c r="I1034" s="55" t="s">
        <v>1232</v>
      </c>
    </row>
    <row r="1035" spans="2:9" ht="15" customHeight="1" x14ac:dyDescent="0.25">
      <c r="B1035" s="51" t="s">
        <v>124</v>
      </c>
      <c r="C1035" s="52">
        <v>965</v>
      </c>
      <c r="D1035" s="53" t="s">
        <v>4326</v>
      </c>
      <c r="E1035" s="54"/>
      <c r="F1035" s="52" t="str">
        <f>IF(INDEX(I.Performance.StartRange,965)="","",INDEX(I.Performance.StartRange,965))</f>
        <v/>
      </c>
      <c r="G1035" s="54"/>
      <c r="H1035" s="52" t="str">
        <f>IF(AND(I.Compliance.FulfilledPerformance&gt;0,I.Performance.RangeCount&gt;=965,F1035=""),"Incomplete","Complete")</f>
        <v>Complete</v>
      </c>
      <c r="I1035" s="55" t="s">
        <v>1233</v>
      </c>
    </row>
    <row r="1036" spans="2:9" ht="15" customHeight="1" x14ac:dyDescent="0.25">
      <c r="B1036" s="51" t="s">
        <v>124</v>
      </c>
      <c r="C1036" s="52">
        <v>966</v>
      </c>
      <c r="D1036" s="53" t="s">
        <v>4326</v>
      </c>
      <c r="E1036" s="54"/>
      <c r="F1036" s="52" t="str">
        <f>IF(INDEX(I.Performance.StartRange,966)="","",INDEX(I.Performance.StartRange,966))</f>
        <v/>
      </c>
      <c r="G1036" s="54"/>
      <c r="H1036" s="52" t="str">
        <f>IF(AND(I.Compliance.FulfilledPerformance&gt;0,I.Performance.RangeCount&gt;=966,F1036=""),"Incomplete","Complete")</f>
        <v>Complete</v>
      </c>
      <c r="I1036" s="55" t="s">
        <v>1234</v>
      </c>
    </row>
    <row r="1037" spans="2:9" ht="15" customHeight="1" x14ac:dyDescent="0.25">
      <c r="B1037" s="51" t="s">
        <v>124</v>
      </c>
      <c r="C1037" s="52">
        <v>967</v>
      </c>
      <c r="D1037" s="53" t="s">
        <v>4326</v>
      </c>
      <c r="E1037" s="54"/>
      <c r="F1037" s="52" t="str">
        <f>IF(INDEX(I.Performance.StartRange,967)="","",INDEX(I.Performance.StartRange,967))</f>
        <v/>
      </c>
      <c r="G1037" s="54"/>
      <c r="H1037" s="52" t="str">
        <f>IF(AND(I.Compliance.FulfilledPerformance&gt;0,I.Performance.RangeCount&gt;=967,F1037=""),"Incomplete","Complete")</f>
        <v>Complete</v>
      </c>
      <c r="I1037" s="55" t="s">
        <v>1235</v>
      </c>
    </row>
    <row r="1038" spans="2:9" ht="15" customHeight="1" x14ac:dyDescent="0.25">
      <c r="B1038" s="51" t="s">
        <v>124</v>
      </c>
      <c r="C1038" s="52">
        <v>968</v>
      </c>
      <c r="D1038" s="53" t="s">
        <v>4326</v>
      </c>
      <c r="E1038" s="54"/>
      <c r="F1038" s="52" t="str">
        <f>IF(INDEX(I.Performance.StartRange,968)="","",INDEX(I.Performance.StartRange,968))</f>
        <v/>
      </c>
      <c r="G1038" s="54"/>
      <c r="H1038" s="52" t="str">
        <f>IF(AND(I.Compliance.FulfilledPerformance&gt;0,I.Performance.RangeCount&gt;=968,F1038=""),"Incomplete","Complete")</f>
        <v>Complete</v>
      </c>
      <c r="I1038" s="55" t="s">
        <v>1236</v>
      </c>
    </row>
    <row r="1039" spans="2:9" ht="15" customHeight="1" x14ac:dyDescent="0.25">
      <c r="B1039" s="51" t="s">
        <v>124</v>
      </c>
      <c r="C1039" s="52">
        <v>969</v>
      </c>
      <c r="D1039" s="53" t="s">
        <v>4326</v>
      </c>
      <c r="E1039" s="54"/>
      <c r="F1039" s="52" t="str">
        <f>IF(INDEX(I.Performance.StartRange,969)="","",INDEX(I.Performance.StartRange,969))</f>
        <v/>
      </c>
      <c r="G1039" s="54"/>
      <c r="H1039" s="52" t="str">
        <f>IF(AND(I.Compliance.FulfilledPerformance&gt;0,I.Performance.RangeCount&gt;=969,F1039=""),"Incomplete","Complete")</f>
        <v>Complete</v>
      </c>
      <c r="I1039" s="55" t="s">
        <v>1237</v>
      </c>
    </row>
    <row r="1040" spans="2:9" ht="15" customHeight="1" x14ac:dyDescent="0.25">
      <c r="B1040" s="51" t="s">
        <v>124</v>
      </c>
      <c r="C1040" s="52">
        <v>970</v>
      </c>
      <c r="D1040" s="53" t="s">
        <v>4326</v>
      </c>
      <c r="E1040" s="54"/>
      <c r="F1040" s="52" t="str">
        <f>IF(INDEX(I.Performance.StartRange,970)="","",INDEX(I.Performance.StartRange,970))</f>
        <v/>
      </c>
      <c r="G1040" s="54"/>
      <c r="H1040" s="52" t="str">
        <f>IF(AND(I.Compliance.FulfilledPerformance&gt;0,I.Performance.RangeCount&gt;=970,F1040=""),"Incomplete","Complete")</f>
        <v>Complete</v>
      </c>
      <c r="I1040" s="55" t="s">
        <v>1238</v>
      </c>
    </row>
    <row r="1041" spans="2:9" ht="15" customHeight="1" x14ac:dyDescent="0.25">
      <c r="B1041" s="51" t="s">
        <v>124</v>
      </c>
      <c r="C1041" s="52">
        <v>971</v>
      </c>
      <c r="D1041" s="53" t="s">
        <v>4326</v>
      </c>
      <c r="E1041" s="54"/>
      <c r="F1041" s="52" t="str">
        <f>IF(INDEX(I.Performance.StartRange,971)="","",INDEX(I.Performance.StartRange,971))</f>
        <v/>
      </c>
      <c r="G1041" s="54"/>
      <c r="H1041" s="52" t="str">
        <f>IF(AND(I.Compliance.FulfilledPerformance&gt;0,I.Performance.RangeCount&gt;=971,F1041=""),"Incomplete","Complete")</f>
        <v>Complete</v>
      </c>
      <c r="I1041" s="55" t="s">
        <v>1239</v>
      </c>
    </row>
    <row r="1042" spans="2:9" ht="15" customHeight="1" x14ac:dyDescent="0.25">
      <c r="B1042" s="51" t="s">
        <v>124</v>
      </c>
      <c r="C1042" s="52">
        <v>972</v>
      </c>
      <c r="D1042" s="53" t="s">
        <v>4326</v>
      </c>
      <c r="E1042" s="54"/>
      <c r="F1042" s="52" t="str">
        <f>IF(INDEX(I.Performance.StartRange,972)="","",INDEX(I.Performance.StartRange,972))</f>
        <v/>
      </c>
      <c r="G1042" s="54"/>
      <c r="H1042" s="52" t="str">
        <f>IF(AND(I.Compliance.FulfilledPerformance&gt;0,I.Performance.RangeCount&gt;=972,F1042=""),"Incomplete","Complete")</f>
        <v>Complete</v>
      </c>
      <c r="I1042" s="55" t="s">
        <v>1240</v>
      </c>
    </row>
    <row r="1043" spans="2:9" ht="15" customHeight="1" x14ac:dyDescent="0.25">
      <c r="B1043" s="51" t="s">
        <v>124</v>
      </c>
      <c r="C1043" s="52">
        <v>973</v>
      </c>
      <c r="D1043" s="53" t="s">
        <v>4326</v>
      </c>
      <c r="E1043" s="54"/>
      <c r="F1043" s="52" t="str">
        <f>IF(INDEX(I.Performance.StartRange,973)="","",INDEX(I.Performance.StartRange,973))</f>
        <v/>
      </c>
      <c r="G1043" s="54"/>
      <c r="H1043" s="52" t="str">
        <f>IF(AND(I.Compliance.FulfilledPerformance&gt;0,I.Performance.RangeCount&gt;=973,F1043=""),"Incomplete","Complete")</f>
        <v>Complete</v>
      </c>
      <c r="I1043" s="55" t="s">
        <v>1241</v>
      </c>
    </row>
    <row r="1044" spans="2:9" ht="15" customHeight="1" x14ac:dyDescent="0.25">
      <c r="B1044" s="51" t="s">
        <v>124</v>
      </c>
      <c r="C1044" s="52">
        <v>974</v>
      </c>
      <c r="D1044" s="53" t="s">
        <v>4326</v>
      </c>
      <c r="E1044" s="54"/>
      <c r="F1044" s="52" t="str">
        <f>IF(INDEX(I.Performance.StartRange,974)="","",INDEX(I.Performance.StartRange,974))</f>
        <v/>
      </c>
      <c r="G1044" s="54"/>
      <c r="H1044" s="52" t="str">
        <f>IF(AND(I.Compliance.FulfilledPerformance&gt;0,I.Performance.RangeCount&gt;=974,F1044=""),"Incomplete","Complete")</f>
        <v>Complete</v>
      </c>
      <c r="I1044" s="55" t="s">
        <v>1242</v>
      </c>
    </row>
    <row r="1045" spans="2:9" ht="15" customHeight="1" x14ac:dyDescent="0.25">
      <c r="B1045" s="51" t="s">
        <v>124</v>
      </c>
      <c r="C1045" s="52">
        <v>975</v>
      </c>
      <c r="D1045" s="53" t="s">
        <v>4326</v>
      </c>
      <c r="E1045" s="54"/>
      <c r="F1045" s="52" t="str">
        <f>IF(INDEX(I.Performance.StartRange,975)="","",INDEX(I.Performance.StartRange,975))</f>
        <v/>
      </c>
      <c r="G1045" s="54"/>
      <c r="H1045" s="52" t="str">
        <f>IF(AND(I.Compliance.FulfilledPerformance&gt;0,I.Performance.RangeCount&gt;=975,F1045=""),"Incomplete","Complete")</f>
        <v>Complete</v>
      </c>
      <c r="I1045" s="55" t="s">
        <v>1243</v>
      </c>
    </row>
    <row r="1046" spans="2:9" ht="15" customHeight="1" x14ac:dyDescent="0.25">
      <c r="B1046" s="51" t="s">
        <v>124</v>
      </c>
      <c r="C1046" s="52">
        <v>976</v>
      </c>
      <c r="D1046" s="53" t="s">
        <v>4326</v>
      </c>
      <c r="E1046" s="54"/>
      <c r="F1046" s="52" t="str">
        <f>IF(INDEX(I.Performance.StartRange,976)="","",INDEX(I.Performance.StartRange,976))</f>
        <v/>
      </c>
      <c r="G1046" s="54"/>
      <c r="H1046" s="52" t="str">
        <f>IF(AND(I.Compliance.FulfilledPerformance&gt;0,I.Performance.RangeCount&gt;=976,F1046=""),"Incomplete","Complete")</f>
        <v>Complete</v>
      </c>
      <c r="I1046" s="55" t="s">
        <v>1244</v>
      </c>
    </row>
    <row r="1047" spans="2:9" ht="15" customHeight="1" x14ac:dyDescent="0.25">
      <c r="B1047" s="51" t="s">
        <v>124</v>
      </c>
      <c r="C1047" s="52">
        <v>977</v>
      </c>
      <c r="D1047" s="53" t="s">
        <v>4326</v>
      </c>
      <c r="E1047" s="54"/>
      <c r="F1047" s="52" t="str">
        <f>IF(INDEX(I.Performance.StartRange,977)="","",INDEX(I.Performance.StartRange,977))</f>
        <v/>
      </c>
      <c r="G1047" s="54"/>
      <c r="H1047" s="52" t="str">
        <f>IF(AND(I.Compliance.FulfilledPerformance&gt;0,I.Performance.RangeCount&gt;=977,F1047=""),"Incomplete","Complete")</f>
        <v>Complete</v>
      </c>
      <c r="I1047" s="55" t="s">
        <v>1245</v>
      </c>
    </row>
    <row r="1048" spans="2:9" ht="15" customHeight="1" x14ac:dyDescent="0.25">
      <c r="B1048" s="51" t="s">
        <v>124</v>
      </c>
      <c r="C1048" s="52">
        <v>978</v>
      </c>
      <c r="D1048" s="53" t="s">
        <v>4326</v>
      </c>
      <c r="E1048" s="54"/>
      <c r="F1048" s="52" t="str">
        <f>IF(INDEX(I.Performance.StartRange,978)="","",INDEX(I.Performance.StartRange,978))</f>
        <v/>
      </c>
      <c r="G1048" s="54"/>
      <c r="H1048" s="52" t="str">
        <f>IF(AND(I.Compliance.FulfilledPerformance&gt;0,I.Performance.RangeCount&gt;=978,F1048=""),"Incomplete","Complete")</f>
        <v>Complete</v>
      </c>
      <c r="I1048" s="55" t="s">
        <v>1246</v>
      </c>
    </row>
    <row r="1049" spans="2:9" ht="15" customHeight="1" x14ac:dyDescent="0.25">
      <c r="B1049" s="51" t="s">
        <v>124</v>
      </c>
      <c r="C1049" s="52">
        <v>979</v>
      </c>
      <c r="D1049" s="53" t="s">
        <v>4326</v>
      </c>
      <c r="E1049" s="54"/>
      <c r="F1049" s="52" t="str">
        <f>IF(INDEX(I.Performance.StartRange,979)="","",INDEX(I.Performance.StartRange,979))</f>
        <v/>
      </c>
      <c r="G1049" s="54"/>
      <c r="H1049" s="52" t="str">
        <f>IF(AND(I.Compliance.FulfilledPerformance&gt;0,I.Performance.RangeCount&gt;=979,F1049=""),"Incomplete","Complete")</f>
        <v>Complete</v>
      </c>
      <c r="I1049" s="55" t="s">
        <v>1247</v>
      </c>
    </row>
    <row r="1050" spans="2:9" ht="15" customHeight="1" x14ac:dyDescent="0.25">
      <c r="B1050" s="51" t="s">
        <v>124</v>
      </c>
      <c r="C1050" s="52">
        <v>980</v>
      </c>
      <c r="D1050" s="53" t="s">
        <v>4326</v>
      </c>
      <c r="E1050" s="54"/>
      <c r="F1050" s="52" t="str">
        <f>IF(INDEX(I.Performance.StartRange,980)="","",INDEX(I.Performance.StartRange,980))</f>
        <v/>
      </c>
      <c r="G1050" s="54"/>
      <c r="H1050" s="52" t="str">
        <f>IF(AND(I.Compliance.FulfilledPerformance&gt;0,I.Performance.RangeCount&gt;=980,F1050=""),"Incomplete","Complete")</f>
        <v>Complete</v>
      </c>
      <c r="I1050" s="55" t="s">
        <v>1248</v>
      </c>
    </row>
    <row r="1051" spans="2:9" ht="15" customHeight="1" x14ac:dyDescent="0.25">
      <c r="B1051" s="51" t="s">
        <v>124</v>
      </c>
      <c r="C1051" s="52">
        <v>981</v>
      </c>
      <c r="D1051" s="53" t="s">
        <v>4326</v>
      </c>
      <c r="E1051" s="54"/>
      <c r="F1051" s="52" t="str">
        <f>IF(INDEX(I.Performance.StartRange,981)="","",INDEX(I.Performance.StartRange,981))</f>
        <v/>
      </c>
      <c r="G1051" s="54"/>
      <c r="H1051" s="52" t="str">
        <f>IF(AND(I.Compliance.FulfilledPerformance&gt;0,I.Performance.RangeCount&gt;=981,F1051=""),"Incomplete","Complete")</f>
        <v>Complete</v>
      </c>
      <c r="I1051" s="55" t="s">
        <v>1249</v>
      </c>
    </row>
    <row r="1052" spans="2:9" ht="15" customHeight="1" x14ac:dyDescent="0.25">
      <c r="B1052" s="51" t="s">
        <v>124</v>
      </c>
      <c r="C1052" s="52">
        <v>982</v>
      </c>
      <c r="D1052" s="53" t="s">
        <v>4326</v>
      </c>
      <c r="E1052" s="54"/>
      <c r="F1052" s="52" t="str">
        <f>IF(INDEX(I.Performance.StartRange,982)="","",INDEX(I.Performance.StartRange,982))</f>
        <v/>
      </c>
      <c r="G1052" s="54"/>
      <c r="H1052" s="52" t="str">
        <f>IF(AND(I.Compliance.FulfilledPerformance&gt;0,I.Performance.RangeCount&gt;=982,F1052=""),"Incomplete","Complete")</f>
        <v>Complete</v>
      </c>
      <c r="I1052" s="55" t="s">
        <v>1250</v>
      </c>
    </row>
    <row r="1053" spans="2:9" ht="15" customHeight="1" x14ac:dyDescent="0.25">
      <c r="B1053" s="51" t="s">
        <v>124</v>
      </c>
      <c r="C1053" s="52">
        <v>983</v>
      </c>
      <c r="D1053" s="53" t="s">
        <v>4326</v>
      </c>
      <c r="E1053" s="54"/>
      <c r="F1053" s="52" t="str">
        <f>IF(INDEX(I.Performance.StartRange,983)="","",INDEX(I.Performance.StartRange,983))</f>
        <v/>
      </c>
      <c r="G1053" s="54"/>
      <c r="H1053" s="52" t="str">
        <f>IF(AND(I.Compliance.FulfilledPerformance&gt;0,I.Performance.RangeCount&gt;=983,F1053=""),"Incomplete","Complete")</f>
        <v>Complete</v>
      </c>
      <c r="I1053" s="55" t="s">
        <v>1251</v>
      </c>
    </row>
    <row r="1054" spans="2:9" ht="15" customHeight="1" x14ac:dyDescent="0.25">
      <c r="B1054" s="51" t="s">
        <v>124</v>
      </c>
      <c r="C1054" s="52">
        <v>984</v>
      </c>
      <c r="D1054" s="53" t="s">
        <v>4326</v>
      </c>
      <c r="E1054" s="54"/>
      <c r="F1054" s="52" t="str">
        <f>IF(INDEX(I.Performance.StartRange,984)="","",INDEX(I.Performance.StartRange,984))</f>
        <v/>
      </c>
      <c r="G1054" s="54"/>
      <c r="H1054" s="52" t="str">
        <f>IF(AND(I.Compliance.FulfilledPerformance&gt;0,I.Performance.RangeCount&gt;=984,F1054=""),"Incomplete","Complete")</f>
        <v>Complete</v>
      </c>
      <c r="I1054" s="55" t="s">
        <v>1252</v>
      </c>
    </row>
    <row r="1055" spans="2:9" ht="15" customHeight="1" x14ac:dyDescent="0.25">
      <c r="B1055" s="51" t="s">
        <v>124</v>
      </c>
      <c r="C1055" s="52">
        <v>985</v>
      </c>
      <c r="D1055" s="53" t="s">
        <v>4326</v>
      </c>
      <c r="E1055" s="54"/>
      <c r="F1055" s="52" t="str">
        <f>IF(INDEX(I.Performance.StartRange,985)="","",INDEX(I.Performance.StartRange,985))</f>
        <v/>
      </c>
      <c r="G1055" s="54"/>
      <c r="H1055" s="52" t="str">
        <f>IF(AND(I.Compliance.FulfilledPerformance&gt;0,I.Performance.RangeCount&gt;=985,F1055=""),"Incomplete","Complete")</f>
        <v>Complete</v>
      </c>
      <c r="I1055" s="55" t="s">
        <v>1253</v>
      </c>
    </row>
    <row r="1056" spans="2:9" ht="15" customHeight="1" x14ac:dyDescent="0.25">
      <c r="B1056" s="51" t="s">
        <v>124</v>
      </c>
      <c r="C1056" s="52">
        <v>986</v>
      </c>
      <c r="D1056" s="53" t="s">
        <v>4326</v>
      </c>
      <c r="E1056" s="54"/>
      <c r="F1056" s="52" t="str">
        <f>IF(INDEX(I.Performance.StartRange,986)="","",INDEX(I.Performance.StartRange,986))</f>
        <v/>
      </c>
      <c r="G1056" s="54"/>
      <c r="H1056" s="52" t="str">
        <f>IF(AND(I.Compliance.FulfilledPerformance&gt;0,I.Performance.RangeCount&gt;=986,F1056=""),"Incomplete","Complete")</f>
        <v>Complete</v>
      </c>
      <c r="I1056" s="55" t="s">
        <v>1254</v>
      </c>
    </row>
    <row r="1057" spans="2:9" ht="15" customHeight="1" x14ac:dyDescent="0.25">
      <c r="B1057" s="51" t="s">
        <v>124</v>
      </c>
      <c r="C1057" s="52">
        <v>987</v>
      </c>
      <c r="D1057" s="53" t="s">
        <v>4326</v>
      </c>
      <c r="E1057" s="54"/>
      <c r="F1057" s="52" t="str">
        <f>IF(INDEX(I.Performance.StartRange,987)="","",INDEX(I.Performance.StartRange,987))</f>
        <v/>
      </c>
      <c r="G1057" s="54"/>
      <c r="H1057" s="52" t="str">
        <f>IF(AND(I.Compliance.FulfilledPerformance&gt;0,I.Performance.RangeCount&gt;=987,F1057=""),"Incomplete","Complete")</f>
        <v>Complete</v>
      </c>
      <c r="I1057" s="55" t="s">
        <v>1255</v>
      </c>
    </row>
    <row r="1058" spans="2:9" ht="15" customHeight="1" x14ac:dyDescent="0.25">
      <c r="B1058" s="51" t="s">
        <v>124</v>
      </c>
      <c r="C1058" s="52">
        <v>988</v>
      </c>
      <c r="D1058" s="53" t="s">
        <v>4326</v>
      </c>
      <c r="E1058" s="54"/>
      <c r="F1058" s="52" t="str">
        <f>IF(INDEX(I.Performance.StartRange,988)="","",INDEX(I.Performance.StartRange,988))</f>
        <v/>
      </c>
      <c r="G1058" s="54"/>
      <c r="H1058" s="52" t="str">
        <f>IF(AND(I.Compliance.FulfilledPerformance&gt;0,I.Performance.RangeCount&gt;=988,F1058=""),"Incomplete","Complete")</f>
        <v>Complete</v>
      </c>
      <c r="I1058" s="55" t="s">
        <v>1256</v>
      </c>
    </row>
    <row r="1059" spans="2:9" ht="15" customHeight="1" x14ac:dyDescent="0.25">
      <c r="B1059" s="51" t="s">
        <v>124</v>
      </c>
      <c r="C1059" s="52">
        <v>989</v>
      </c>
      <c r="D1059" s="53" t="s">
        <v>4326</v>
      </c>
      <c r="E1059" s="54"/>
      <c r="F1059" s="52" t="str">
        <f>IF(INDEX(I.Performance.StartRange,989)="","",INDEX(I.Performance.StartRange,989))</f>
        <v/>
      </c>
      <c r="G1059" s="54"/>
      <c r="H1059" s="52" t="str">
        <f>IF(AND(I.Compliance.FulfilledPerformance&gt;0,I.Performance.RangeCount&gt;=989,F1059=""),"Incomplete","Complete")</f>
        <v>Complete</v>
      </c>
      <c r="I1059" s="55" t="s">
        <v>1257</v>
      </c>
    </row>
    <row r="1060" spans="2:9" ht="15" customHeight="1" x14ac:dyDescent="0.25">
      <c r="B1060" s="51" t="s">
        <v>124</v>
      </c>
      <c r="C1060" s="52">
        <v>990</v>
      </c>
      <c r="D1060" s="53" t="s">
        <v>4326</v>
      </c>
      <c r="E1060" s="54"/>
      <c r="F1060" s="52" t="str">
        <f>IF(INDEX(I.Performance.StartRange,990)="","",INDEX(I.Performance.StartRange,990))</f>
        <v/>
      </c>
      <c r="G1060" s="54"/>
      <c r="H1060" s="52" t="str">
        <f>IF(AND(I.Compliance.FulfilledPerformance&gt;0,I.Performance.RangeCount&gt;=990,F1060=""),"Incomplete","Complete")</f>
        <v>Complete</v>
      </c>
      <c r="I1060" s="55" t="s">
        <v>1258</v>
      </c>
    </row>
    <row r="1061" spans="2:9" ht="15" customHeight="1" x14ac:dyDescent="0.25">
      <c r="B1061" s="51" t="s">
        <v>124</v>
      </c>
      <c r="C1061" s="52">
        <v>991</v>
      </c>
      <c r="D1061" s="53" t="s">
        <v>4326</v>
      </c>
      <c r="E1061" s="54"/>
      <c r="F1061" s="52" t="str">
        <f>IF(INDEX(I.Performance.StartRange,991)="","",INDEX(I.Performance.StartRange,991))</f>
        <v/>
      </c>
      <c r="G1061" s="54"/>
      <c r="H1061" s="52" t="str">
        <f>IF(AND(I.Compliance.FulfilledPerformance&gt;0,I.Performance.RangeCount&gt;=991,F1061=""),"Incomplete","Complete")</f>
        <v>Complete</v>
      </c>
      <c r="I1061" s="55" t="s">
        <v>1259</v>
      </c>
    </row>
    <row r="1062" spans="2:9" ht="15" customHeight="1" x14ac:dyDescent="0.25">
      <c r="B1062" s="51" t="s">
        <v>124</v>
      </c>
      <c r="C1062" s="52">
        <v>992</v>
      </c>
      <c r="D1062" s="53" t="s">
        <v>4326</v>
      </c>
      <c r="E1062" s="54"/>
      <c r="F1062" s="52" t="str">
        <f>IF(INDEX(I.Performance.StartRange,992)="","",INDEX(I.Performance.StartRange,992))</f>
        <v/>
      </c>
      <c r="G1062" s="54"/>
      <c r="H1062" s="52" t="str">
        <f>IF(AND(I.Compliance.FulfilledPerformance&gt;0,I.Performance.RangeCount&gt;=992,F1062=""),"Incomplete","Complete")</f>
        <v>Complete</v>
      </c>
      <c r="I1062" s="55" t="s">
        <v>1260</v>
      </c>
    </row>
    <row r="1063" spans="2:9" ht="15" customHeight="1" x14ac:dyDescent="0.25">
      <c r="B1063" s="51" t="s">
        <v>124</v>
      </c>
      <c r="C1063" s="52">
        <v>993</v>
      </c>
      <c r="D1063" s="53" t="s">
        <v>4326</v>
      </c>
      <c r="E1063" s="54"/>
      <c r="F1063" s="52" t="str">
        <f>IF(INDEX(I.Performance.StartRange,993)="","",INDEX(I.Performance.StartRange,993))</f>
        <v/>
      </c>
      <c r="G1063" s="54"/>
      <c r="H1063" s="52" t="str">
        <f>IF(AND(I.Compliance.FulfilledPerformance&gt;0,I.Performance.RangeCount&gt;=993,F1063=""),"Incomplete","Complete")</f>
        <v>Complete</v>
      </c>
      <c r="I1063" s="55" t="s">
        <v>1261</v>
      </c>
    </row>
    <row r="1064" spans="2:9" ht="15" customHeight="1" x14ac:dyDescent="0.25">
      <c r="B1064" s="51" t="s">
        <v>124</v>
      </c>
      <c r="C1064" s="52">
        <v>994</v>
      </c>
      <c r="D1064" s="53" t="s">
        <v>4326</v>
      </c>
      <c r="E1064" s="54"/>
      <c r="F1064" s="52" t="str">
        <f>IF(INDEX(I.Performance.StartRange,994)="","",INDEX(I.Performance.StartRange,994))</f>
        <v/>
      </c>
      <c r="G1064" s="54"/>
      <c r="H1064" s="52" t="str">
        <f>IF(AND(I.Compliance.FulfilledPerformance&gt;0,I.Performance.RangeCount&gt;=994,F1064=""),"Incomplete","Complete")</f>
        <v>Complete</v>
      </c>
      <c r="I1064" s="55" t="s">
        <v>1262</v>
      </c>
    </row>
    <row r="1065" spans="2:9" ht="15" customHeight="1" x14ac:dyDescent="0.25">
      <c r="B1065" s="51" t="s">
        <v>124</v>
      </c>
      <c r="C1065" s="52">
        <v>995</v>
      </c>
      <c r="D1065" s="53" t="s">
        <v>4326</v>
      </c>
      <c r="E1065" s="54"/>
      <c r="F1065" s="52" t="str">
        <f>IF(INDEX(I.Performance.StartRange,995)="","",INDEX(I.Performance.StartRange,995))</f>
        <v/>
      </c>
      <c r="G1065" s="54"/>
      <c r="H1065" s="52" t="str">
        <f>IF(AND(I.Compliance.FulfilledPerformance&gt;0,I.Performance.RangeCount&gt;=995,F1065=""),"Incomplete","Complete")</f>
        <v>Complete</v>
      </c>
      <c r="I1065" s="55" t="s">
        <v>1263</v>
      </c>
    </row>
    <row r="1066" spans="2:9" ht="15" customHeight="1" x14ac:dyDescent="0.25">
      <c r="B1066" s="51" t="s">
        <v>124</v>
      </c>
      <c r="C1066" s="52">
        <v>996</v>
      </c>
      <c r="D1066" s="53" t="s">
        <v>4326</v>
      </c>
      <c r="E1066" s="54"/>
      <c r="F1066" s="52" t="str">
        <f>IF(INDEX(I.Performance.StartRange,996)="","",INDEX(I.Performance.StartRange,996))</f>
        <v/>
      </c>
      <c r="G1066" s="54"/>
      <c r="H1066" s="52" t="str">
        <f>IF(AND(I.Compliance.FulfilledPerformance&gt;0,I.Performance.RangeCount&gt;=996,F1066=""),"Incomplete","Complete")</f>
        <v>Complete</v>
      </c>
      <c r="I1066" s="55" t="s">
        <v>1264</v>
      </c>
    </row>
    <row r="1067" spans="2:9" ht="15" customHeight="1" x14ac:dyDescent="0.25">
      <c r="B1067" s="51" t="s">
        <v>124</v>
      </c>
      <c r="C1067" s="52">
        <v>997</v>
      </c>
      <c r="D1067" s="53" t="s">
        <v>4326</v>
      </c>
      <c r="E1067" s="54"/>
      <c r="F1067" s="52" t="str">
        <f>IF(INDEX(I.Performance.StartRange,997)="","",INDEX(I.Performance.StartRange,997))</f>
        <v/>
      </c>
      <c r="G1067" s="54"/>
      <c r="H1067" s="52" t="str">
        <f>IF(AND(I.Compliance.FulfilledPerformance&gt;0,I.Performance.RangeCount&gt;=997,F1067=""),"Incomplete","Complete")</f>
        <v>Complete</v>
      </c>
      <c r="I1067" s="55" t="s">
        <v>1265</v>
      </c>
    </row>
    <row r="1068" spans="2:9" ht="15" customHeight="1" x14ac:dyDescent="0.25">
      <c r="B1068" s="51" t="s">
        <v>124</v>
      </c>
      <c r="C1068" s="52">
        <v>998</v>
      </c>
      <c r="D1068" s="53" t="s">
        <v>4326</v>
      </c>
      <c r="E1068" s="54"/>
      <c r="F1068" s="52" t="str">
        <f>IF(INDEX(I.Performance.StartRange,998)="","",INDEX(I.Performance.StartRange,998))</f>
        <v/>
      </c>
      <c r="G1068" s="54"/>
      <c r="H1068" s="52" t="str">
        <f>IF(AND(I.Compliance.FulfilledPerformance&gt;0,I.Performance.RangeCount&gt;=998,F1068=""),"Incomplete","Complete")</f>
        <v>Complete</v>
      </c>
      <c r="I1068" s="55" t="s">
        <v>1266</v>
      </c>
    </row>
    <row r="1069" spans="2:9" ht="15" customHeight="1" x14ac:dyDescent="0.25">
      <c r="B1069" s="51" t="s">
        <v>124</v>
      </c>
      <c r="C1069" s="52">
        <v>999</v>
      </c>
      <c r="D1069" s="53" t="s">
        <v>4326</v>
      </c>
      <c r="E1069" s="54"/>
      <c r="F1069" s="52" t="str">
        <f>IF(INDEX(I.Performance.StartRange,999)="","",INDEX(I.Performance.StartRange,999))</f>
        <v/>
      </c>
      <c r="G1069" s="54"/>
      <c r="H1069" s="52" t="str">
        <f>IF(AND(I.Compliance.FulfilledPerformance&gt;0,I.Performance.RangeCount&gt;=999,F1069=""),"Incomplete","Complete")</f>
        <v>Complete</v>
      </c>
      <c r="I1069" s="55" t="s">
        <v>1267</v>
      </c>
    </row>
    <row r="1070" spans="2:9" ht="15" customHeight="1" x14ac:dyDescent="0.25">
      <c r="B1070" s="67" t="s">
        <v>124</v>
      </c>
      <c r="C1070" s="68">
        <v>1000</v>
      </c>
      <c r="D1070" s="69" t="s">
        <v>4326</v>
      </c>
      <c r="E1070" s="70"/>
      <c r="F1070" s="68" t="str">
        <f>IF(INDEX(I.Performance.StartRange,1000)="","",INDEX(I.Performance.StartRange,1000))</f>
        <v/>
      </c>
      <c r="G1070" s="70"/>
      <c r="H1070" s="68" t="str">
        <f>IF(AND(I.Compliance.FulfilledPerformance&gt;0,I.Performance.RangeCount&gt;=1000,F1070=""),"Incomplete","Complete")</f>
        <v>Complete</v>
      </c>
      <c r="I1070" s="71" t="s">
        <v>1268</v>
      </c>
    </row>
    <row r="1071" spans="2:9" ht="15" customHeight="1" x14ac:dyDescent="0.25">
      <c r="B1071" s="72" t="s">
        <v>125</v>
      </c>
      <c r="C1071" s="73">
        <v>1</v>
      </c>
      <c r="D1071" s="74" t="s">
        <v>4327</v>
      </c>
      <c r="E1071" s="76"/>
      <c r="F1071" s="73" t="str">
        <f>IF(INDEX(I.Performance.EndRange,1)="","",INDEX(I.Performance.EndRange,1))</f>
        <v/>
      </c>
      <c r="G1071" s="76"/>
      <c r="H1071" s="73" t="str">
        <f>IF(AND(I.Compliance.FulfilledPerformance&gt;0,I.Performance.RangeCount&gt;=1,F1071=""),"Incomplete","Complete")</f>
        <v>Complete</v>
      </c>
      <c r="I1071" s="75" t="s">
        <v>1269</v>
      </c>
    </row>
    <row r="1072" spans="2:9" ht="15" customHeight="1" x14ac:dyDescent="0.25">
      <c r="B1072" s="51" t="s">
        <v>125</v>
      </c>
      <c r="C1072" s="52">
        <v>2</v>
      </c>
      <c r="D1072" s="53" t="s">
        <v>4327</v>
      </c>
      <c r="E1072" s="54"/>
      <c r="F1072" s="52" t="str">
        <f>IF(INDEX(I.Performance.EndRange,2)="","",INDEX(I.Performance.EndRange,2))</f>
        <v/>
      </c>
      <c r="G1072" s="54"/>
      <c r="H1072" s="52" t="str">
        <f>IF(AND(I.Compliance.FulfilledPerformance&gt;0,I.Performance.RangeCount&gt;=2,F1072=""),"Incomplete","Complete")</f>
        <v>Complete</v>
      </c>
      <c r="I1072" s="55" t="s">
        <v>1270</v>
      </c>
    </row>
    <row r="1073" spans="2:9" ht="15" customHeight="1" x14ac:dyDescent="0.25">
      <c r="B1073" s="51" t="s">
        <v>125</v>
      </c>
      <c r="C1073" s="52">
        <v>3</v>
      </c>
      <c r="D1073" s="53" t="s">
        <v>4327</v>
      </c>
      <c r="E1073" s="54"/>
      <c r="F1073" s="52" t="str">
        <f>IF(INDEX(I.Performance.EndRange,3)="","",INDEX(I.Performance.EndRange,3))</f>
        <v/>
      </c>
      <c r="G1073" s="54"/>
      <c r="H1073" s="52" t="str">
        <f>IF(AND(I.Compliance.FulfilledPerformance&gt;0,I.Performance.RangeCount&gt;=3,F1073=""),"Incomplete","Complete")</f>
        <v>Complete</v>
      </c>
      <c r="I1073" s="55" t="s">
        <v>1271</v>
      </c>
    </row>
    <row r="1074" spans="2:9" ht="15" customHeight="1" x14ac:dyDescent="0.25">
      <c r="B1074" s="51" t="s">
        <v>125</v>
      </c>
      <c r="C1074" s="52">
        <v>4</v>
      </c>
      <c r="D1074" s="53" t="s">
        <v>4327</v>
      </c>
      <c r="E1074" s="54"/>
      <c r="F1074" s="52" t="str">
        <f>IF(INDEX(I.Performance.EndRange,4)="","",INDEX(I.Performance.EndRange,4))</f>
        <v/>
      </c>
      <c r="G1074" s="54"/>
      <c r="H1074" s="52" t="str">
        <f>IF(AND(I.Compliance.FulfilledPerformance&gt;0,I.Performance.RangeCount&gt;=4,F1074=""),"Incomplete","Complete")</f>
        <v>Complete</v>
      </c>
      <c r="I1074" s="55" t="s">
        <v>1272</v>
      </c>
    </row>
    <row r="1075" spans="2:9" ht="15" customHeight="1" x14ac:dyDescent="0.25">
      <c r="B1075" s="51" t="s">
        <v>125</v>
      </c>
      <c r="C1075" s="52">
        <v>5</v>
      </c>
      <c r="D1075" s="53" t="s">
        <v>4327</v>
      </c>
      <c r="E1075" s="54"/>
      <c r="F1075" s="52" t="str">
        <f>IF(INDEX(I.Performance.EndRange,5)="","",INDEX(I.Performance.EndRange,5))</f>
        <v/>
      </c>
      <c r="G1075" s="54"/>
      <c r="H1075" s="52" t="str">
        <f>IF(AND(I.Compliance.FulfilledPerformance&gt;0,I.Performance.RangeCount&gt;=5,F1075=""),"Incomplete","Complete")</f>
        <v>Complete</v>
      </c>
      <c r="I1075" s="55" t="s">
        <v>1273</v>
      </c>
    </row>
    <row r="1076" spans="2:9" ht="15" customHeight="1" x14ac:dyDescent="0.25">
      <c r="B1076" s="51" t="s">
        <v>125</v>
      </c>
      <c r="C1076" s="52">
        <v>6</v>
      </c>
      <c r="D1076" s="53" t="s">
        <v>4327</v>
      </c>
      <c r="E1076" s="54"/>
      <c r="F1076" s="52" t="str">
        <f>IF(INDEX(I.Performance.EndRange,6)="","",INDEX(I.Performance.EndRange,6))</f>
        <v/>
      </c>
      <c r="G1076" s="54"/>
      <c r="H1076" s="52" t="str">
        <f>IF(AND(I.Compliance.FulfilledPerformance&gt;0,I.Performance.RangeCount&gt;=6,F1076=""),"Incomplete","Complete")</f>
        <v>Complete</v>
      </c>
      <c r="I1076" s="55" t="s">
        <v>1274</v>
      </c>
    </row>
    <row r="1077" spans="2:9" ht="15" customHeight="1" x14ac:dyDescent="0.25">
      <c r="B1077" s="51" t="s">
        <v>125</v>
      </c>
      <c r="C1077" s="52">
        <v>7</v>
      </c>
      <c r="D1077" s="53" t="s">
        <v>4327</v>
      </c>
      <c r="E1077" s="54"/>
      <c r="F1077" s="52" t="str">
        <f>IF(INDEX(I.Performance.EndRange,7)="","",INDEX(I.Performance.EndRange,7))</f>
        <v/>
      </c>
      <c r="G1077" s="54"/>
      <c r="H1077" s="52" t="str">
        <f>IF(AND(I.Compliance.FulfilledPerformance&gt;0,I.Performance.RangeCount&gt;=7,F1077=""),"Incomplete","Complete")</f>
        <v>Complete</v>
      </c>
      <c r="I1077" s="55" t="s">
        <v>1275</v>
      </c>
    </row>
    <row r="1078" spans="2:9" ht="15" customHeight="1" x14ac:dyDescent="0.25">
      <c r="B1078" s="51" t="s">
        <v>125</v>
      </c>
      <c r="C1078" s="52">
        <v>8</v>
      </c>
      <c r="D1078" s="53" t="s">
        <v>4327</v>
      </c>
      <c r="E1078" s="54"/>
      <c r="F1078" s="52" t="str">
        <f>IF(INDEX(I.Performance.EndRange,8)="","",INDEX(I.Performance.EndRange,8))</f>
        <v/>
      </c>
      <c r="G1078" s="54"/>
      <c r="H1078" s="52" t="str">
        <f>IF(AND(I.Compliance.FulfilledPerformance&gt;0,I.Performance.RangeCount&gt;=8,F1078=""),"Incomplete","Complete")</f>
        <v>Complete</v>
      </c>
      <c r="I1078" s="55" t="s">
        <v>1276</v>
      </c>
    </row>
    <row r="1079" spans="2:9" ht="15" customHeight="1" x14ac:dyDescent="0.25">
      <c r="B1079" s="51" t="s">
        <v>125</v>
      </c>
      <c r="C1079" s="52">
        <v>9</v>
      </c>
      <c r="D1079" s="53" t="s">
        <v>4327</v>
      </c>
      <c r="E1079" s="54"/>
      <c r="F1079" s="52" t="str">
        <f>IF(INDEX(I.Performance.EndRange,9)="","",INDEX(I.Performance.EndRange,9))</f>
        <v/>
      </c>
      <c r="G1079" s="54"/>
      <c r="H1079" s="52" t="str">
        <f>IF(AND(I.Compliance.FulfilledPerformance&gt;0,I.Performance.RangeCount&gt;=9,F1079=""),"Incomplete","Complete")</f>
        <v>Complete</v>
      </c>
      <c r="I1079" s="55" t="s">
        <v>1277</v>
      </c>
    </row>
    <row r="1080" spans="2:9" ht="15" customHeight="1" x14ac:dyDescent="0.25">
      <c r="B1080" s="51" t="s">
        <v>125</v>
      </c>
      <c r="C1080" s="52">
        <v>10</v>
      </c>
      <c r="D1080" s="53" t="s">
        <v>4327</v>
      </c>
      <c r="E1080" s="54"/>
      <c r="F1080" s="52" t="str">
        <f>IF(INDEX(I.Performance.EndRange,10)="","",INDEX(I.Performance.EndRange,10))</f>
        <v/>
      </c>
      <c r="G1080" s="54"/>
      <c r="H1080" s="52" t="str">
        <f>IF(AND(I.Compliance.FulfilledPerformance&gt;0,I.Performance.RangeCount&gt;=10,F1080=""),"Incomplete","Complete")</f>
        <v>Complete</v>
      </c>
      <c r="I1080" s="55" t="s">
        <v>1278</v>
      </c>
    </row>
    <row r="1081" spans="2:9" ht="15" customHeight="1" x14ac:dyDescent="0.25">
      <c r="B1081" s="36" t="s">
        <v>125</v>
      </c>
      <c r="C1081" s="24">
        <v>11</v>
      </c>
      <c r="D1081" s="37" t="s">
        <v>4327</v>
      </c>
      <c r="E1081" s="47"/>
      <c r="F1081" s="24" t="str">
        <f>IF(INDEX(I.Performance.EndRange,11)="","",INDEX(I.Performance.EndRange,11))</f>
        <v/>
      </c>
      <c r="G1081" s="47"/>
      <c r="H1081" s="24" t="str">
        <f>IF(AND(I.Compliance.FulfilledPerformance&gt;0,I.Performance.RangeCount&gt;=11,F1081=""),"Incomplete","Complete")</f>
        <v>Complete</v>
      </c>
      <c r="I1081" s="39" t="s">
        <v>1279</v>
      </c>
    </row>
    <row r="1082" spans="2:9" ht="15" customHeight="1" x14ac:dyDescent="0.25">
      <c r="B1082" s="51" t="s">
        <v>125</v>
      </c>
      <c r="C1082" s="52">
        <v>12</v>
      </c>
      <c r="D1082" s="53" t="s">
        <v>4327</v>
      </c>
      <c r="E1082" s="54"/>
      <c r="F1082" s="52" t="str">
        <f>IF(INDEX(I.Performance.EndRange,12)="","",INDEX(I.Performance.EndRange,12))</f>
        <v/>
      </c>
      <c r="G1082" s="54"/>
      <c r="H1082" s="52" t="str">
        <f>IF(AND(I.Compliance.FulfilledPerformance&gt;0,I.Performance.RangeCount&gt;=12,F1082=""),"Incomplete","Complete")</f>
        <v>Complete</v>
      </c>
      <c r="I1082" s="55" t="s">
        <v>1280</v>
      </c>
    </row>
    <row r="1083" spans="2:9" ht="15" customHeight="1" x14ac:dyDescent="0.25">
      <c r="B1083" s="36" t="s">
        <v>125</v>
      </c>
      <c r="C1083" s="24">
        <v>13</v>
      </c>
      <c r="D1083" s="37" t="s">
        <v>4327</v>
      </c>
      <c r="E1083" s="47"/>
      <c r="F1083" s="24" t="str">
        <f>IF(INDEX(I.Performance.EndRange,13)="","",INDEX(I.Performance.EndRange,13))</f>
        <v/>
      </c>
      <c r="G1083" s="47"/>
      <c r="H1083" s="24" t="str">
        <f>IF(AND(I.Compliance.FulfilledPerformance&gt;0,I.Performance.RangeCount&gt;=13,F1083=""),"Incomplete","Complete")</f>
        <v>Complete</v>
      </c>
      <c r="I1083" s="39" t="s">
        <v>1281</v>
      </c>
    </row>
    <row r="1084" spans="2:9" ht="15" customHeight="1" x14ac:dyDescent="0.25">
      <c r="B1084" s="51" t="s">
        <v>125</v>
      </c>
      <c r="C1084" s="52">
        <v>14</v>
      </c>
      <c r="D1084" s="53" t="s">
        <v>4327</v>
      </c>
      <c r="E1084" s="54"/>
      <c r="F1084" s="52" t="str">
        <f>IF(INDEX(I.Performance.EndRange,14)="","",INDEX(I.Performance.EndRange,14))</f>
        <v/>
      </c>
      <c r="G1084" s="54"/>
      <c r="H1084" s="52" t="str">
        <f>IF(AND(I.Compliance.FulfilledPerformance&gt;0,I.Performance.RangeCount&gt;=14,F1084=""),"Incomplete","Complete")</f>
        <v>Complete</v>
      </c>
      <c r="I1084" s="55" t="s">
        <v>1282</v>
      </c>
    </row>
    <row r="1085" spans="2:9" ht="15" customHeight="1" x14ac:dyDescent="0.25">
      <c r="B1085" s="51" t="s">
        <v>125</v>
      </c>
      <c r="C1085" s="52">
        <v>15</v>
      </c>
      <c r="D1085" s="53" t="s">
        <v>4327</v>
      </c>
      <c r="E1085" s="54"/>
      <c r="F1085" s="52" t="str">
        <f>IF(INDEX(I.Performance.EndRange,15)="","",INDEX(I.Performance.EndRange,15))</f>
        <v/>
      </c>
      <c r="G1085" s="54"/>
      <c r="H1085" s="52" t="str">
        <f>IF(AND(I.Compliance.FulfilledPerformance&gt;0,I.Performance.RangeCount&gt;=15,F1085=""),"Incomplete","Complete")</f>
        <v>Complete</v>
      </c>
      <c r="I1085" s="55" t="s">
        <v>1283</v>
      </c>
    </row>
    <row r="1086" spans="2:9" ht="15" customHeight="1" x14ac:dyDescent="0.25">
      <c r="B1086" s="51" t="s">
        <v>125</v>
      </c>
      <c r="C1086" s="52">
        <v>16</v>
      </c>
      <c r="D1086" s="53" t="s">
        <v>4327</v>
      </c>
      <c r="E1086" s="54"/>
      <c r="F1086" s="52" t="str">
        <f>IF(INDEX(I.Performance.EndRange,16)="","",INDEX(I.Performance.EndRange,16))</f>
        <v/>
      </c>
      <c r="G1086" s="54"/>
      <c r="H1086" s="52" t="str">
        <f>IF(AND(I.Compliance.FulfilledPerformance&gt;0,I.Performance.RangeCount&gt;=16,F1086=""),"Incomplete","Complete")</f>
        <v>Complete</v>
      </c>
      <c r="I1086" s="55" t="s">
        <v>1284</v>
      </c>
    </row>
    <row r="1087" spans="2:9" ht="15" customHeight="1" x14ac:dyDescent="0.25">
      <c r="B1087" s="51" t="s">
        <v>125</v>
      </c>
      <c r="C1087" s="52">
        <v>17</v>
      </c>
      <c r="D1087" s="53" t="s">
        <v>4327</v>
      </c>
      <c r="E1087" s="54"/>
      <c r="F1087" s="52" t="str">
        <f>IF(INDEX(I.Performance.EndRange,17)="","",INDEX(I.Performance.EndRange,17))</f>
        <v/>
      </c>
      <c r="G1087" s="54"/>
      <c r="H1087" s="52" t="str">
        <f>IF(AND(I.Compliance.FulfilledPerformance&gt;0,I.Performance.RangeCount&gt;=17,F1087=""),"Incomplete","Complete")</f>
        <v>Complete</v>
      </c>
      <c r="I1087" s="55" t="s">
        <v>1285</v>
      </c>
    </row>
    <row r="1088" spans="2:9" ht="15" customHeight="1" x14ac:dyDescent="0.25">
      <c r="B1088" s="51" t="s">
        <v>125</v>
      </c>
      <c r="C1088" s="52">
        <v>18</v>
      </c>
      <c r="D1088" s="53" t="s">
        <v>4327</v>
      </c>
      <c r="E1088" s="54"/>
      <c r="F1088" s="52" t="str">
        <f>IF(INDEX(I.Performance.EndRange,18)="","",INDEX(I.Performance.EndRange,18))</f>
        <v/>
      </c>
      <c r="G1088" s="54"/>
      <c r="H1088" s="52" t="str">
        <f>IF(AND(I.Compliance.FulfilledPerformance&gt;0,I.Performance.RangeCount&gt;=18,F1088=""),"Incomplete","Complete")</f>
        <v>Complete</v>
      </c>
      <c r="I1088" s="55" t="s">
        <v>1286</v>
      </c>
    </row>
    <row r="1089" spans="2:9" ht="15" customHeight="1" x14ac:dyDescent="0.25">
      <c r="B1089" s="51" t="s">
        <v>125</v>
      </c>
      <c r="C1089" s="52">
        <v>19</v>
      </c>
      <c r="D1089" s="53" t="s">
        <v>4327</v>
      </c>
      <c r="E1089" s="54"/>
      <c r="F1089" s="52" t="str">
        <f>IF(INDEX(I.Performance.EndRange,19)="","",INDEX(I.Performance.EndRange,19))</f>
        <v/>
      </c>
      <c r="G1089" s="54"/>
      <c r="H1089" s="52" t="str">
        <f>IF(AND(I.Compliance.FulfilledPerformance&gt;0,I.Performance.RangeCount&gt;=19,F1089=""),"Incomplete","Complete")</f>
        <v>Complete</v>
      </c>
      <c r="I1089" s="55" t="s">
        <v>1287</v>
      </c>
    </row>
    <row r="1090" spans="2:9" ht="15" customHeight="1" x14ac:dyDescent="0.25">
      <c r="B1090" s="51" t="s">
        <v>125</v>
      </c>
      <c r="C1090" s="52">
        <v>20</v>
      </c>
      <c r="D1090" s="53" t="s">
        <v>4327</v>
      </c>
      <c r="E1090" s="54"/>
      <c r="F1090" s="52" t="str">
        <f>IF(INDEX(I.Performance.EndRange,20)="","",INDEX(I.Performance.EndRange,20))</f>
        <v/>
      </c>
      <c r="G1090" s="54"/>
      <c r="H1090" s="52" t="str">
        <f>IF(AND(I.Compliance.FulfilledPerformance&gt;0,I.Performance.RangeCount&gt;=20,F1090=""),"Incomplete","Complete")</f>
        <v>Complete</v>
      </c>
      <c r="I1090" s="55" t="s">
        <v>1288</v>
      </c>
    </row>
    <row r="1091" spans="2:9" ht="15" customHeight="1" x14ac:dyDescent="0.25">
      <c r="B1091" s="51" t="s">
        <v>125</v>
      </c>
      <c r="C1091" s="52">
        <v>21</v>
      </c>
      <c r="D1091" s="53" t="s">
        <v>4327</v>
      </c>
      <c r="E1091" s="54"/>
      <c r="F1091" s="52" t="str">
        <f>IF(INDEX(I.Performance.EndRange,21)="","",INDEX(I.Performance.EndRange,21))</f>
        <v/>
      </c>
      <c r="G1091" s="54"/>
      <c r="H1091" s="52" t="str">
        <f>IF(AND(I.Compliance.FulfilledPerformance&gt;0,I.Performance.RangeCount&gt;=21,F1091=""),"Incomplete","Complete")</f>
        <v>Complete</v>
      </c>
      <c r="I1091" s="55" t="s">
        <v>1289</v>
      </c>
    </row>
    <row r="1092" spans="2:9" ht="15" customHeight="1" x14ac:dyDescent="0.25">
      <c r="B1092" s="51" t="s">
        <v>125</v>
      </c>
      <c r="C1092" s="52">
        <v>22</v>
      </c>
      <c r="D1092" s="53" t="s">
        <v>4327</v>
      </c>
      <c r="E1092" s="54"/>
      <c r="F1092" s="52" t="str">
        <f>IF(INDEX(I.Performance.EndRange,22)="","",INDEX(I.Performance.EndRange,22))</f>
        <v/>
      </c>
      <c r="G1092" s="54"/>
      <c r="H1092" s="52" t="str">
        <f>IF(AND(I.Compliance.FulfilledPerformance&gt;0,I.Performance.RangeCount&gt;=22,F1092=""),"Incomplete","Complete")</f>
        <v>Complete</v>
      </c>
      <c r="I1092" s="55" t="s">
        <v>1290</v>
      </c>
    </row>
    <row r="1093" spans="2:9" ht="15" customHeight="1" x14ac:dyDescent="0.25">
      <c r="B1093" s="51" t="s">
        <v>125</v>
      </c>
      <c r="C1093" s="52">
        <v>23</v>
      </c>
      <c r="D1093" s="53" t="s">
        <v>4327</v>
      </c>
      <c r="E1093" s="54"/>
      <c r="F1093" s="52" t="str">
        <f>IF(INDEX(I.Performance.EndRange,23)="","",INDEX(I.Performance.EndRange,23))</f>
        <v/>
      </c>
      <c r="G1093" s="54"/>
      <c r="H1093" s="52" t="str">
        <f>IF(AND(I.Compliance.FulfilledPerformance&gt;0,I.Performance.RangeCount&gt;=23,F1093=""),"Incomplete","Complete")</f>
        <v>Complete</v>
      </c>
      <c r="I1093" s="55" t="s">
        <v>1291</v>
      </c>
    </row>
    <row r="1094" spans="2:9" ht="15" customHeight="1" x14ac:dyDescent="0.25">
      <c r="B1094" s="51" t="s">
        <v>125</v>
      </c>
      <c r="C1094" s="52">
        <v>24</v>
      </c>
      <c r="D1094" s="53" t="s">
        <v>4327</v>
      </c>
      <c r="E1094" s="54"/>
      <c r="F1094" s="52" t="str">
        <f>IF(INDEX(I.Performance.EndRange,24)="","",INDEX(I.Performance.EndRange,24))</f>
        <v/>
      </c>
      <c r="G1094" s="54"/>
      <c r="H1094" s="52" t="str">
        <f>IF(AND(I.Compliance.FulfilledPerformance&gt;0,I.Performance.RangeCount&gt;=24,F1094=""),"Incomplete","Complete")</f>
        <v>Complete</v>
      </c>
      <c r="I1094" s="55" t="s">
        <v>1292</v>
      </c>
    </row>
    <row r="1095" spans="2:9" ht="15" customHeight="1" x14ac:dyDescent="0.25">
      <c r="B1095" s="51" t="s">
        <v>125</v>
      </c>
      <c r="C1095" s="52">
        <v>25</v>
      </c>
      <c r="D1095" s="53" t="s">
        <v>4327</v>
      </c>
      <c r="E1095" s="54"/>
      <c r="F1095" s="52" t="str">
        <f>IF(INDEX(I.Performance.EndRange,25)="","",INDEX(I.Performance.EndRange,25))</f>
        <v/>
      </c>
      <c r="G1095" s="54"/>
      <c r="H1095" s="52" t="str">
        <f>IF(AND(I.Compliance.FulfilledPerformance&gt;0,I.Performance.RangeCount&gt;=25,F1095=""),"Incomplete","Complete")</f>
        <v>Complete</v>
      </c>
      <c r="I1095" s="55" t="s">
        <v>1293</v>
      </c>
    </row>
    <row r="1096" spans="2:9" ht="15" customHeight="1" x14ac:dyDescent="0.25">
      <c r="B1096" s="51" t="s">
        <v>125</v>
      </c>
      <c r="C1096" s="52">
        <v>26</v>
      </c>
      <c r="D1096" s="53" t="s">
        <v>4327</v>
      </c>
      <c r="E1096" s="54"/>
      <c r="F1096" s="52" t="str">
        <f>IF(INDEX(I.Performance.EndRange,26)="","",INDEX(I.Performance.EndRange,26))</f>
        <v/>
      </c>
      <c r="G1096" s="54"/>
      <c r="H1096" s="52" t="str">
        <f>IF(AND(I.Compliance.FulfilledPerformance&gt;0,I.Performance.RangeCount&gt;=26,F1096=""),"Incomplete","Complete")</f>
        <v>Complete</v>
      </c>
      <c r="I1096" s="55" t="s">
        <v>1294</v>
      </c>
    </row>
    <row r="1097" spans="2:9" ht="15" customHeight="1" x14ac:dyDescent="0.25">
      <c r="B1097" s="51" t="s">
        <v>125</v>
      </c>
      <c r="C1097" s="52">
        <v>27</v>
      </c>
      <c r="D1097" s="53" t="s">
        <v>4327</v>
      </c>
      <c r="E1097" s="54"/>
      <c r="F1097" s="52" t="str">
        <f>IF(INDEX(I.Performance.EndRange,27)="","",INDEX(I.Performance.EndRange,27))</f>
        <v/>
      </c>
      <c r="G1097" s="54"/>
      <c r="H1097" s="52" t="str">
        <f>IF(AND(I.Compliance.FulfilledPerformance&gt;0,I.Performance.RangeCount&gt;=27,F1097=""),"Incomplete","Complete")</f>
        <v>Complete</v>
      </c>
      <c r="I1097" s="55" t="s">
        <v>1295</v>
      </c>
    </row>
    <row r="1098" spans="2:9" ht="15" customHeight="1" x14ac:dyDescent="0.25">
      <c r="B1098" s="51" t="s">
        <v>125</v>
      </c>
      <c r="C1098" s="52">
        <v>28</v>
      </c>
      <c r="D1098" s="53" t="s">
        <v>4327</v>
      </c>
      <c r="E1098" s="54"/>
      <c r="F1098" s="52" t="str">
        <f>IF(INDEX(I.Performance.EndRange,28)="","",INDEX(I.Performance.EndRange,28))</f>
        <v/>
      </c>
      <c r="G1098" s="54"/>
      <c r="H1098" s="52" t="str">
        <f>IF(AND(I.Compliance.FulfilledPerformance&gt;0,I.Performance.RangeCount&gt;=28,F1098=""),"Incomplete","Complete")</f>
        <v>Complete</v>
      </c>
      <c r="I1098" s="55" t="s">
        <v>1296</v>
      </c>
    </row>
    <row r="1099" spans="2:9" ht="15" customHeight="1" x14ac:dyDescent="0.25">
      <c r="B1099" s="51" t="s">
        <v>125</v>
      </c>
      <c r="C1099" s="52">
        <v>29</v>
      </c>
      <c r="D1099" s="53" t="s">
        <v>4327</v>
      </c>
      <c r="E1099" s="54"/>
      <c r="F1099" s="52" t="str">
        <f>IF(INDEX(I.Performance.EndRange,29)="","",INDEX(I.Performance.EndRange,29))</f>
        <v/>
      </c>
      <c r="G1099" s="54"/>
      <c r="H1099" s="52" t="str">
        <f>IF(AND(I.Compliance.FulfilledPerformance&gt;0,I.Performance.RangeCount&gt;=29,F1099=""),"Incomplete","Complete")</f>
        <v>Complete</v>
      </c>
      <c r="I1099" s="55" t="s">
        <v>1297</v>
      </c>
    </row>
    <row r="1100" spans="2:9" ht="15" customHeight="1" x14ac:dyDescent="0.25">
      <c r="B1100" s="51" t="s">
        <v>125</v>
      </c>
      <c r="C1100" s="52">
        <v>30</v>
      </c>
      <c r="D1100" s="53" t="s">
        <v>4327</v>
      </c>
      <c r="E1100" s="54"/>
      <c r="F1100" s="52" t="str">
        <f>IF(INDEX(I.Performance.EndRange,30)="","",INDEX(I.Performance.EndRange,30))</f>
        <v/>
      </c>
      <c r="G1100" s="54"/>
      <c r="H1100" s="52" t="str">
        <f>IF(AND(I.Compliance.FulfilledPerformance&gt;0,I.Performance.RangeCount&gt;=30,F1100=""),"Incomplete","Complete")</f>
        <v>Complete</v>
      </c>
      <c r="I1100" s="55" t="s">
        <v>1298</v>
      </c>
    </row>
    <row r="1101" spans="2:9" ht="15" customHeight="1" x14ac:dyDescent="0.25">
      <c r="B1101" s="51" t="s">
        <v>125</v>
      </c>
      <c r="C1101" s="52">
        <v>31</v>
      </c>
      <c r="D1101" s="53" t="s">
        <v>4327</v>
      </c>
      <c r="E1101" s="54"/>
      <c r="F1101" s="52" t="str">
        <f>IF(INDEX(I.Performance.EndRange,31)="","",INDEX(I.Performance.EndRange,31))</f>
        <v/>
      </c>
      <c r="G1101" s="54"/>
      <c r="H1101" s="52" t="str">
        <f>IF(AND(I.Compliance.FulfilledPerformance&gt;0,I.Performance.RangeCount&gt;=31,F1101=""),"Incomplete","Complete")</f>
        <v>Complete</v>
      </c>
      <c r="I1101" s="55" t="s">
        <v>1299</v>
      </c>
    </row>
    <row r="1102" spans="2:9" ht="15" customHeight="1" x14ac:dyDescent="0.25">
      <c r="B1102" s="51" t="s">
        <v>125</v>
      </c>
      <c r="C1102" s="52">
        <v>32</v>
      </c>
      <c r="D1102" s="53" t="s">
        <v>4327</v>
      </c>
      <c r="E1102" s="54"/>
      <c r="F1102" s="52" t="str">
        <f>IF(INDEX(I.Performance.EndRange,32)="","",INDEX(I.Performance.EndRange,32))</f>
        <v/>
      </c>
      <c r="G1102" s="54"/>
      <c r="H1102" s="52" t="str">
        <f>IF(AND(I.Compliance.FulfilledPerformance&gt;0,I.Performance.RangeCount&gt;=32,F1102=""),"Incomplete","Complete")</f>
        <v>Complete</v>
      </c>
      <c r="I1102" s="55" t="s">
        <v>1300</v>
      </c>
    </row>
    <row r="1103" spans="2:9" ht="15" customHeight="1" x14ac:dyDescent="0.25">
      <c r="B1103" s="51" t="s">
        <v>125</v>
      </c>
      <c r="C1103" s="52">
        <v>33</v>
      </c>
      <c r="D1103" s="53" t="s">
        <v>4327</v>
      </c>
      <c r="E1103" s="54"/>
      <c r="F1103" s="52" t="str">
        <f>IF(INDEX(I.Performance.EndRange,33)="","",INDEX(I.Performance.EndRange,33))</f>
        <v/>
      </c>
      <c r="G1103" s="54"/>
      <c r="H1103" s="52" t="str">
        <f>IF(AND(I.Compliance.FulfilledPerformance&gt;0,I.Performance.RangeCount&gt;=33,F1103=""),"Incomplete","Complete")</f>
        <v>Complete</v>
      </c>
      <c r="I1103" s="55" t="s">
        <v>1301</v>
      </c>
    </row>
    <row r="1104" spans="2:9" ht="15" customHeight="1" x14ac:dyDescent="0.25">
      <c r="B1104" s="51" t="s">
        <v>125</v>
      </c>
      <c r="C1104" s="52">
        <v>34</v>
      </c>
      <c r="D1104" s="53" t="s">
        <v>4327</v>
      </c>
      <c r="E1104" s="54"/>
      <c r="F1104" s="52" t="str">
        <f>IF(INDEX(I.Performance.EndRange,34)="","",INDEX(I.Performance.EndRange,34))</f>
        <v/>
      </c>
      <c r="G1104" s="54"/>
      <c r="H1104" s="52" t="str">
        <f>IF(AND(I.Compliance.FulfilledPerformance&gt;0,I.Performance.RangeCount&gt;=34,F1104=""),"Incomplete","Complete")</f>
        <v>Complete</v>
      </c>
      <c r="I1104" s="55" t="s">
        <v>1302</v>
      </c>
    </row>
    <row r="1105" spans="2:9" ht="15" customHeight="1" x14ac:dyDescent="0.25">
      <c r="B1105" s="51" t="s">
        <v>125</v>
      </c>
      <c r="C1105" s="52">
        <v>35</v>
      </c>
      <c r="D1105" s="53" t="s">
        <v>4327</v>
      </c>
      <c r="E1105" s="54"/>
      <c r="F1105" s="52" t="str">
        <f>IF(INDEX(I.Performance.EndRange,35)="","",INDEX(I.Performance.EndRange,35))</f>
        <v/>
      </c>
      <c r="G1105" s="54"/>
      <c r="H1105" s="52" t="str">
        <f>IF(AND(I.Compliance.FulfilledPerformance&gt;0,I.Performance.RangeCount&gt;=35,F1105=""),"Incomplete","Complete")</f>
        <v>Complete</v>
      </c>
      <c r="I1105" s="55" t="s">
        <v>1303</v>
      </c>
    </row>
    <row r="1106" spans="2:9" ht="15" customHeight="1" x14ac:dyDescent="0.25">
      <c r="B1106" s="51" t="s">
        <v>125</v>
      </c>
      <c r="C1106" s="52">
        <v>36</v>
      </c>
      <c r="D1106" s="53" t="s">
        <v>4327</v>
      </c>
      <c r="E1106" s="54"/>
      <c r="F1106" s="52" t="str">
        <f>IF(INDEX(I.Performance.EndRange,36)="","",INDEX(I.Performance.EndRange,36))</f>
        <v/>
      </c>
      <c r="G1106" s="54"/>
      <c r="H1106" s="52" t="str">
        <f>IF(AND(I.Compliance.FulfilledPerformance&gt;0,I.Performance.RangeCount&gt;=36,F1106=""),"Incomplete","Complete")</f>
        <v>Complete</v>
      </c>
      <c r="I1106" s="55" t="s">
        <v>1304</v>
      </c>
    </row>
    <row r="1107" spans="2:9" ht="15" customHeight="1" x14ac:dyDescent="0.25">
      <c r="B1107" s="51" t="s">
        <v>125</v>
      </c>
      <c r="C1107" s="52">
        <v>37</v>
      </c>
      <c r="D1107" s="53" t="s">
        <v>4327</v>
      </c>
      <c r="E1107" s="54"/>
      <c r="F1107" s="52" t="str">
        <f>IF(INDEX(I.Performance.EndRange,37)="","",INDEX(I.Performance.EndRange,37))</f>
        <v/>
      </c>
      <c r="G1107" s="54"/>
      <c r="H1107" s="52" t="str">
        <f>IF(AND(I.Compliance.FulfilledPerformance&gt;0,I.Performance.RangeCount&gt;=37,F1107=""),"Incomplete","Complete")</f>
        <v>Complete</v>
      </c>
      <c r="I1107" s="55" t="s">
        <v>1305</v>
      </c>
    </row>
    <row r="1108" spans="2:9" ht="15" customHeight="1" x14ac:dyDescent="0.25">
      <c r="B1108" s="51" t="s">
        <v>125</v>
      </c>
      <c r="C1108" s="52">
        <v>38</v>
      </c>
      <c r="D1108" s="53" t="s">
        <v>4327</v>
      </c>
      <c r="E1108" s="54"/>
      <c r="F1108" s="52" t="str">
        <f>IF(INDEX(I.Performance.EndRange,38)="","",INDEX(I.Performance.EndRange,38))</f>
        <v/>
      </c>
      <c r="G1108" s="54"/>
      <c r="H1108" s="52" t="str">
        <f>IF(AND(I.Compliance.FulfilledPerformance&gt;0,I.Performance.RangeCount&gt;=38,F1108=""),"Incomplete","Complete")</f>
        <v>Complete</v>
      </c>
      <c r="I1108" s="55" t="s">
        <v>1306</v>
      </c>
    </row>
    <row r="1109" spans="2:9" ht="15" customHeight="1" x14ac:dyDescent="0.25">
      <c r="B1109" s="51" t="s">
        <v>125</v>
      </c>
      <c r="C1109" s="52">
        <v>39</v>
      </c>
      <c r="D1109" s="53" t="s">
        <v>4327</v>
      </c>
      <c r="E1109" s="54"/>
      <c r="F1109" s="52" t="str">
        <f>IF(INDEX(I.Performance.EndRange,39)="","",INDEX(I.Performance.EndRange,39))</f>
        <v/>
      </c>
      <c r="G1109" s="54"/>
      <c r="H1109" s="52" t="str">
        <f>IF(AND(I.Compliance.FulfilledPerformance&gt;0,I.Performance.RangeCount&gt;=39,F1109=""),"Incomplete","Complete")</f>
        <v>Complete</v>
      </c>
      <c r="I1109" s="55" t="s">
        <v>1307</v>
      </c>
    </row>
    <row r="1110" spans="2:9" ht="15" customHeight="1" x14ac:dyDescent="0.25">
      <c r="B1110" s="51" t="s">
        <v>125</v>
      </c>
      <c r="C1110" s="52">
        <v>40</v>
      </c>
      <c r="D1110" s="53" t="s">
        <v>4327</v>
      </c>
      <c r="E1110" s="54"/>
      <c r="F1110" s="52" t="str">
        <f>IF(INDEX(I.Performance.EndRange,40)="","",INDEX(I.Performance.EndRange,40))</f>
        <v/>
      </c>
      <c r="G1110" s="54"/>
      <c r="H1110" s="52" t="str">
        <f>IF(AND(I.Compliance.FulfilledPerformance&gt;0,I.Performance.RangeCount&gt;=40,F1110=""),"Incomplete","Complete")</f>
        <v>Complete</v>
      </c>
      <c r="I1110" s="55" t="s">
        <v>1308</v>
      </c>
    </row>
    <row r="1111" spans="2:9" ht="15" customHeight="1" x14ac:dyDescent="0.25">
      <c r="B1111" s="51" t="s">
        <v>125</v>
      </c>
      <c r="C1111" s="52">
        <v>41</v>
      </c>
      <c r="D1111" s="53" t="s">
        <v>4327</v>
      </c>
      <c r="E1111" s="54"/>
      <c r="F1111" s="52" t="str">
        <f>IF(INDEX(I.Performance.EndRange,41)="","",INDEX(I.Performance.EndRange,41))</f>
        <v/>
      </c>
      <c r="G1111" s="54"/>
      <c r="H1111" s="52" t="str">
        <f>IF(AND(I.Compliance.FulfilledPerformance&gt;0,I.Performance.RangeCount&gt;=41,F1111=""),"Incomplete","Complete")</f>
        <v>Complete</v>
      </c>
      <c r="I1111" s="55" t="s">
        <v>1309</v>
      </c>
    </row>
    <row r="1112" spans="2:9" ht="15" customHeight="1" x14ac:dyDescent="0.25">
      <c r="B1112" s="51" t="s">
        <v>125</v>
      </c>
      <c r="C1112" s="52">
        <v>42</v>
      </c>
      <c r="D1112" s="53" t="s">
        <v>4327</v>
      </c>
      <c r="E1112" s="54"/>
      <c r="F1112" s="52" t="str">
        <f>IF(INDEX(I.Performance.EndRange,42)="","",INDEX(I.Performance.EndRange,42))</f>
        <v/>
      </c>
      <c r="G1112" s="54"/>
      <c r="H1112" s="52" t="str">
        <f>IF(AND(I.Compliance.FulfilledPerformance&gt;0,I.Performance.RangeCount&gt;=42,F1112=""),"Incomplete","Complete")</f>
        <v>Complete</v>
      </c>
      <c r="I1112" s="55" t="s">
        <v>1310</v>
      </c>
    </row>
    <row r="1113" spans="2:9" ht="15" customHeight="1" x14ac:dyDescent="0.25">
      <c r="B1113" s="51" t="s">
        <v>125</v>
      </c>
      <c r="C1113" s="52">
        <v>43</v>
      </c>
      <c r="D1113" s="53" t="s">
        <v>4327</v>
      </c>
      <c r="E1113" s="54"/>
      <c r="F1113" s="52" t="str">
        <f>IF(INDEX(I.Performance.EndRange,43)="","",INDEX(I.Performance.EndRange,43))</f>
        <v/>
      </c>
      <c r="G1113" s="54"/>
      <c r="H1113" s="52" t="str">
        <f>IF(AND(I.Compliance.FulfilledPerformance&gt;0,I.Performance.RangeCount&gt;=43,F1113=""),"Incomplete","Complete")</f>
        <v>Complete</v>
      </c>
      <c r="I1113" s="55" t="s">
        <v>1311</v>
      </c>
    </row>
    <row r="1114" spans="2:9" ht="15" customHeight="1" x14ac:dyDescent="0.25">
      <c r="B1114" s="51" t="s">
        <v>125</v>
      </c>
      <c r="C1114" s="52">
        <v>44</v>
      </c>
      <c r="D1114" s="53" t="s">
        <v>4327</v>
      </c>
      <c r="E1114" s="54"/>
      <c r="F1114" s="52" t="str">
        <f>IF(INDEX(I.Performance.EndRange,44)="","",INDEX(I.Performance.EndRange,44))</f>
        <v/>
      </c>
      <c r="G1114" s="54"/>
      <c r="H1114" s="52" t="str">
        <f>IF(AND(I.Compliance.FulfilledPerformance&gt;0,I.Performance.RangeCount&gt;=44,F1114=""),"Incomplete","Complete")</f>
        <v>Complete</v>
      </c>
      <c r="I1114" s="55" t="s">
        <v>1312</v>
      </c>
    </row>
    <row r="1115" spans="2:9" ht="15" customHeight="1" x14ac:dyDescent="0.25">
      <c r="B1115" s="51" t="s">
        <v>125</v>
      </c>
      <c r="C1115" s="52">
        <v>45</v>
      </c>
      <c r="D1115" s="53" t="s">
        <v>4327</v>
      </c>
      <c r="E1115" s="54"/>
      <c r="F1115" s="52" t="str">
        <f>IF(INDEX(I.Performance.EndRange,45)="","",INDEX(I.Performance.EndRange,45))</f>
        <v/>
      </c>
      <c r="G1115" s="54"/>
      <c r="H1115" s="52" t="str">
        <f>IF(AND(I.Compliance.FulfilledPerformance&gt;0,I.Performance.RangeCount&gt;=45,F1115=""),"Incomplete","Complete")</f>
        <v>Complete</v>
      </c>
      <c r="I1115" s="55" t="s">
        <v>1313</v>
      </c>
    </row>
    <row r="1116" spans="2:9" ht="15" customHeight="1" x14ac:dyDescent="0.25">
      <c r="B1116" s="51" t="s">
        <v>125</v>
      </c>
      <c r="C1116" s="52">
        <v>46</v>
      </c>
      <c r="D1116" s="53" t="s">
        <v>4327</v>
      </c>
      <c r="E1116" s="54"/>
      <c r="F1116" s="52" t="str">
        <f>IF(INDEX(I.Performance.EndRange,46)="","",INDEX(I.Performance.EndRange,46))</f>
        <v/>
      </c>
      <c r="G1116" s="54"/>
      <c r="H1116" s="52" t="str">
        <f>IF(AND(I.Compliance.FulfilledPerformance&gt;0,I.Performance.RangeCount&gt;=46,F1116=""),"Incomplete","Complete")</f>
        <v>Complete</v>
      </c>
      <c r="I1116" s="55" t="s">
        <v>1314</v>
      </c>
    </row>
    <row r="1117" spans="2:9" ht="15" customHeight="1" x14ac:dyDescent="0.25">
      <c r="B1117" s="51" t="s">
        <v>125</v>
      </c>
      <c r="C1117" s="52">
        <v>47</v>
      </c>
      <c r="D1117" s="53" t="s">
        <v>4327</v>
      </c>
      <c r="E1117" s="54"/>
      <c r="F1117" s="52" t="str">
        <f>IF(INDEX(I.Performance.EndRange,47)="","",INDEX(I.Performance.EndRange,47))</f>
        <v/>
      </c>
      <c r="G1117" s="54"/>
      <c r="H1117" s="52" t="str">
        <f>IF(AND(I.Compliance.FulfilledPerformance&gt;0,I.Performance.RangeCount&gt;=47,F1117=""),"Incomplete","Complete")</f>
        <v>Complete</v>
      </c>
      <c r="I1117" s="55" t="s">
        <v>1315</v>
      </c>
    </row>
    <row r="1118" spans="2:9" ht="15" customHeight="1" x14ac:dyDescent="0.25">
      <c r="B1118" s="51" t="s">
        <v>125</v>
      </c>
      <c r="C1118" s="52">
        <v>48</v>
      </c>
      <c r="D1118" s="53" t="s">
        <v>4327</v>
      </c>
      <c r="E1118" s="54"/>
      <c r="F1118" s="52" t="str">
        <f>IF(INDEX(I.Performance.EndRange,48)="","",INDEX(I.Performance.EndRange,48))</f>
        <v/>
      </c>
      <c r="G1118" s="54"/>
      <c r="H1118" s="52" t="str">
        <f>IF(AND(I.Compliance.FulfilledPerformance&gt;0,I.Performance.RangeCount&gt;=48,F1118=""),"Incomplete","Complete")</f>
        <v>Complete</v>
      </c>
      <c r="I1118" s="55" t="s">
        <v>1316</v>
      </c>
    </row>
    <row r="1119" spans="2:9" ht="15" customHeight="1" x14ac:dyDescent="0.25">
      <c r="B1119" s="51" t="s">
        <v>125</v>
      </c>
      <c r="C1119" s="52">
        <v>49</v>
      </c>
      <c r="D1119" s="53" t="s">
        <v>4327</v>
      </c>
      <c r="E1119" s="54"/>
      <c r="F1119" s="52" t="str">
        <f>IF(INDEX(I.Performance.EndRange,49)="","",INDEX(I.Performance.EndRange,49))</f>
        <v/>
      </c>
      <c r="G1119" s="54"/>
      <c r="H1119" s="52" t="str">
        <f>IF(AND(I.Compliance.FulfilledPerformance&gt;0,I.Performance.RangeCount&gt;=49,F1119=""),"Incomplete","Complete")</f>
        <v>Complete</v>
      </c>
      <c r="I1119" s="55" t="s">
        <v>1317</v>
      </c>
    </row>
    <row r="1120" spans="2:9" ht="15" customHeight="1" x14ac:dyDescent="0.25">
      <c r="B1120" s="51" t="s">
        <v>125</v>
      </c>
      <c r="C1120" s="52">
        <v>50</v>
      </c>
      <c r="D1120" s="53" t="s">
        <v>4327</v>
      </c>
      <c r="E1120" s="54"/>
      <c r="F1120" s="52" t="str">
        <f>IF(INDEX(I.Performance.EndRange,50)="","",INDEX(I.Performance.EndRange,50))</f>
        <v/>
      </c>
      <c r="G1120" s="54"/>
      <c r="H1120" s="52" t="str">
        <f>IF(AND(I.Compliance.FulfilledPerformance&gt;0,I.Performance.RangeCount&gt;=50,F1120=""),"Incomplete","Complete")</f>
        <v>Complete</v>
      </c>
      <c r="I1120" s="55" t="s">
        <v>1318</v>
      </c>
    </row>
    <row r="1121" spans="2:9" ht="15" customHeight="1" x14ac:dyDescent="0.25">
      <c r="B1121" s="51" t="s">
        <v>125</v>
      </c>
      <c r="C1121" s="52">
        <v>51</v>
      </c>
      <c r="D1121" s="53" t="s">
        <v>4327</v>
      </c>
      <c r="E1121" s="54"/>
      <c r="F1121" s="52" t="str">
        <f>IF(INDEX(I.Performance.EndRange,51)="","",INDEX(I.Performance.EndRange,51))</f>
        <v/>
      </c>
      <c r="G1121" s="54"/>
      <c r="H1121" s="52" t="str">
        <f>IF(AND(I.Compliance.FulfilledPerformance&gt;0,I.Performance.RangeCount&gt;=51,F1121=""),"Incomplete","Complete")</f>
        <v>Complete</v>
      </c>
      <c r="I1121" s="55" t="s">
        <v>1319</v>
      </c>
    </row>
    <row r="1122" spans="2:9" ht="15" customHeight="1" x14ac:dyDescent="0.25">
      <c r="B1122" s="51" t="s">
        <v>125</v>
      </c>
      <c r="C1122" s="52">
        <v>52</v>
      </c>
      <c r="D1122" s="53" t="s">
        <v>4327</v>
      </c>
      <c r="E1122" s="54"/>
      <c r="F1122" s="52" t="str">
        <f>IF(INDEX(I.Performance.EndRange,52)="","",INDEX(I.Performance.EndRange,52))</f>
        <v/>
      </c>
      <c r="G1122" s="54"/>
      <c r="H1122" s="52" t="str">
        <f>IF(AND(I.Compliance.FulfilledPerformance&gt;0,I.Performance.RangeCount&gt;=52,F1122=""),"Incomplete","Complete")</f>
        <v>Complete</v>
      </c>
      <c r="I1122" s="55" t="s">
        <v>1320</v>
      </c>
    </row>
    <row r="1123" spans="2:9" ht="15" customHeight="1" x14ac:dyDescent="0.25">
      <c r="B1123" s="51" t="s">
        <v>125</v>
      </c>
      <c r="C1123" s="52">
        <v>53</v>
      </c>
      <c r="D1123" s="53" t="s">
        <v>4327</v>
      </c>
      <c r="E1123" s="54"/>
      <c r="F1123" s="52" t="str">
        <f>IF(INDEX(I.Performance.EndRange,53)="","",INDEX(I.Performance.EndRange,53))</f>
        <v/>
      </c>
      <c r="G1123" s="54"/>
      <c r="H1123" s="52" t="str">
        <f>IF(AND(I.Compliance.FulfilledPerformance&gt;0,I.Performance.RangeCount&gt;=53,F1123=""),"Incomplete","Complete")</f>
        <v>Complete</v>
      </c>
      <c r="I1123" s="55" t="s">
        <v>1321</v>
      </c>
    </row>
    <row r="1124" spans="2:9" ht="15" customHeight="1" x14ac:dyDescent="0.25">
      <c r="B1124" s="51" t="s">
        <v>125</v>
      </c>
      <c r="C1124" s="52">
        <v>54</v>
      </c>
      <c r="D1124" s="53" t="s">
        <v>4327</v>
      </c>
      <c r="E1124" s="54"/>
      <c r="F1124" s="52" t="str">
        <f>IF(INDEX(I.Performance.EndRange,54)="","",INDEX(I.Performance.EndRange,54))</f>
        <v/>
      </c>
      <c r="G1124" s="54"/>
      <c r="H1124" s="52" t="str">
        <f>IF(AND(I.Compliance.FulfilledPerformance&gt;0,I.Performance.RangeCount&gt;=54,F1124=""),"Incomplete","Complete")</f>
        <v>Complete</v>
      </c>
      <c r="I1124" s="55" t="s">
        <v>1322</v>
      </c>
    </row>
    <row r="1125" spans="2:9" ht="15" customHeight="1" x14ac:dyDescent="0.25">
      <c r="B1125" s="51" t="s">
        <v>125</v>
      </c>
      <c r="C1125" s="52">
        <v>55</v>
      </c>
      <c r="D1125" s="53" t="s">
        <v>4327</v>
      </c>
      <c r="E1125" s="54"/>
      <c r="F1125" s="52" t="str">
        <f>IF(INDEX(I.Performance.EndRange,55)="","",INDEX(I.Performance.EndRange,55))</f>
        <v/>
      </c>
      <c r="G1125" s="54"/>
      <c r="H1125" s="52" t="str">
        <f>IF(AND(I.Compliance.FulfilledPerformance&gt;0,I.Performance.RangeCount&gt;=55,F1125=""),"Incomplete","Complete")</f>
        <v>Complete</v>
      </c>
      <c r="I1125" s="55" t="s">
        <v>1323</v>
      </c>
    </row>
    <row r="1126" spans="2:9" ht="15" customHeight="1" x14ac:dyDescent="0.25">
      <c r="B1126" s="51" t="s">
        <v>125</v>
      </c>
      <c r="C1126" s="52">
        <v>56</v>
      </c>
      <c r="D1126" s="53" t="s">
        <v>4327</v>
      </c>
      <c r="E1126" s="54"/>
      <c r="F1126" s="52" t="str">
        <f>IF(INDEX(I.Performance.EndRange,56)="","",INDEX(I.Performance.EndRange,56))</f>
        <v/>
      </c>
      <c r="G1126" s="54"/>
      <c r="H1126" s="52" t="str">
        <f>IF(AND(I.Compliance.FulfilledPerformance&gt;0,I.Performance.RangeCount&gt;=56,F1126=""),"Incomplete","Complete")</f>
        <v>Complete</v>
      </c>
      <c r="I1126" s="55" t="s">
        <v>1324</v>
      </c>
    </row>
    <row r="1127" spans="2:9" ht="15" customHeight="1" x14ac:dyDescent="0.25">
      <c r="B1127" s="51" t="s">
        <v>125</v>
      </c>
      <c r="C1127" s="52">
        <v>57</v>
      </c>
      <c r="D1127" s="53" t="s">
        <v>4327</v>
      </c>
      <c r="E1127" s="54"/>
      <c r="F1127" s="52" t="str">
        <f>IF(INDEX(I.Performance.EndRange,57)="","",INDEX(I.Performance.EndRange,57))</f>
        <v/>
      </c>
      <c r="G1127" s="54"/>
      <c r="H1127" s="52" t="str">
        <f>IF(AND(I.Compliance.FulfilledPerformance&gt;0,I.Performance.RangeCount&gt;=57,F1127=""),"Incomplete","Complete")</f>
        <v>Complete</v>
      </c>
      <c r="I1127" s="55" t="s">
        <v>1325</v>
      </c>
    </row>
    <row r="1128" spans="2:9" ht="15" customHeight="1" x14ac:dyDescent="0.25">
      <c r="B1128" s="51" t="s">
        <v>125</v>
      </c>
      <c r="C1128" s="52">
        <v>58</v>
      </c>
      <c r="D1128" s="53" t="s">
        <v>4327</v>
      </c>
      <c r="E1128" s="54"/>
      <c r="F1128" s="52" t="str">
        <f>IF(INDEX(I.Performance.EndRange,58)="","",INDEX(I.Performance.EndRange,58))</f>
        <v/>
      </c>
      <c r="G1128" s="54"/>
      <c r="H1128" s="52" t="str">
        <f>IF(AND(I.Compliance.FulfilledPerformance&gt;0,I.Performance.RangeCount&gt;=58,F1128=""),"Incomplete","Complete")</f>
        <v>Complete</v>
      </c>
      <c r="I1128" s="55" t="s">
        <v>1326</v>
      </c>
    </row>
    <row r="1129" spans="2:9" ht="15" customHeight="1" x14ac:dyDescent="0.25">
      <c r="B1129" s="51" t="s">
        <v>125</v>
      </c>
      <c r="C1129" s="52">
        <v>59</v>
      </c>
      <c r="D1129" s="53" t="s">
        <v>4327</v>
      </c>
      <c r="E1129" s="54"/>
      <c r="F1129" s="52" t="str">
        <f>IF(INDEX(I.Performance.EndRange,59)="","",INDEX(I.Performance.EndRange,59))</f>
        <v/>
      </c>
      <c r="G1129" s="54"/>
      <c r="H1129" s="52" t="str">
        <f>IF(AND(I.Compliance.FulfilledPerformance&gt;0,I.Performance.RangeCount&gt;=59,F1129=""),"Incomplete","Complete")</f>
        <v>Complete</v>
      </c>
      <c r="I1129" s="55" t="s">
        <v>1327</v>
      </c>
    </row>
    <row r="1130" spans="2:9" ht="15" customHeight="1" x14ac:dyDescent="0.25">
      <c r="B1130" s="51" t="s">
        <v>125</v>
      </c>
      <c r="C1130" s="52">
        <v>60</v>
      </c>
      <c r="D1130" s="53" t="s">
        <v>4327</v>
      </c>
      <c r="E1130" s="54"/>
      <c r="F1130" s="52" t="str">
        <f>IF(INDEX(I.Performance.EndRange,60)="","",INDEX(I.Performance.EndRange,60))</f>
        <v/>
      </c>
      <c r="G1130" s="54"/>
      <c r="H1130" s="52" t="str">
        <f>IF(AND(I.Compliance.FulfilledPerformance&gt;0,I.Performance.RangeCount&gt;=60,F1130=""),"Incomplete","Complete")</f>
        <v>Complete</v>
      </c>
      <c r="I1130" s="55" t="s">
        <v>1328</v>
      </c>
    </row>
    <row r="1131" spans="2:9" ht="15" customHeight="1" x14ac:dyDescent="0.25">
      <c r="B1131" s="51" t="s">
        <v>125</v>
      </c>
      <c r="C1131" s="52">
        <v>61</v>
      </c>
      <c r="D1131" s="53" t="s">
        <v>4327</v>
      </c>
      <c r="E1131" s="54"/>
      <c r="F1131" s="52" t="str">
        <f>IF(INDEX(I.Performance.EndRange,61)="","",INDEX(I.Performance.EndRange,61))</f>
        <v/>
      </c>
      <c r="G1131" s="54"/>
      <c r="H1131" s="52" t="str">
        <f>IF(AND(I.Compliance.FulfilledPerformance&gt;0,I.Performance.RangeCount&gt;=61,F1131=""),"Incomplete","Complete")</f>
        <v>Complete</v>
      </c>
      <c r="I1131" s="55" t="s">
        <v>1329</v>
      </c>
    </row>
    <row r="1132" spans="2:9" ht="15" customHeight="1" x14ac:dyDescent="0.25">
      <c r="B1132" s="51" t="s">
        <v>125</v>
      </c>
      <c r="C1132" s="52">
        <v>62</v>
      </c>
      <c r="D1132" s="53" t="s">
        <v>4327</v>
      </c>
      <c r="E1132" s="54"/>
      <c r="F1132" s="52" t="str">
        <f>IF(INDEX(I.Performance.EndRange,62)="","",INDEX(I.Performance.EndRange,62))</f>
        <v/>
      </c>
      <c r="G1132" s="54"/>
      <c r="H1132" s="52" t="str">
        <f>IF(AND(I.Compliance.FulfilledPerformance&gt;0,I.Performance.RangeCount&gt;=62,F1132=""),"Incomplete","Complete")</f>
        <v>Complete</v>
      </c>
      <c r="I1132" s="55" t="s">
        <v>1330</v>
      </c>
    </row>
    <row r="1133" spans="2:9" ht="15" customHeight="1" x14ac:dyDescent="0.25">
      <c r="B1133" s="51" t="s">
        <v>125</v>
      </c>
      <c r="C1133" s="52">
        <v>63</v>
      </c>
      <c r="D1133" s="53" t="s">
        <v>4327</v>
      </c>
      <c r="E1133" s="54"/>
      <c r="F1133" s="52" t="str">
        <f>IF(INDEX(I.Performance.EndRange,63)="","",INDEX(I.Performance.EndRange,63))</f>
        <v/>
      </c>
      <c r="G1133" s="54"/>
      <c r="H1133" s="52" t="str">
        <f>IF(AND(I.Compliance.FulfilledPerformance&gt;0,I.Performance.RangeCount&gt;=63,F1133=""),"Incomplete","Complete")</f>
        <v>Complete</v>
      </c>
      <c r="I1133" s="55" t="s">
        <v>1331</v>
      </c>
    </row>
    <row r="1134" spans="2:9" ht="15" customHeight="1" x14ac:dyDescent="0.25">
      <c r="B1134" s="51" t="s">
        <v>125</v>
      </c>
      <c r="C1134" s="52">
        <v>64</v>
      </c>
      <c r="D1134" s="53" t="s">
        <v>4327</v>
      </c>
      <c r="E1134" s="54"/>
      <c r="F1134" s="52" t="str">
        <f>IF(INDEX(I.Performance.EndRange,64)="","",INDEX(I.Performance.EndRange,64))</f>
        <v/>
      </c>
      <c r="G1134" s="54"/>
      <c r="H1134" s="52" t="str">
        <f>IF(AND(I.Compliance.FulfilledPerformance&gt;0,I.Performance.RangeCount&gt;=64,F1134=""),"Incomplete","Complete")</f>
        <v>Complete</v>
      </c>
      <c r="I1134" s="55" t="s">
        <v>1332</v>
      </c>
    </row>
    <row r="1135" spans="2:9" ht="15" customHeight="1" x14ac:dyDescent="0.25">
      <c r="B1135" s="51" t="s">
        <v>125</v>
      </c>
      <c r="C1135" s="52">
        <v>65</v>
      </c>
      <c r="D1135" s="53" t="s">
        <v>4327</v>
      </c>
      <c r="E1135" s="54"/>
      <c r="F1135" s="52" t="str">
        <f>IF(INDEX(I.Performance.EndRange,65)="","",INDEX(I.Performance.EndRange,65))</f>
        <v/>
      </c>
      <c r="G1135" s="54"/>
      <c r="H1135" s="52" t="str">
        <f>IF(AND(I.Compliance.FulfilledPerformance&gt;0,I.Performance.RangeCount&gt;=65,F1135=""),"Incomplete","Complete")</f>
        <v>Complete</v>
      </c>
      <c r="I1135" s="55" t="s">
        <v>1333</v>
      </c>
    </row>
    <row r="1136" spans="2:9" ht="15" customHeight="1" x14ac:dyDescent="0.25">
      <c r="B1136" s="51" t="s">
        <v>125</v>
      </c>
      <c r="C1136" s="52">
        <v>66</v>
      </c>
      <c r="D1136" s="53" t="s">
        <v>4327</v>
      </c>
      <c r="E1136" s="54"/>
      <c r="F1136" s="52" t="str">
        <f>IF(INDEX(I.Performance.EndRange,66)="","",INDEX(I.Performance.EndRange,66))</f>
        <v/>
      </c>
      <c r="G1136" s="54"/>
      <c r="H1136" s="52" t="str">
        <f>IF(AND(I.Compliance.FulfilledPerformance&gt;0,I.Performance.RangeCount&gt;=66,F1136=""),"Incomplete","Complete")</f>
        <v>Complete</v>
      </c>
      <c r="I1136" s="55" t="s">
        <v>1334</v>
      </c>
    </row>
    <row r="1137" spans="2:9" ht="15" customHeight="1" x14ac:dyDescent="0.25">
      <c r="B1137" s="51" t="s">
        <v>125</v>
      </c>
      <c r="C1137" s="52">
        <v>67</v>
      </c>
      <c r="D1137" s="53" t="s">
        <v>4327</v>
      </c>
      <c r="E1137" s="54"/>
      <c r="F1137" s="52" t="str">
        <f>IF(INDEX(I.Performance.EndRange,67)="","",INDEX(I.Performance.EndRange,67))</f>
        <v/>
      </c>
      <c r="G1137" s="54"/>
      <c r="H1137" s="52" t="str">
        <f>IF(AND(I.Compliance.FulfilledPerformance&gt;0,I.Performance.RangeCount&gt;=67,F1137=""),"Incomplete","Complete")</f>
        <v>Complete</v>
      </c>
      <c r="I1137" s="55" t="s">
        <v>1335</v>
      </c>
    </row>
    <row r="1138" spans="2:9" ht="15" customHeight="1" x14ac:dyDescent="0.25">
      <c r="B1138" s="51" t="s">
        <v>125</v>
      </c>
      <c r="C1138" s="52">
        <v>68</v>
      </c>
      <c r="D1138" s="53" t="s">
        <v>4327</v>
      </c>
      <c r="E1138" s="54"/>
      <c r="F1138" s="52" t="str">
        <f>IF(INDEX(I.Performance.EndRange,68)="","",INDEX(I.Performance.EndRange,68))</f>
        <v/>
      </c>
      <c r="G1138" s="54"/>
      <c r="H1138" s="52" t="str">
        <f>IF(AND(I.Compliance.FulfilledPerformance&gt;0,I.Performance.RangeCount&gt;=68,F1138=""),"Incomplete","Complete")</f>
        <v>Complete</v>
      </c>
      <c r="I1138" s="55" t="s">
        <v>1336</v>
      </c>
    </row>
    <row r="1139" spans="2:9" ht="15" customHeight="1" x14ac:dyDescent="0.25">
      <c r="B1139" s="51" t="s">
        <v>125</v>
      </c>
      <c r="C1139" s="52">
        <v>69</v>
      </c>
      <c r="D1139" s="53" t="s">
        <v>4327</v>
      </c>
      <c r="E1139" s="54"/>
      <c r="F1139" s="52" t="str">
        <f>IF(INDEX(I.Performance.EndRange,69)="","",INDEX(I.Performance.EndRange,69))</f>
        <v/>
      </c>
      <c r="G1139" s="54"/>
      <c r="H1139" s="52" t="str">
        <f>IF(AND(I.Compliance.FulfilledPerformance&gt;0,I.Performance.RangeCount&gt;=69,F1139=""),"Incomplete","Complete")</f>
        <v>Complete</v>
      </c>
      <c r="I1139" s="55" t="s">
        <v>1337</v>
      </c>
    </row>
    <row r="1140" spans="2:9" ht="15" customHeight="1" x14ac:dyDescent="0.25">
      <c r="B1140" s="51" t="s">
        <v>125</v>
      </c>
      <c r="C1140" s="52">
        <v>70</v>
      </c>
      <c r="D1140" s="53" t="s">
        <v>4327</v>
      </c>
      <c r="E1140" s="54"/>
      <c r="F1140" s="52" t="str">
        <f>IF(INDEX(I.Performance.EndRange,70)="","",INDEX(I.Performance.EndRange,70))</f>
        <v/>
      </c>
      <c r="G1140" s="54"/>
      <c r="H1140" s="52" t="str">
        <f>IF(AND(I.Compliance.FulfilledPerformance&gt;0,I.Performance.RangeCount&gt;=70,F1140=""),"Incomplete","Complete")</f>
        <v>Complete</v>
      </c>
      <c r="I1140" s="55" t="s">
        <v>1338</v>
      </c>
    </row>
    <row r="1141" spans="2:9" ht="15" customHeight="1" x14ac:dyDescent="0.25">
      <c r="B1141" s="51" t="s">
        <v>125</v>
      </c>
      <c r="C1141" s="52">
        <v>71</v>
      </c>
      <c r="D1141" s="53" t="s">
        <v>4327</v>
      </c>
      <c r="E1141" s="54"/>
      <c r="F1141" s="52" t="str">
        <f>IF(INDEX(I.Performance.EndRange,71)="","",INDEX(I.Performance.EndRange,71))</f>
        <v/>
      </c>
      <c r="G1141" s="54"/>
      <c r="H1141" s="52" t="str">
        <f>IF(AND(I.Compliance.FulfilledPerformance&gt;0,I.Performance.RangeCount&gt;=71,F1141=""),"Incomplete","Complete")</f>
        <v>Complete</v>
      </c>
      <c r="I1141" s="55" t="s">
        <v>1339</v>
      </c>
    </row>
    <row r="1142" spans="2:9" ht="15" customHeight="1" x14ac:dyDescent="0.25">
      <c r="B1142" s="51" t="s">
        <v>125</v>
      </c>
      <c r="C1142" s="52">
        <v>72</v>
      </c>
      <c r="D1142" s="53" t="s">
        <v>4327</v>
      </c>
      <c r="E1142" s="54"/>
      <c r="F1142" s="52" t="str">
        <f>IF(INDEX(I.Performance.EndRange,72)="","",INDEX(I.Performance.EndRange,72))</f>
        <v/>
      </c>
      <c r="G1142" s="54"/>
      <c r="H1142" s="52" t="str">
        <f>IF(AND(I.Compliance.FulfilledPerformance&gt;0,I.Performance.RangeCount&gt;=72,F1142=""),"Incomplete","Complete")</f>
        <v>Complete</v>
      </c>
      <c r="I1142" s="55" t="s">
        <v>1340</v>
      </c>
    </row>
    <row r="1143" spans="2:9" ht="15" customHeight="1" x14ac:dyDescent="0.25">
      <c r="B1143" s="51" t="s">
        <v>125</v>
      </c>
      <c r="C1143" s="52">
        <v>73</v>
      </c>
      <c r="D1143" s="53" t="s">
        <v>4327</v>
      </c>
      <c r="E1143" s="54"/>
      <c r="F1143" s="52" t="str">
        <f>IF(INDEX(I.Performance.EndRange,73)="","",INDEX(I.Performance.EndRange,73))</f>
        <v/>
      </c>
      <c r="G1143" s="54"/>
      <c r="H1143" s="52" t="str">
        <f>IF(AND(I.Compliance.FulfilledPerformance&gt;0,I.Performance.RangeCount&gt;=73,F1143=""),"Incomplete","Complete")</f>
        <v>Complete</v>
      </c>
      <c r="I1143" s="55" t="s">
        <v>1341</v>
      </c>
    </row>
    <row r="1144" spans="2:9" ht="15" customHeight="1" x14ac:dyDescent="0.25">
      <c r="B1144" s="51" t="s">
        <v>125</v>
      </c>
      <c r="C1144" s="52">
        <v>74</v>
      </c>
      <c r="D1144" s="53" t="s">
        <v>4327</v>
      </c>
      <c r="E1144" s="54"/>
      <c r="F1144" s="52" t="str">
        <f>IF(INDEX(I.Performance.EndRange,74)="","",INDEX(I.Performance.EndRange,74))</f>
        <v/>
      </c>
      <c r="G1144" s="54"/>
      <c r="H1144" s="52" t="str">
        <f>IF(AND(I.Compliance.FulfilledPerformance&gt;0,I.Performance.RangeCount&gt;=74,F1144=""),"Incomplete","Complete")</f>
        <v>Complete</v>
      </c>
      <c r="I1144" s="55" t="s">
        <v>1342</v>
      </c>
    </row>
    <row r="1145" spans="2:9" ht="15" customHeight="1" x14ac:dyDescent="0.25">
      <c r="B1145" s="51" t="s">
        <v>125</v>
      </c>
      <c r="C1145" s="52">
        <v>75</v>
      </c>
      <c r="D1145" s="53" t="s">
        <v>4327</v>
      </c>
      <c r="E1145" s="54"/>
      <c r="F1145" s="52" t="str">
        <f>IF(INDEX(I.Performance.EndRange,75)="","",INDEX(I.Performance.EndRange,75))</f>
        <v/>
      </c>
      <c r="G1145" s="54"/>
      <c r="H1145" s="52" t="str">
        <f>IF(AND(I.Compliance.FulfilledPerformance&gt;0,I.Performance.RangeCount&gt;=75,F1145=""),"Incomplete","Complete")</f>
        <v>Complete</v>
      </c>
      <c r="I1145" s="55" t="s">
        <v>1343</v>
      </c>
    </row>
    <row r="1146" spans="2:9" ht="15" customHeight="1" x14ac:dyDescent="0.25">
      <c r="B1146" s="51" t="s">
        <v>125</v>
      </c>
      <c r="C1146" s="52">
        <v>76</v>
      </c>
      <c r="D1146" s="53" t="s">
        <v>4327</v>
      </c>
      <c r="E1146" s="54"/>
      <c r="F1146" s="52" t="str">
        <f>IF(INDEX(I.Performance.EndRange,76)="","",INDEX(I.Performance.EndRange,76))</f>
        <v/>
      </c>
      <c r="G1146" s="54"/>
      <c r="H1146" s="52" t="str">
        <f>IF(AND(I.Compliance.FulfilledPerformance&gt;0,I.Performance.RangeCount&gt;=76,F1146=""),"Incomplete","Complete")</f>
        <v>Complete</v>
      </c>
      <c r="I1146" s="55" t="s">
        <v>1344</v>
      </c>
    </row>
    <row r="1147" spans="2:9" ht="15" customHeight="1" x14ac:dyDescent="0.25">
      <c r="B1147" s="51" t="s">
        <v>125</v>
      </c>
      <c r="C1147" s="52">
        <v>77</v>
      </c>
      <c r="D1147" s="53" t="s">
        <v>4327</v>
      </c>
      <c r="E1147" s="54"/>
      <c r="F1147" s="52" t="str">
        <f>IF(INDEX(I.Performance.EndRange,77)="","",INDEX(I.Performance.EndRange,77))</f>
        <v/>
      </c>
      <c r="G1147" s="54"/>
      <c r="H1147" s="52" t="str">
        <f>IF(AND(I.Compliance.FulfilledPerformance&gt;0,I.Performance.RangeCount&gt;=77,F1147=""),"Incomplete","Complete")</f>
        <v>Complete</v>
      </c>
      <c r="I1147" s="55" t="s">
        <v>1345</v>
      </c>
    </row>
    <row r="1148" spans="2:9" ht="15" customHeight="1" x14ac:dyDescent="0.25">
      <c r="B1148" s="51" t="s">
        <v>125</v>
      </c>
      <c r="C1148" s="52">
        <v>78</v>
      </c>
      <c r="D1148" s="53" t="s">
        <v>4327</v>
      </c>
      <c r="E1148" s="54"/>
      <c r="F1148" s="52" t="str">
        <f>IF(INDEX(I.Performance.EndRange,78)="","",INDEX(I.Performance.EndRange,78))</f>
        <v/>
      </c>
      <c r="G1148" s="54"/>
      <c r="H1148" s="52" t="str">
        <f>IF(AND(I.Compliance.FulfilledPerformance&gt;0,I.Performance.RangeCount&gt;=78,F1148=""),"Incomplete","Complete")</f>
        <v>Complete</v>
      </c>
      <c r="I1148" s="55" t="s">
        <v>1346</v>
      </c>
    </row>
    <row r="1149" spans="2:9" ht="15" customHeight="1" x14ac:dyDescent="0.25">
      <c r="B1149" s="51" t="s">
        <v>125</v>
      </c>
      <c r="C1149" s="52">
        <v>79</v>
      </c>
      <c r="D1149" s="53" t="s">
        <v>4327</v>
      </c>
      <c r="E1149" s="54"/>
      <c r="F1149" s="52" t="str">
        <f>IF(INDEX(I.Performance.EndRange,79)="","",INDEX(I.Performance.EndRange,79))</f>
        <v/>
      </c>
      <c r="G1149" s="54"/>
      <c r="H1149" s="52" t="str">
        <f>IF(AND(I.Compliance.FulfilledPerformance&gt;0,I.Performance.RangeCount&gt;=79,F1149=""),"Incomplete","Complete")</f>
        <v>Complete</v>
      </c>
      <c r="I1149" s="55" t="s">
        <v>1347</v>
      </c>
    </row>
    <row r="1150" spans="2:9" ht="15" customHeight="1" x14ac:dyDescent="0.25">
      <c r="B1150" s="51" t="s">
        <v>125</v>
      </c>
      <c r="C1150" s="52">
        <v>80</v>
      </c>
      <c r="D1150" s="53" t="s">
        <v>4327</v>
      </c>
      <c r="E1150" s="54"/>
      <c r="F1150" s="52" t="str">
        <f>IF(INDEX(I.Performance.EndRange,80)="","",INDEX(I.Performance.EndRange,80))</f>
        <v/>
      </c>
      <c r="G1150" s="54"/>
      <c r="H1150" s="52" t="str">
        <f>IF(AND(I.Compliance.FulfilledPerformance&gt;0,I.Performance.RangeCount&gt;=80,F1150=""),"Incomplete","Complete")</f>
        <v>Complete</v>
      </c>
      <c r="I1150" s="55" t="s">
        <v>1348</v>
      </c>
    </row>
    <row r="1151" spans="2:9" ht="15" customHeight="1" x14ac:dyDescent="0.25">
      <c r="B1151" s="51" t="s">
        <v>125</v>
      </c>
      <c r="C1151" s="52">
        <v>81</v>
      </c>
      <c r="D1151" s="53" t="s">
        <v>4327</v>
      </c>
      <c r="E1151" s="54"/>
      <c r="F1151" s="52" t="str">
        <f>IF(INDEX(I.Performance.EndRange,81)="","",INDEX(I.Performance.EndRange,81))</f>
        <v/>
      </c>
      <c r="G1151" s="54"/>
      <c r="H1151" s="52" t="str">
        <f>IF(AND(I.Compliance.FulfilledPerformance&gt;0,I.Performance.RangeCount&gt;=81,F1151=""),"Incomplete","Complete")</f>
        <v>Complete</v>
      </c>
      <c r="I1151" s="55" t="s">
        <v>1349</v>
      </c>
    </row>
    <row r="1152" spans="2:9" ht="15" customHeight="1" x14ac:dyDescent="0.25">
      <c r="B1152" s="51" t="s">
        <v>125</v>
      </c>
      <c r="C1152" s="52">
        <v>82</v>
      </c>
      <c r="D1152" s="53" t="s">
        <v>4327</v>
      </c>
      <c r="E1152" s="54"/>
      <c r="F1152" s="52" t="str">
        <f>IF(INDEX(I.Performance.EndRange,82)="","",INDEX(I.Performance.EndRange,82))</f>
        <v/>
      </c>
      <c r="G1152" s="54"/>
      <c r="H1152" s="52" t="str">
        <f>IF(AND(I.Compliance.FulfilledPerformance&gt;0,I.Performance.RangeCount&gt;=82,F1152=""),"Incomplete","Complete")</f>
        <v>Complete</v>
      </c>
      <c r="I1152" s="55" t="s">
        <v>1350</v>
      </c>
    </row>
    <row r="1153" spans="2:9" ht="15" customHeight="1" x14ac:dyDescent="0.25">
      <c r="B1153" s="51" t="s">
        <v>125</v>
      </c>
      <c r="C1153" s="52">
        <v>83</v>
      </c>
      <c r="D1153" s="53" t="s">
        <v>4327</v>
      </c>
      <c r="E1153" s="54"/>
      <c r="F1153" s="52" t="str">
        <f>IF(INDEX(I.Performance.EndRange,83)="","",INDEX(I.Performance.EndRange,83))</f>
        <v/>
      </c>
      <c r="G1153" s="54"/>
      <c r="H1153" s="52" t="str">
        <f>IF(AND(I.Compliance.FulfilledPerformance&gt;0,I.Performance.RangeCount&gt;=83,F1153=""),"Incomplete","Complete")</f>
        <v>Complete</v>
      </c>
      <c r="I1153" s="55" t="s">
        <v>1351</v>
      </c>
    </row>
    <row r="1154" spans="2:9" ht="15" customHeight="1" x14ac:dyDescent="0.25">
      <c r="B1154" s="51" t="s">
        <v>125</v>
      </c>
      <c r="C1154" s="52">
        <v>84</v>
      </c>
      <c r="D1154" s="53" t="s">
        <v>4327</v>
      </c>
      <c r="E1154" s="54"/>
      <c r="F1154" s="52" t="str">
        <f>IF(INDEX(I.Performance.EndRange,84)="","",INDEX(I.Performance.EndRange,84))</f>
        <v/>
      </c>
      <c r="G1154" s="54"/>
      <c r="H1154" s="52" t="str">
        <f>IF(AND(I.Compliance.FulfilledPerformance&gt;0,I.Performance.RangeCount&gt;=84,F1154=""),"Incomplete","Complete")</f>
        <v>Complete</v>
      </c>
      <c r="I1154" s="55" t="s">
        <v>1352</v>
      </c>
    </row>
    <row r="1155" spans="2:9" ht="15" customHeight="1" x14ac:dyDescent="0.25">
      <c r="B1155" s="51" t="s">
        <v>125</v>
      </c>
      <c r="C1155" s="52">
        <v>85</v>
      </c>
      <c r="D1155" s="53" t="s">
        <v>4327</v>
      </c>
      <c r="E1155" s="54"/>
      <c r="F1155" s="52" t="str">
        <f>IF(INDEX(I.Performance.EndRange,85)="","",INDEX(I.Performance.EndRange,85))</f>
        <v/>
      </c>
      <c r="G1155" s="54"/>
      <c r="H1155" s="52" t="str">
        <f>IF(AND(I.Compliance.FulfilledPerformance&gt;0,I.Performance.RangeCount&gt;=85,F1155=""),"Incomplete","Complete")</f>
        <v>Complete</v>
      </c>
      <c r="I1155" s="55" t="s">
        <v>1353</v>
      </c>
    </row>
    <row r="1156" spans="2:9" ht="15" customHeight="1" x14ac:dyDescent="0.25">
      <c r="B1156" s="51" t="s">
        <v>125</v>
      </c>
      <c r="C1156" s="52">
        <v>86</v>
      </c>
      <c r="D1156" s="53" t="s">
        <v>4327</v>
      </c>
      <c r="E1156" s="54"/>
      <c r="F1156" s="52" t="str">
        <f>IF(INDEX(I.Performance.EndRange,86)="","",INDEX(I.Performance.EndRange,86))</f>
        <v/>
      </c>
      <c r="G1156" s="54"/>
      <c r="H1156" s="52" t="str">
        <f>IF(AND(I.Compliance.FulfilledPerformance&gt;0,I.Performance.RangeCount&gt;=86,F1156=""),"Incomplete","Complete")</f>
        <v>Complete</v>
      </c>
      <c r="I1156" s="55" t="s">
        <v>1354</v>
      </c>
    </row>
    <row r="1157" spans="2:9" ht="15" customHeight="1" x14ac:dyDescent="0.25">
      <c r="B1157" s="51" t="s">
        <v>125</v>
      </c>
      <c r="C1157" s="52">
        <v>87</v>
      </c>
      <c r="D1157" s="53" t="s">
        <v>4327</v>
      </c>
      <c r="E1157" s="54"/>
      <c r="F1157" s="52" t="str">
        <f>IF(INDEX(I.Performance.EndRange,87)="","",INDEX(I.Performance.EndRange,87))</f>
        <v/>
      </c>
      <c r="G1157" s="54"/>
      <c r="H1157" s="52" t="str">
        <f>IF(AND(I.Compliance.FulfilledPerformance&gt;0,I.Performance.RangeCount&gt;=87,F1157=""),"Incomplete","Complete")</f>
        <v>Complete</v>
      </c>
      <c r="I1157" s="55" t="s">
        <v>1355</v>
      </c>
    </row>
    <row r="1158" spans="2:9" ht="15" customHeight="1" x14ac:dyDescent="0.25">
      <c r="B1158" s="51" t="s">
        <v>125</v>
      </c>
      <c r="C1158" s="52">
        <v>88</v>
      </c>
      <c r="D1158" s="53" t="s">
        <v>4327</v>
      </c>
      <c r="E1158" s="54"/>
      <c r="F1158" s="52" t="str">
        <f>IF(INDEX(I.Performance.EndRange,88)="","",INDEX(I.Performance.EndRange,88))</f>
        <v/>
      </c>
      <c r="G1158" s="54"/>
      <c r="H1158" s="52" t="str">
        <f>IF(AND(I.Compliance.FulfilledPerformance&gt;0,I.Performance.RangeCount&gt;=88,F1158=""),"Incomplete","Complete")</f>
        <v>Complete</v>
      </c>
      <c r="I1158" s="55" t="s">
        <v>1356</v>
      </c>
    </row>
    <row r="1159" spans="2:9" ht="15" customHeight="1" x14ac:dyDescent="0.25">
      <c r="B1159" s="51" t="s">
        <v>125</v>
      </c>
      <c r="C1159" s="52">
        <v>89</v>
      </c>
      <c r="D1159" s="53" t="s">
        <v>4327</v>
      </c>
      <c r="E1159" s="54"/>
      <c r="F1159" s="52" t="str">
        <f>IF(INDEX(I.Performance.EndRange,89)="","",INDEX(I.Performance.EndRange,89))</f>
        <v/>
      </c>
      <c r="G1159" s="54"/>
      <c r="H1159" s="52" t="str">
        <f>IF(AND(I.Compliance.FulfilledPerformance&gt;0,I.Performance.RangeCount&gt;=89,F1159=""),"Incomplete","Complete")</f>
        <v>Complete</v>
      </c>
      <c r="I1159" s="55" t="s">
        <v>1357</v>
      </c>
    </row>
    <row r="1160" spans="2:9" ht="15" customHeight="1" x14ac:dyDescent="0.25">
      <c r="B1160" s="51" t="s">
        <v>125</v>
      </c>
      <c r="C1160" s="52">
        <v>90</v>
      </c>
      <c r="D1160" s="53" t="s">
        <v>4327</v>
      </c>
      <c r="E1160" s="54"/>
      <c r="F1160" s="52" t="str">
        <f>IF(INDEX(I.Performance.EndRange,90)="","",INDEX(I.Performance.EndRange,90))</f>
        <v/>
      </c>
      <c r="G1160" s="54"/>
      <c r="H1160" s="52" t="str">
        <f>IF(AND(I.Compliance.FulfilledPerformance&gt;0,I.Performance.RangeCount&gt;=90,F1160=""),"Incomplete","Complete")</f>
        <v>Complete</v>
      </c>
      <c r="I1160" s="55" t="s">
        <v>1358</v>
      </c>
    </row>
    <row r="1161" spans="2:9" ht="15" customHeight="1" x14ac:dyDescent="0.25">
      <c r="B1161" s="51" t="s">
        <v>125</v>
      </c>
      <c r="C1161" s="52">
        <v>91</v>
      </c>
      <c r="D1161" s="53" t="s">
        <v>4327</v>
      </c>
      <c r="E1161" s="54"/>
      <c r="F1161" s="52" t="str">
        <f>IF(INDEX(I.Performance.EndRange,91)="","",INDEX(I.Performance.EndRange,91))</f>
        <v/>
      </c>
      <c r="G1161" s="54"/>
      <c r="H1161" s="52" t="str">
        <f>IF(AND(I.Compliance.FulfilledPerformance&gt;0,I.Performance.RangeCount&gt;=91,F1161=""),"Incomplete","Complete")</f>
        <v>Complete</v>
      </c>
      <c r="I1161" s="55" t="s">
        <v>1359</v>
      </c>
    </row>
    <row r="1162" spans="2:9" ht="15" customHeight="1" x14ac:dyDescent="0.25">
      <c r="B1162" s="51" t="s">
        <v>125</v>
      </c>
      <c r="C1162" s="52">
        <v>92</v>
      </c>
      <c r="D1162" s="53" t="s">
        <v>4327</v>
      </c>
      <c r="E1162" s="54"/>
      <c r="F1162" s="52" t="str">
        <f>IF(INDEX(I.Performance.EndRange,92)="","",INDEX(I.Performance.EndRange,92))</f>
        <v/>
      </c>
      <c r="G1162" s="54"/>
      <c r="H1162" s="52" t="str">
        <f>IF(AND(I.Compliance.FulfilledPerformance&gt;0,I.Performance.RangeCount&gt;=92,F1162=""),"Incomplete","Complete")</f>
        <v>Complete</v>
      </c>
      <c r="I1162" s="55" t="s">
        <v>1360</v>
      </c>
    </row>
    <row r="1163" spans="2:9" ht="15" customHeight="1" x14ac:dyDescent="0.25">
      <c r="B1163" s="51" t="s">
        <v>125</v>
      </c>
      <c r="C1163" s="52">
        <v>93</v>
      </c>
      <c r="D1163" s="53" t="s">
        <v>4327</v>
      </c>
      <c r="E1163" s="54"/>
      <c r="F1163" s="52" t="str">
        <f>IF(INDEX(I.Performance.EndRange,93)="","",INDEX(I.Performance.EndRange,93))</f>
        <v/>
      </c>
      <c r="G1163" s="54"/>
      <c r="H1163" s="52" t="str">
        <f>IF(AND(I.Compliance.FulfilledPerformance&gt;0,I.Performance.RangeCount&gt;=93,F1163=""),"Incomplete","Complete")</f>
        <v>Complete</v>
      </c>
      <c r="I1163" s="55" t="s">
        <v>1361</v>
      </c>
    </row>
    <row r="1164" spans="2:9" ht="15" customHeight="1" x14ac:dyDescent="0.25">
      <c r="B1164" s="51" t="s">
        <v>125</v>
      </c>
      <c r="C1164" s="52">
        <v>94</v>
      </c>
      <c r="D1164" s="53" t="s">
        <v>4327</v>
      </c>
      <c r="E1164" s="54"/>
      <c r="F1164" s="52" t="str">
        <f>IF(INDEX(I.Performance.EndRange,94)="","",INDEX(I.Performance.EndRange,94))</f>
        <v/>
      </c>
      <c r="G1164" s="54"/>
      <c r="H1164" s="52" t="str">
        <f>IF(AND(I.Compliance.FulfilledPerformance&gt;0,I.Performance.RangeCount&gt;=94,F1164=""),"Incomplete","Complete")</f>
        <v>Complete</v>
      </c>
      <c r="I1164" s="55" t="s">
        <v>1362</v>
      </c>
    </row>
    <row r="1165" spans="2:9" ht="15" customHeight="1" x14ac:dyDescent="0.25">
      <c r="B1165" s="51" t="s">
        <v>125</v>
      </c>
      <c r="C1165" s="52">
        <v>95</v>
      </c>
      <c r="D1165" s="53" t="s">
        <v>4327</v>
      </c>
      <c r="E1165" s="54"/>
      <c r="F1165" s="52" t="str">
        <f>IF(INDEX(I.Performance.EndRange,95)="","",INDEX(I.Performance.EndRange,95))</f>
        <v/>
      </c>
      <c r="G1165" s="54"/>
      <c r="H1165" s="52" t="str">
        <f>IF(AND(I.Compliance.FulfilledPerformance&gt;0,I.Performance.RangeCount&gt;=95,F1165=""),"Incomplete","Complete")</f>
        <v>Complete</v>
      </c>
      <c r="I1165" s="55" t="s">
        <v>1363</v>
      </c>
    </row>
    <row r="1166" spans="2:9" ht="15" customHeight="1" x14ac:dyDescent="0.25">
      <c r="B1166" s="51" t="s">
        <v>125</v>
      </c>
      <c r="C1166" s="52">
        <v>96</v>
      </c>
      <c r="D1166" s="53" t="s">
        <v>4327</v>
      </c>
      <c r="E1166" s="54"/>
      <c r="F1166" s="52" t="str">
        <f>IF(INDEX(I.Performance.EndRange,96)="","",INDEX(I.Performance.EndRange,96))</f>
        <v/>
      </c>
      <c r="G1166" s="54"/>
      <c r="H1166" s="52" t="str">
        <f>IF(AND(I.Compliance.FulfilledPerformance&gt;0,I.Performance.RangeCount&gt;=96,F1166=""),"Incomplete","Complete")</f>
        <v>Complete</v>
      </c>
      <c r="I1166" s="55" t="s">
        <v>1364</v>
      </c>
    </row>
    <row r="1167" spans="2:9" ht="15" customHeight="1" x14ac:dyDescent="0.25">
      <c r="B1167" s="51" t="s">
        <v>125</v>
      </c>
      <c r="C1167" s="52">
        <v>97</v>
      </c>
      <c r="D1167" s="53" t="s">
        <v>4327</v>
      </c>
      <c r="E1167" s="54"/>
      <c r="F1167" s="52" t="str">
        <f>IF(INDEX(I.Performance.EndRange,97)="","",INDEX(I.Performance.EndRange,97))</f>
        <v/>
      </c>
      <c r="G1167" s="54"/>
      <c r="H1167" s="52" t="str">
        <f>IF(AND(I.Compliance.FulfilledPerformance&gt;0,I.Performance.RangeCount&gt;=97,F1167=""),"Incomplete","Complete")</f>
        <v>Complete</v>
      </c>
      <c r="I1167" s="55" t="s">
        <v>1365</v>
      </c>
    </row>
    <row r="1168" spans="2:9" ht="15" customHeight="1" x14ac:dyDescent="0.25">
      <c r="B1168" s="51" t="s">
        <v>125</v>
      </c>
      <c r="C1168" s="52">
        <v>98</v>
      </c>
      <c r="D1168" s="53" t="s">
        <v>4327</v>
      </c>
      <c r="E1168" s="54"/>
      <c r="F1168" s="52" t="str">
        <f>IF(INDEX(I.Performance.EndRange,98)="","",INDEX(I.Performance.EndRange,98))</f>
        <v/>
      </c>
      <c r="G1168" s="54"/>
      <c r="H1168" s="52" t="str">
        <f>IF(AND(I.Compliance.FulfilledPerformance&gt;0,I.Performance.RangeCount&gt;=98,F1168=""),"Incomplete","Complete")</f>
        <v>Complete</v>
      </c>
      <c r="I1168" s="55" t="s">
        <v>1366</v>
      </c>
    </row>
    <row r="1169" spans="2:9" ht="15" customHeight="1" x14ac:dyDescent="0.25">
      <c r="B1169" s="51" t="s">
        <v>125</v>
      </c>
      <c r="C1169" s="52">
        <v>99</v>
      </c>
      <c r="D1169" s="53" t="s">
        <v>4327</v>
      </c>
      <c r="E1169" s="54"/>
      <c r="F1169" s="52" t="str">
        <f>IF(INDEX(I.Performance.EndRange,99)="","",INDEX(I.Performance.EndRange,99))</f>
        <v/>
      </c>
      <c r="G1169" s="54"/>
      <c r="H1169" s="52" t="str">
        <f>IF(AND(I.Compliance.FulfilledPerformance&gt;0,I.Performance.RangeCount&gt;=99,F1169=""),"Incomplete","Complete")</f>
        <v>Complete</v>
      </c>
      <c r="I1169" s="55" t="s">
        <v>1367</v>
      </c>
    </row>
    <row r="1170" spans="2:9" ht="15" customHeight="1" x14ac:dyDescent="0.25">
      <c r="B1170" s="51" t="s">
        <v>125</v>
      </c>
      <c r="C1170" s="52">
        <v>100</v>
      </c>
      <c r="D1170" s="53" t="s">
        <v>4327</v>
      </c>
      <c r="E1170" s="54"/>
      <c r="F1170" s="52" t="str">
        <f>IF(INDEX(I.Performance.EndRange,100)="","",INDEX(I.Performance.EndRange,100))</f>
        <v/>
      </c>
      <c r="G1170" s="54"/>
      <c r="H1170" s="52" t="str">
        <f>IF(AND(I.Compliance.FulfilledPerformance&gt;0,I.Performance.RangeCount&gt;=100,F1170=""),"Incomplete","Complete")</f>
        <v>Complete</v>
      </c>
      <c r="I1170" s="55" t="s">
        <v>1368</v>
      </c>
    </row>
    <row r="1171" spans="2:9" ht="15" customHeight="1" x14ac:dyDescent="0.25">
      <c r="B1171" s="51" t="s">
        <v>125</v>
      </c>
      <c r="C1171" s="52">
        <v>101</v>
      </c>
      <c r="D1171" s="53" t="s">
        <v>4327</v>
      </c>
      <c r="E1171" s="54"/>
      <c r="F1171" s="52" t="str">
        <f>IF(INDEX(I.Performance.EndRange,101)="","",INDEX(I.Performance.EndRange,101))</f>
        <v/>
      </c>
      <c r="G1171" s="54"/>
      <c r="H1171" s="52" t="str">
        <f>IF(AND(I.Compliance.FulfilledPerformance&gt;0,I.Performance.RangeCount&gt;=101,F1171=""),"Incomplete","Complete")</f>
        <v>Complete</v>
      </c>
      <c r="I1171" s="55" t="s">
        <v>1369</v>
      </c>
    </row>
    <row r="1172" spans="2:9" ht="15" customHeight="1" x14ac:dyDescent="0.25">
      <c r="B1172" s="51" t="s">
        <v>125</v>
      </c>
      <c r="C1172" s="52">
        <v>102</v>
      </c>
      <c r="D1172" s="53" t="s">
        <v>4327</v>
      </c>
      <c r="E1172" s="54"/>
      <c r="F1172" s="52" t="str">
        <f>IF(INDEX(I.Performance.EndRange,102)="","",INDEX(I.Performance.EndRange,102))</f>
        <v/>
      </c>
      <c r="G1172" s="54"/>
      <c r="H1172" s="52" t="str">
        <f>IF(AND(I.Compliance.FulfilledPerformance&gt;0,I.Performance.RangeCount&gt;=102,F1172=""),"Incomplete","Complete")</f>
        <v>Complete</v>
      </c>
      <c r="I1172" s="55" t="s">
        <v>1370</v>
      </c>
    </row>
    <row r="1173" spans="2:9" ht="15" customHeight="1" x14ac:dyDescent="0.25">
      <c r="B1173" s="51" t="s">
        <v>125</v>
      </c>
      <c r="C1173" s="52">
        <v>103</v>
      </c>
      <c r="D1173" s="53" t="s">
        <v>4327</v>
      </c>
      <c r="E1173" s="54"/>
      <c r="F1173" s="52" t="str">
        <f>IF(INDEX(I.Performance.EndRange,103)="","",INDEX(I.Performance.EndRange,103))</f>
        <v/>
      </c>
      <c r="G1173" s="54"/>
      <c r="H1173" s="52" t="str">
        <f>IF(AND(I.Compliance.FulfilledPerformance&gt;0,I.Performance.RangeCount&gt;=103,F1173=""),"Incomplete","Complete")</f>
        <v>Complete</v>
      </c>
      <c r="I1173" s="55" t="s">
        <v>1371</v>
      </c>
    </row>
    <row r="1174" spans="2:9" ht="15" customHeight="1" x14ac:dyDescent="0.25">
      <c r="B1174" s="51" t="s">
        <v>125</v>
      </c>
      <c r="C1174" s="52">
        <v>104</v>
      </c>
      <c r="D1174" s="53" t="s">
        <v>4327</v>
      </c>
      <c r="E1174" s="54"/>
      <c r="F1174" s="52" t="str">
        <f>IF(INDEX(I.Performance.EndRange,104)="","",INDEX(I.Performance.EndRange,104))</f>
        <v/>
      </c>
      <c r="G1174" s="54"/>
      <c r="H1174" s="52" t="str">
        <f>IF(AND(I.Compliance.FulfilledPerformance&gt;0,I.Performance.RangeCount&gt;=104,F1174=""),"Incomplete","Complete")</f>
        <v>Complete</v>
      </c>
      <c r="I1174" s="55" t="s">
        <v>1372</v>
      </c>
    </row>
    <row r="1175" spans="2:9" ht="15" customHeight="1" x14ac:dyDescent="0.25">
      <c r="B1175" s="51" t="s">
        <v>125</v>
      </c>
      <c r="C1175" s="52">
        <v>105</v>
      </c>
      <c r="D1175" s="53" t="s">
        <v>4327</v>
      </c>
      <c r="E1175" s="54"/>
      <c r="F1175" s="52" t="str">
        <f>IF(INDEX(I.Performance.EndRange,105)="","",INDEX(I.Performance.EndRange,105))</f>
        <v/>
      </c>
      <c r="G1175" s="54"/>
      <c r="H1175" s="52" t="str">
        <f>IF(AND(I.Compliance.FulfilledPerformance&gt;0,I.Performance.RangeCount&gt;=105,F1175=""),"Incomplete","Complete")</f>
        <v>Complete</v>
      </c>
      <c r="I1175" s="55" t="s">
        <v>1373</v>
      </c>
    </row>
    <row r="1176" spans="2:9" ht="15" customHeight="1" x14ac:dyDescent="0.25">
      <c r="B1176" s="51" t="s">
        <v>125</v>
      </c>
      <c r="C1176" s="52">
        <v>106</v>
      </c>
      <c r="D1176" s="53" t="s">
        <v>4327</v>
      </c>
      <c r="E1176" s="54"/>
      <c r="F1176" s="52" t="str">
        <f>IF(INDEX(I.Performance.EndRange,106)="","",INDEX(I.Performance.EndRange,106))</f>
        <v/>
      </c>
      <c r="G1176" s="54"/>
      <c r="H1176" s="52" t="str">
        <f>IF(AND(I.Compliance.FulfilledPerformance&gt;0,I.Performance.RangeCount&gt;=106,F1176=""),"Incomplete","Complete")</f>
        <v>Complete</v>
      </c>
      <c r="I1176" s="55" t="s">
        <v>1374</v>
      </c>
    </row>
    <row r="1177" spans="2:9" ht="15" customHeight="1" x14ac:dyDescent="0.25">
      <c r="B1177" s="51" t="s">
        <v>125</v>
      </c>
      <c r="C1177" s="52">
        <v>107</v>
      </c>
      <c r="D1177" s="53" t="s">
        <v>4327</v>
      </c>
      <c r="E1177" s="54"/>
      <c r="F1177" s="52" t="str">
        <f>IF(INDEX(I.Performance.EndRange,107)="","",INDEX(I.Performance.EndRange,107))</f>
        <v/>
      </c>
      <c r="G1177" s="54"/>
      <c r="H1177" s="52" t="str">
        <f>IF(AND(I.Compliance.FulfilledPerformance&gt;0,I.Performance.RangeCount&gt;=107,F1177=""),"Incomplete","Complete")</f>
        <v>Complete</v>
      </c>
      <c r="I1177" s="55" t="s">
        <v>1375</v>
      </c>
    </row>
    <row r="1178" spans="2:9" ht="15" customHeight="1" x14ac:dyDescent="0.25">
      <c r="B1178" s="51" t="s">
        <v>125</v>
      </c>
      <c r="C1178" s="52">
        <v>108</v>
      </c>
      <c r="D1178" s="53" t="s">
        <v>4327</v>
      </c>
      <c r="E1178" s="54"/>
      <c r="F1178" s="52" t="str">
        <f>IF(INDEX(I.Performance.EndRange,108)="","",INDEX(I.Performance.EndRange,108))</f>
        <v/>
      </c>
      <c r="G1178" s="54"/>
      <c r="H1178" s="52" t="str">
        <f>IF(AND(I.Compliance.FulfilledPerformance&gt;0,I.Performance.RangeCount&gt;=108,F1178=""),"Incomplete","Complete")</f>
        <v>Complete</v>
      </c>
      <c r="I1178" s="55" t="s">
        <v>1376</v>
      </c>
    </row>
    <row r="1179" spans="2:9" ht="15" customHeight="1" x14ac:dyDescent="0.25">
      <c r="B1179" s="51" t="s">
        <v>125</v>
      </c>
      <c r="C1179" s="52">
        <v>109</v>
      </c>
      <c r="D1179" s="53" t="s">
        <v>4327</v>
      </c>
      <c r="E1179" s="54"/>
      <c r="F1179" s="52" t="str">
        <f>IF(INDEX(I.Performance.EndRange,109)="","",INDEX(I.Performance.EndRange,109))</f>
        <v/>
      </c>
      <c r="G1179" s="54"/>
      <c r="H1179" s="52" t="str">
        <f>IF(AND(I.Compliance.FulfilledPerformance&gt;0,I.Performance.RangeCount&gt;=109,F1179=""),"Incomplete","Complete")</f>
        <v>Complete</v>
      </c>
      <c r="I1179" s="55" t="s">
        <v>1377</v>
      </c>
    </row>
    <row r="1180" spans="2:9" ht="15" customHeight="1" x14ac:dyDescent="0.25">
      <c r="B1180" s="51" t="s">
        <v>125</v>
      </c>
      <c r="C1180" s="52">
        <v>110</v>
      </c>
      <c r="D1180" s="53" t="s">
        <v>4327</v>
      </c>
      <c r="E1180" s="54"/>
      <c r="F1180" s="52" t="str">
        <f>IF(INDEX(I.Performance.EndRange,110)="","",INDEX(I.Performance.EndRange,110))</f>
        <v/>
      </c>
      <c r="G1180" s="54"/>
      <c r="H1180" s="52" t="str">
        <f>IF(AND(I.Compliance.FulfilledPerformance&gt;0,I.Performance.RangeCount&gt;=110,F1180=""),"Incomplete","Complete")</f>
        <v>Complete</v>
      </c>
      <c r="I1180" s="55" t="s">
        <v>1378</v>
      </c>
    </row>
    <row r="1181" spans="2:9" ht="15" customHeight="1" x14ac:dyDescent="0.25">
      <c r="B1181" s="51" t="s">
        <v>125</v>
      </c>
      <c r="C1181" s="52">
        <v>111</v>
      </c>
      <c r="D1181" s="53" t="s">
        <v>4327</v>
      </c>
      <c r="E1181" s="54"/>
      <c r="F1181" s="52" t="str">
        <f>IF(INDEX(I.Performance.EndRange,111)="","",INDEX(I.Performance.EndRange,111))</f>
        <v/>
      </c>
      <c r="G1181" s="54"/>
      <c r="H1181" s="52" t="str">
        <f>IF(AND(I.Compliance.FulfilledPerformance&gt;0,I.Performance.RangeCount&gt;=111,F1181=""),"Incomplete","Complete")</f>
        <v>Complete</v>
      </c>
      <c r="I1181" s="55" t="s">
        <v>1379</v>
      </c>
    </row>
    <row r="1182" spans="2:9" ht="15" customHeight="1" x14ac:dyDescent="0.25">
      <c r="B1182" s="51" t="s">
        <v>125</v>
      </c>
      <c r="C1182" s="52">
        <v>112</v>
      </c>
      <c r="D1182" s="53" t="s">
        <v>4327</v>
      </c>
      <c r="E1182" s="54"/>
      <c r="F1182" s="52" t="str">
        <f>IF(INDEX(I.Performance.EndRange,112)="","",INDEX(I.Performance.EndRange,112))</f>
        <v/>
      </c>
      <c r="G1182" s="54"/>
      <c r="H1182" s="52" t="str">
        <f>IF(AND(I.Compliance.FulfilledPerformance&gt;0,I.Performance.RangeCount&gt;=112,F1182=""),"Incomplete","Complete")</f>
        <v>Complete</v>
      </c>
      <c r="I1182" s="55" t="s">
        <v>1380</v>
      </c>
    </row>
    <row r="1183" spans="2:9" ht="15" customHeight="1" x14ac:dyDescent="0.25">
      <c r="B1183" s="51" t="s">
        <v>125</v>
      </c>
      <c r="C1183" s="52">
        <v>113</v>
      </c>
      <c r="D1183" s="53" t="s">
        <v>4327</v>
      </c>
      <c r="E1183" s="54"/>
      <c r="F1183" s="52" t="str">
        <f>IF(INDEX(I.Performance.EndRange,113)="","",INDEX(I.Performance.EndRange,113))</f>
        <v/>
      </c>
      <c r="G1183" s="54"/>
      <c r="H1183" s="52" t="str">
        <f>IF(AND(I.Compliance.FulfilledPerformance&gt;0,I.Performance.RangeCount&gt;=113,F1183=""),"Incomplete","Complete")</f>
        <v>Complete</v>
      </c>
      <c r="I1183" s="55" t="s">
        <v>1381</v>
      </c>
    </row>
    <row r="1184" spans="2:9" ht="15" customHeight="1" x14ac:dyDescent="0.25">
      <c r="B1184" s="51" t="s">
        <v>125</v>
      </c>
      <c r="C1184" s="52">
        <v>114</v>
      </c>
      <c r="D1184" s="53" t="s">
        <v>4327</v>
      </c>
      <c r="E1184" s="54"/>
      <c r="F1184" s="52" t="str">
        <f>IF(INDEX(I.Performance.EndRange,114)="","",INDEX(I.Performance.EndRange,114))</f>
        <v/>
      </c>
      <c r="G1184" s="54"/>
      <c r="H1184" s="52" t="str">
        <f>IF(AND(I.Compliance.FulfilledPerformance&gt;0,I.Performance.RangeCount&gt;=114,F1184=""),"Incomplete","Complete")</f>
        <v>Complete</v>
      </c>
      <c r="I1184" s="55" t="s">
        <v>1382</v>
      </c>
    </row>
    <row r="1185" spans="2:9" ht="15" customHeight="1" x14ac:dyDescent="0.25">
      <c r="B1185" s="51" t="s">
        <v>125</v>
      </c>
      <c r="C1185" s="52">
        <v>115</v>
      </c>
      <c r="D1185" s="53" t="s">
        <v>4327</v>
      </c>
      <c r="E1185" s="54"/>
      <c r="F1185" s="52" t="str">
        <f>IF(INDEX(I.Performance.EndRange,115)="","",INDEX(I.Performance.EndRange,115))</f>
        <v/>
      </c>
      <c r="G1185" s="54"/>
      <c r="H1185" s="52" t="str">
        <f>IF(AND(I.Compliance.FulfilledPerformance&gt;0,I.Performance.RangeCount&gt;=115,F1185=""),"Incomplete","Complete")</f>
        <v>Complete</v>
      </c>
      <c r="I1185" s="55" t="s">
        <v>1383</v>
      </c>
    </row>
    <row r="1186" spans="2:9" ht="15" customHeight="1" x14ac:dyDescent="0.25">
      <c r="B1186" s="51" t="s">
        <v>125</v>
      </c>
      <c r="C1186" s="52">
        <v>116</v>
      </c>
      <c r="D1186" s="53" t="s">
        <v>4327</v>
      </c>
      <c r="E1186" s="54"/>
      <c r="F1186" s="52" t="str">
        <f>IF(INDEX(I.Performance.EndRange,116)="","",INDEX(I.Performance.EndRange,116))</f>
        <v/>
      </c>
      <c r="G1186" s="54"/>
      <c r="H1186" s="52" t="str">
        <f>IF(AND(I.Compliance.FulfilledPerformance&gt;0,I.Performance.RangeCount&gt;=116,F1186=""),"Incomplete","Complete")</f>
        <v>Complete</v>
      </c>
      <c r="I1186" s="55" t="s">
        <v>1384</v>
      </c>
    </row>
    <row r="1187" spans="2:9" ht="15" customHeight="1" x14ac:dyDescent="0.25">
      <c r="B1187" s="51" t="s">
        <v>125</v>
      </c>
      <c r="C1187" s="52">
        <v>117</v>
      </c>
      <c r="D1187" s="53" t="s">
        <v>4327</v>
      </c>
      <c r="E1187" s="54"/>
      <c r="F1187" s="52" t="str">
        <f>IF(INDEX(I.Performance.EndRange,117)="","",INDEX(I.Performance.EndRange,117))</f>
        <v/>
      </c>
      <c r="G1187" s="54"/>
      <c r="H1187" s="52" t="str">
        <f>IF(AND(I.Compliance.FulfilledPerformance&gt;0,I.Performance.RangeCount&gt;=117,F1187=""),"Incomplete","Complete")</f>
        <v>Complete</v>
      </c>
      <c r="I1187" s="55" t="s">
        <v>1385</v>
      </c>
    </row>
    <row r="1188" spans="2:9" ht="15" customHeight="1" x14ac:dyDescent="0.25">
      <c r="B1188" s="51" t="s">
        <v>125</v>
      </c>
      <c r="C1188" s="52">
        <v>118</v>
      </c>
      <c r="D1188" s="53" t="s">
        <v>4327</v>
      </c>
      <c r="E1188" s="54"/>
      <c r="F1188" s="52" t="str">
        <f>IF(INDEX(I.Performance.EndRange,118)="","",INDEX(I.Performance.EndRange,118))</f>
        <v/>
      </c>
      <c r="G1188" s="54"/>
      <c r="H1188" s="52" t="str">
        <f>IF(AND(I.Compliance.FulfilledPerformance&gt;0,I.Performance.RangeCount&gt;=118,F1188=""),"Incomplete","Complete")</f>
        <v>Complete</v>
      </c>
      <c r="I1188" s="55" t="s">
        <v>1386</v>
      </c>
    </row>
    <row r="1189" spans="2:9" ht="15" customHeight="1" x14ac:dyDescent="0.25">
      <c r="B1189" s="51" t="s">
        <v>125</v>
      </c>
      <c r="C1189" s="52">
        <v>119</v>
      </c>
      <c r="D1189" s="53" t="s">
        <v>4327</v>
      </c>
      <c r="E1189" s="54"/>
      <c r="F1189" s="52" t="str">
        <f>IF(INDEX(I.Performance.EndRange,119)="","",INDEX(I.Performance.EndRange,119))</f>
        <v/>
      </c>
      <c r="G1189" s="54"/>
      <c r="H1189" s="52" t="str">
        <f>IF(AND(I.Compliance.FulfilledPerformance&gt;0,I.Performance.RangeCount&gt;=119,F1189=""),"Incomplete","Complete")</f>
        <v>Complete</v>
      </c>
      <c r="I1189" s="55" t="s">
        <v>1387</v>
      </c>
    </row>
    <row r="1190" spans="2:9" ht="15" customHeight="1" x14ac:dyDescent="0.25">
      <c r="B1190" s="51" t="s">
        <v>125</v>
      </c>
      <c r="C1190" s="52">
        <v>120</v>
      </c>
      <c r="D1190" s="53" t="s">
        <v>4327</v>
      </c>
      <c r="E1190" s="54"/>
      <c r="F1190" s="52" t="str">
        <f>IF(INDEX(I.Performance.EndRange,120)="","",INDEX(I.Performance.EndRange,120))</f>
        <v/>
      </c>
      <c r="G1190" s="54"/>
      <c r="H1190" s="52" t="str">
        <f>IF(AND(I.Compliance.FulfilledPerformance&gt;0,I.Performance.RangeCount&gt;=120,F1190=""),"Incomplete","Complete")</f>
        <v>Complete</v>
      </c>
      <c r="I1190" s="55" t="s">
        <v>1388</v>
      </c>
    </row>
    <row r="1191" spans="2:9" ht="15" customHeight="1" x14ac:dyDescent="0.25">
      <c r="B1191" s="51" t="s">
        <v>125</v>
      </c>
      <c r="C1191" s="52">
        <v>121</v>
      </c>
      <c r="D1191" s="53" t="s">
        <v>4327</v>
      </c>
      <c r="E1191" s="54"/>
      <c r="F1191" s="52" t="str">
        <f>IF(INDEX(I.Performance.EndRange,121)="","",INDEX(I.Performance.EndRange,121))</f>
        <v/>
      </c>
      <c r="G1191" s="54"/>
      <c r="H1191" s="52" t="str">
        <f>IF(AND(I.Compliance.FulfilledPerformance&gt;0,I.Performance.RangeCount&gt;=121,F1191=""),"Incomplete","Complete")</f>
        <v>Complete</v>
      </c>
      <c r="I1191" s="55" t="s">
        <v>1389</v>
      </c>
    </row>
    <row r="1192" spans="2:9" ht="15" customHeight="1" x14ac:dyDescent="0.25">
      <c r="B1192" s="51" t="s">
        <v>125</v>
      </c>
      <c r="C1192" s="52">
        <v>122</v>
      </c>
      <c r="D1192" s="53" t="s">
        <v>4327</v>
      </c>
      <c r="E1192" s="54"/>
      <c r="F1192" s="52" t="str">
        <f>IF(INDEX(I.Performance.EndRange,122)="","",INDEX(I.Performance.EndRange,122))</f>
        <v/>
      </c>
      <c r="G1192" s="54"/>
      <c r="H1192" s="52" t="str">
        <f>IF(AND(I.Compliance.FulfilledPerformance&gt;0,I.Performance.RangeCount&gt;=122,F1192=""),"Incomplete","Complete")</f>
        <v>Complete</v>
      </c>
      <c r="I1192" s="55" t="s">
        <v>1390</v>
      </c>
    </row>
    <row r="1193" spans="2:9" ht="15" customHeight="1" x14ac:dyDescent="0.25">
      <c r="B1193" s="51" t="s">
        <v>125</v>
      </c>
      <c r="C1193" s="52">
        <v>123</v>
      </c>
      <c r="D1193" s="53" t="s">
        <v>4327</v>
      </c>
      <c r="E1193" s="54"/>
      <c r="F1193" s="52" t="str">
        <f>IF(INDEX(I.Performance.EndRange,123)="","",INDEX(I.Performance.EndRange,123))</f>
        <v/>
      </c>
      <c r="G1193" s="54"/>
      <c r="H1193" s="52" t="str">
        <f>IF(AND(I.Compliance.FulfilledPerformance&gt;0,I.Performance.RangeCount&gt;=123,F1193=""),"Incomplete","Complete")</f>
        <v>Complete</v>
      </c>
      <c r="I1193" s="55" t="s">
        <v>1391</v>
      </c>
    </row>
    <row r="1194" spans="2:9" ht="15" customHeight="1" x14ac:dyDescent="0.25">
      <c r="B1194" s="51" t="s">
        <v>125</v>
      </c>
      <c r="C1194" s="52">
        <v>124</v>
      </c>
      <c r="D1194" s="53" t="s">
        <v>4327</v>
      </c>
      <c r="E1194" s="54"/>
      <c r="F1194" s="52" t="str">
        <f>IF(INDEX(I.Performance.EndRange,124)="","",INDEX(I.Performance.EndRange,124))</f>
        <v/>
      </c>
      <c r="G1194" s="54"/>
      <c r="H1194" s="52" t="str">
        <f>IF(AND(I.Compliance.FulfilledPerformance&gt;0,I.Performance.RangeCount&gt;=124,F1194=""),"Incomplete","Complete")</f>
        <v>Complete</v>
      </c>
      <c r="I1194" s="55" t="s">
        <v>1392</v>
      </c>
    </row>
    <row r="1195" spans="2:9" ht="15" customHeight="1" x14ac:dyDescent="0.25">
      <c r="B1195" s="51" t="s">
        <v>125</v>
      </c>
      <c r="C1195" s="52">
        <v>125</v>
      </c>
      <c r="D1195" s="53" t="s">
        <v>4327</v>
      </c>
      <c r="E1195" s="54"/>
      <c r="F1195" s="52" t="str">
        <f>IF(INDEX(I.Performance.EndRange,125)="","",INDEX(I.Performance.EndRange,125))</f>
        <v/>
      </c>
      <c r="G1195" s="54"/>
      <c r="H1195" s="52" t="str">
        <f>IF(AND(I.Compliance.FulfilledPerformance&gt;0,I.Performance.RangeCount&gt;=125,F1195=""),"Incomplete","Complete")</f>
        <v>Complete</v>
      </c>
      <c r="I1195" s="55" t="s">
        <v>1393</v>
      </c>
    </row>
    <row r="1196" spans="2:9" ht="15" customHeight="1" x14ac:dyDescent="0.25">
      <c r="B1196" s="51" t="s">
        <v>125</v>
      </c>
      <c r="C1196" s="52">
        <v>126</v>
      </c>
      <c r="D1196" s="53" t="s">
        <v>4327</v>
      </c>
      <c r="E1196" s="54"/>
      <c r="F1196" s="52" t="str">
        <f>IF(INDEX(I.Performance.EndRange,126)="","",INDEX(I.Performance.EndRange,126))</f>
        <v/>
      </c>
      <c r="G1196" s="54"/>
      <c r="H1196" s="52" t="str">
        <f>IF(AND(I.Compliance.FulfilledPerformance&gt;0,I.Performance.RangeCount&gt;=126,F1196=""),"Incomplete","Complete")</f>
        <v>Complete</v>
      </c>
      <c r="I1196" s="55" t="s">
        <v>1394</v>
      </c>
    </row>
    <row r="1197" spans="2:9" ht="15" customHeight="1" x14ac:dyDescent="0.25">
      <c r="B1197" s="51" t="s">
        <v>125</v>
      </c>
      <c r="C1197" s="52">
        <v>127</v>
      </c>
      <c r="D1197" s="53" t="s">
        <v>4327</v>
      </c>
      <c r="E1197" s="54"/>
      <c r="F1197" s="52" t="str">
        <f>IF(INDEX(I.Performance.EndRange,127)="","",INDEX(I.Performance.EndRange,127))</f>
        <v/>
      </c>
      <c r="G1197" s="54"/>
      <c r="H1197" s="52" t="str">
        <f>IF(AND(I.Compliance.FulfilledPerformance&gt;0,I.Performance.RangeCount&gt;=127,F1197=""),"Incomplete","Complete")</f>
        <v>Complete</v>
      </c>
      <c r="I1197" s="55" t="s">
        <v>1395</v>
      </c>
    </row>
    <row r="1198" spans="2:9" ht="15" customHeight="1" x14ac:dyDescent="0.25">
      <c r="B1198" s="51" t="s">
        <v>125</v>
      </c>
      <c r="C1198" s="52">
        <v>128</v>
      </c>
      <c r="D1198" s="53" t="s">
        <v>4327</v>
      </c>
      <c r="E1198" s="54"/>
      <c r="F1198" s="52" t="str">
        <f>IF(INDEX(I.Performance.EndRange,128)="","",INDEX(I.Performance.EndRange,128))</f>
        <v/>
      </c>
      <c r="G1198" s="54"/>
      <c r="H1198" s="52" t="str">
        <f>IF(AND(I.Compliance.FulfilledPerformance&gt;0,I.Performance.RangeCount&gt;=128,F1198=""),"Incomplete","Complete")</f>
        <v>Complete</v>
      </c>
      <c r="I1198" s="55" t="s">
        <v>1396</v>
      </c>
    </row>
    <row r="1199" spans="2:9" ht="15" customHeight="1" x14ac:dyDescent="0.25">
      <c r="B1199" s="51" t="s">
        <v>125</v>
      </c>
      <c r="C1199" s="52">
        <v>129</v>
      </c>
      <c r="D1199" s="53" t="s">
        <v>4327</v>
      </c>
      <c r="E1199" s="54"/>
      <c r="F1199" s="52" t="str">
        <f>IF(INDEX(I.Performance.EndRange,129)="","",INDEX(I.Performance.EndRange,129))</f>
        <v/>
      </c>
      <c r="G1199" s="54"/>
      <c r="H1199" s="52" t="str">
        <f>IF(AND(I.Compliance.FulfilledPerformance&gt;0,I.Performance.RangeCount&gt;=129,F1199=""),"Incomplete","Complete")</f>
        <v>Complete</v>
      </c>
      <c r="I1199" s="55" t="s">
        <v>1397</v>
      </c>
    </row>
    <row r="1200" spans="2:9" ht="15" customHeight="1" x14ac:dyDescent="0.25">
      <c r="B1200" s="51" t="s">
        <v>125</v>
      </c>
      <c r="C1200" s="52">
        <v>130</v>
      </c>
      <c r="D1200" s="53" t="s">
        <v>4327</v>
      </c>
      <c r="E1200" s="54"/>
      <c r="F1200" s="52" t="str">
        <f>IF(INDEX(I.Performance.EndRange,130)="","",INDEX(I.Performance.EndRange,130))</f>
        <v/>
      </c>
      <c r="G1200" s="54"/>
      <c r="H1200" s="52" t="str">
        <f>IF(AND(I.Compliance.FulfilledPerformance&gt;0,I.Performance.RangeCount&gt;=130,F1200=""),"Incomplete","Complete")</f>
        <v>Complete</v>
      </c>
      <c r="I1200" s="55" t="s">
        <v>1398</v>
      </c>
    </row>
    <row r="1201" spans="2:9" ht="15" customHeight="1" x14ac:dyDescent="0.25">
      <c r="B1201" s="51" t="s">
        <v>125</v>
      </c>
      <c r="C1201" s="52">
        <v>131</v>
      </c>
      <c r="D1201" s="53" t="s">
        <v>4327</v>
      </c>
      <c r="E1201" s="54"/>
      <c r="F1201" s="52" t="str">
        <f>IF(INDEX(I.Performance.EndRange,131)="","",INDEX(I.Performance.EndRange,131))</f>
        <v/>
      </c>
      <c r="G1201" s="54"/>
      <c r="H1201" s="52" t="str">
        <f>IF(AND(I.Compliance.FulfilledPerformance&gt;0,I.Performance.RangeCount&gt;=131,F1201=""),"Incomplete","Complete")</f>
        <v>Complete</v>
      </c>
      <c r="I1201" s="55" t="s">
        <v>1399</v>
      </c>
    </row>
    <row r="1202" spans="2:9" ht="15" customHeight="1" x14ac:dyDescent="0.25">
      <c r="B1202" s="51" t="s">
        <v>125</v>
      </c>
      <c r="C1202" s="52">
        <v>132</v>
      </c>
      <c r="D1202" s="53" t="s">
        <v>4327</v>
      </c>
      <c r="E1202" s="54"/>
      <c r="F1202" s="52" t="str">
        <f>IF(INDEX(I.Performance.EndRange,132)="","",INDEX(I.Performance.EndRange,132))</f>
        <v/>
      </c>
      <c r="G1202" s="54"/>
      <c r="H1202" s="52" t="str">
        <f>IF(AND(I.Compliance.FulfilledPerformance&gt;0,I.Performance.RangeCount&gt;=132,F1202=""),"Incomplete","Complete")</f>
        <v>Complete</v>
      </c>
      <c r="I1202" s="55" t="s">
        <v>1400</v>
      </c>
    </row>
    <row r="1203" spans="2:9" ht="15" customHeight="1" x14ac:dyDescent="0.25">
      <c r="B1203" s="51" t="s">
        <v>125</v>
      </c>
      <c r="C1203" s="52">
        <v>133</v>
      </c>
      <c r="D1203" s="53" t="s">
        <v>4327</v>
      </c>
      <c r="E1203" s="54"/>
      <c r="F1203" s="52" t="str">
        <f>IF(INDEX(I.Performance.EndRange,133)="","",INDEX(I.Performance.EndRange,133))</f>
        <v/>
      </c>
      <c r="G1203" s="54"/>
      <c r="H1203" s="52" t="str">
        <f>IF(AND(I.Compliance.FulfilledPerformance&gt;0,I.Performance.RangeCount&gt;=133,F1203=""),"Incomplete","Complete")</f>
        <v>Complete</v>
      </c>
      <c r="I1203" s="55" t="s">
        <v>1401</v>
      </c>
    </row>
    <row r="1204" spans="2:9" ht="15" customHeight="1" x14ac:dyDescent="0.25">
      <c r="B1204" s="51" t="s">
        <v>125</v>
      </c>
      <c r="C1204" s="52">
        <v>134</v>
      </c>
      <c r="D1204" s="53" t="s">
        <v>4327</v>
      </c>
      <c r="E1204" s="54"/>
      <c r="F1204" s="52" t="str">
        <f>IF(INDEX(I.Performance.EndRange,134)="","",INDEX(I.Performance.EndRange,134))</f>
        <v/>
      </c>
      <c r="G1204" s="54"/>
      <c r="H1204" s="52" t="str">
        <f>IF(AND(I.Compliance.FulfilledPerformance&gt;0,I.Performance.RangeCount&gt;=134,F1204=""),"Incomplete","Complete")</f>
        <v>Complete</v>
      </c>
      <c r="I1204" s="55" t="s">
        <v>1402</v>
      </c>
    </row>
    <row r="1205" spans="2:9" ht="15" customHeight="1" x14ac:dyDescent="0.25">
      <c r="B1205" s="51" t="s">
        <v>125</v>
      </c>
      <c r="C1205" s="52">
        <v>135</v>
      </c>
      <c r="D1205" s="53" t="s">
        <v>4327</v>
      </c>
      <c r="E1205" s="54"/>
      <c r="F1205" s="52" t="str">
        <f>IF(INDEX(I.Performance.EndRange,135)="","",INDEX(I.Performance.EndRange,135))</f>
        <v/>
      </c>
      <c r="G1205" s="54"/>
      <c r="H1205" s="52" t="str">
        <f>IF(AND(I.Compliance.FulfilledPerformance&gt;0,I.Performance.RangeCount&gt;=135,F1205=""),"Incomplete","Complete")</f>
        <v>Complete</v>
      </c>
      <c r="I1205" s="55" t="s">
        <v>1403</v>
      </c>
    </row>
    <row r="1206" spans="2:9" ht="15" customHeight="1" x14ac:dyDescent="0.25">
      <c r="B1206" s="51" t="s">
        <v>125</v>
      </c>
      <c r="C1206" s="52">
        <v>136</v>
      </c>
      <c r="D1206" s="53" t="s">
        <v>4327</v>
      </c>
      <c r="E1206" s="54"/>
      <c r="F1206" s="52" t="str">
        <f>IF(INDEX(I.Performance.EndRange,136)="","",INDEX(I.Performance.EndRange,136))</f>
        <v/>
      </c>
      <c r="G1206" s="54"/>
      <c r="H1206" s="52" t="str">
        <f>IF(AND(I.Compliance.FulfilledPerformance&gt;0,I.Performance.RangeCount&gt;=136,F1206=""),"Incomplete","Complete")</f>
        <v>Complete</v>
      </c>
      <c r="I1206" s="55" t="s">
        <v>1404</v>
      </c>
    </row>
    <row r="1207" spans="2:9" ht="15" customHeight="1" x14ac:dyDescent="0.25">
      <c r="B1207" s="51" t="s">
        <v>125</v>
      </c>
      <c r="C1207" s="52">
        <v>137</v>
      </c>
      <c r="D1207" s="53" t="s">
        <v>4327</v>
      </c>
      <c r="E1207" s="54"/>
      <c r="F1207" s="52" t="str">
        <f>IF(INDEX(I.Performance.EndRange,137)="","",INDEX(I.Performance.EndRange,137))</f>
        <v/>
      </c>
      <c r="G1207" s="54"/>
      <c r="H1207" s="52" t="str">
        <f>IF(AND(I.Compliance.FulfilledPerformance&gt;0,I.Performance.RangeCount&gt;=137,F1207=""),"Incomplete","Complete")</f>
        <v>Complete</v>
      </c>
      <c r="I1207" s="55" t="s">
        <v>1405</v>
      </c>
    </row>
    <row r="1208" spans="2:9" ht="15" customHeight="1" x14ac:dyDescent="0.25">
      <c r="B1208" s="51" t="s">
        <v>125</v>
      </c>
      <c r="C1208" s="52">
        <v>138</v>
      </c>
      <c r="D1208" s="53" t="s">
        <v>4327</v>
      </c>
      <c r="E1208" s="54"/>
      <c r="F1208" s="52" t="str">
        <f>IF(INDEX(I.Performance.EndRange,138)="","",INDEX(I.Performance.EndRange,138))</f>
        <v/>
      </c>
      <c r="G1208" s="54"/>
      <c r="H1208" s="52" t="str">
        <f>IF(AND(I.Compliance.FulfilledPerformance&gt;0,I.Performance.RangeCount&gt;=138,F1208=""),"Incomplete","Complete")</f>
        <v>Complete</v>
      </c>
      <c r="I1208" s="55" t="s">
        <v>1406</v>
      </c>
    </row>
    <row r="1209" spans="2:9" ht="15" customHeight="1" x14ac:dyDescent="0.25">
      <c r="B1209" s="51" t="s">
        <v>125</v>
      </c>
      <c r="C1209" s="52">
        <v>139</v>
      </c>
      <c r="D1209" s="53" t="s">
        <v>4327</v>
      </c>
      <c r="E1209" s="54"/>
      <c r="F1209" s="52" t="str">
        <f>IF(INDEX(I.Performance.EndRange,139)="","",INDEX(I.Performance.EndRange,139))</f>
        <v/>
      </c>
      <c r="G1209" s="54"/>
      <c r="H1209" s="52" t="str">
        <f>IF(AND(I.Compliance.FulfilledPerformance&gt;0,I.Performance.RangeCount&gt;=139,F1209=""),"Incomplete","Complete")</f>
        <v>Complete</v>
      </c>
      <c r="I1209" s="55" t="s">
        <v>1407</v>
      </c>
    </row>
    <row r="1210" spans="2:9" ht="15" customHeight="1" x14ac:dyDescent="0.25">
      <c r="B1210" s="51" t="s">
        <v>125</v>
      </c>
      <c r="C1210" s="52">
        <v>140</v>
      </c>
      <c r="D1210" s="53" t="s">
        <v>4327</v>
      </c>
      <c r="E1210" s="54"/>
      <c r="F1210" s="52" t="str">
        <f>IF(INDEX(I.Performance.EndRange,140)="","",INDEX(I.Performance.EndRange,140))</f>
        <v/>
      </c>
      <c r="G1210" s="54"/>
      <c r="H1210" s="52" t="str">
        <f>IF(AND(I.Compliance.FulfilledPerformance&gt;0,I.Performance.RangeCount&gt;=140,F1210=""),"Incomplete","Complete")</f>
        <v>Complete</v>
      </c>
      <c r="I1210" s="55" t="s">
        <v>1408</v>
      </c>
    </row>
    <row r="1211" spans="2:9" ht="15" customHeight="1" x14ac:dyDescent="0.25">
      <c r="B1211" s="51" t="s">
        <v>125</v>
      </c>
      <c r="C1211" s="52">
        <v>141</v>
      </c>
      <c r="D1211" s="53" t="s">
        <v>4327</v>
      </c>
      <c r="E1211" s="54"/>
      <c r="F1211" s="52" t="str">
        <f>IF(INDEX(I.Performance.EndRange,141)="","",INDEX(I.Performance.EndRange,141))</f>
        <v/>
      </c>
      <c r="G1211" s="54"/>
      <c r="H1211" s="52" t="str">
        <f>IF(AND(I.Compliance.FulfilledPerformance&gt;0,I.Performance.RangeCount&gt;=141,F1211=""),"Incomplete","Complete")</f>
        <v>Complete</v>
      </c>
      <c r="I1211" s="55" t="s">
        <v>1409</v>
      </c>
    </row>
    <row r="1212" spans="2:9" ht="15" customHeight="1" x14ac:dyDescent="0.25">
      <c r="B1212" s="51" t="s">
        <v>125</v>
      </c>
      <c r="C1212" s="52">
        <v>142</v>
      </c>
      <c r="D1212" s="53" t="s">
        <v>4327</v>
      </c>
      <c r="E1212" s="54"/>
      <c r="F1212" s="52" t="str">
        <f>IF(INDEX(I.Performance.EndRange,142)="","",INDEX(I.Performance.EndRange,142))</f>
        <v/>
      </c>
      <c r="G1212" s="54"/>
      <c r="H1212" s="52" t="str">
        <f>IF(AND(I.Compliance.FulfilledPerformance&gt;0,I.Performance.RangeCount&gt;=142,F1212=""),"Incomplete","Complete")</f>
        <v>Complete</v>
      </c>
      <c r="I1212" s="55" t="s">
        <v>1410</v>
      </c>
    </row>
    <row r="1213" spans="2:9" ht="15" customHeight="1" x14ac:dyDescent="0.25">
      <c r="B1213" s="51" t="s">
        <v>125</v>
      </c>
      <c r="C1213" s="52">
        <v>143</v>
      </c>
      <c r="D1213" s="53" t="s">
        <v>4327</v>
      </c>
      <c r="E1213" s="54"/>
      <c r="F1213" s="52" t="str">
        <f>IF(INDEX(I.Performance.EndRange,143)="","",INDEX(I.Performance.EndRange,143))</f>
        <v/>
      </c>
      <c r="G1213" s="54"/>
      <c r="H1213" s="52" t="str">
        <f>IF(AND(I.Compliance.FulfilledPerformance&gt;0,I.Performance.RangeCount&gt;=143,F1213=""),"Incomplete","Complete")</f>
        <v>Complete</v>
      </c>
      <c r="I1213" s="55" t="s">
        <v>1411</v>
      </c>
    </row>
    <row r="1214" spans="2:9" ht="15" customHeight="1" x14ac:dyDescent="0.25">
      <c r="B1214" s="51" t="s">
        <v>125</v>
      </c>
      <c r="C1214" s="52">
        <v>144</v>
      </c>
      <c r="D1214" s="53" t="s">
        <v>4327</v>
      </c>
      <c r="E1214" s="54"/>
      <c r="F1214" s="52" t="str">
        <f>IF(INDEX(I.Performance.EndRange,144)="","",INDEX(I.Performance.EndRange,144))</f>
        <v/>
      </c>
      <c r="G1214" s="54"/>
      <c r="H1214" s="52" t="str">
        <f>IF(AND(I.Compliance.FulfilledPerformance&gt;0,I.Performance.RangeCount&gt;=144,F1214=""),"Incomplete","Complete")</f>
        <v>Complete</v>
      </c>
      <c r="I1214" s="55" t="s">
        <v>1412</v>
      </c>
    </row>
    <row r="1215" spans="2:9" ht="15" customHeight="1" x14ac:dyDescent="0.25">
      <c r="B1215" s="51" t="s">
        <v>125</v>
      </c>
      <c r="C1215" s="52">
        <v>145</v>
      </c>
      <c r="D1215" s="53" t="s">
        <v>4327</v>
      </c>
      <c r="E1215" s="54"/>
      <c r="F1215" s="52" t="str">
        <f>IF(INDEX(I.Performance.EndRange,145)="","",INDEX(I.Performance.EndRange,145))</f>
        <v/>
      </c>
      <c r="G1215" s="54"/>
      <c r="H1215" s="52" t="str">
        <f>IF(AND(I.Compliance.FulfilledPerformance&gt;0,I.Performance.RangeCount&gt;=145,F1215=""),"Incomplete","Complete")</f>
        <v>Complete</v>
      </c>
      <c r="I1215" s="55" t="s">
        <v>1413</v>
      </c>
    </row>
    <row r="1216" spans="2:9" ht="15" customHeight="1" x14ac:dyDescent="0.25">
      <c r="B1216" s="51" t="s">
        <v>125</v>
      </c>
      <c r="C1216" s="52">
        <v>146</v>
      </c>
      <c r="D1216" s="53" t="s">
        <v>4327</v>
      </c>
      <c r="E1216" s="54"/>
      <c r="F1216" s="52" t="str">
        <f>IF(INDEX(I.Performance.EndRange,146)="","",INDEX(I.Performance.EndRange,146))</f>
        <v/>
      </c>
      <c r="G1216" s="54"/>
      <c r="H1216" s="52" t="str">
        <f>IF(AND(I.Compliance.FulfilledPerformance&gt;0,I.Performance.RangeCount&gt;=146,F1216=""),"Incomplete","Complete")</f>
        <v>Complete</v>
      </c>
      <c r="I1216" s="55" t="s">
        <v>1414</v>
      </c>
    </row>
    <row r="1217" spans="2:9" ht="15" customHeight="1" x14ac:dyDescent="0.25">
      <c r="B1217" s="51" t="s">
        <v>125</v>
      </c>
      <c r="C1217" s="52">
        <v>147</v>
      </c>
      <c r="D1217" s="53" t="s">
        <v>4327</v>
      </c>
      <c r="E1217" s="54"/>
      <c r="F1217" s="52" t="str">
        <f>IF(INDEX(I.Performance.EndRange,147)="","",INDEX(I.Performance.EndRange,147))</f>
        <v/>
      </c>
      <c r="G1217" s="54"/>
      <c r="H1217" s="52" t="str">
        <f>IF(AND(I.Compliance.FulfilledPerformance&gt;0,I.Performance.RangeCount&gt;=147,F1217=""),"Incomplete","Complete")</f>
        <v>Complete</v>
      </c>
      <c r="I1217" s="55" t="s">
        <v>1415</v>
      </c>
    </row>
    <row r="1218" spans="2:9" ht="15" customHeight="1" x14ac:dyDescent="0.25">
      <c r="B1218" s="51" t="s">
        <v>125</v>
      </c>
      <c r="C1218" s="52">
        <v>148</v>
      </c>
      <c r="D1218" s="53" t="s">
        <v>4327</v>
      </c>
      <c r="E1218" s="54"/>
      <c r="F1218" s="52" t="str">
        <f>IF(INDEX(I.Performance.EndRange,148)="","",INDEX(I.Performance.EndRange,148))</f>
        <v/>
      </c>
      <c r="G1218" s="54"/>
      <c r="H1218" s="52" t="str">
        <f>IF(AND(I.Compliance.FulfilledPerformance&gt;0,I.Performance.RangeCount&gt;=148,F1218=""),"Incomplete","Complete")</f>
        <v>Complete</v>
      </c>
      <c r="I1218" s="55" t="s">
        <v>1416</v>
      </c>
    </row>
    <row r="1219" spans="2:9" ht="15" customHeight="1" x14ac:dyDescent="0.25">
      <c r="B1219" s="51" t="s">
        <v>125</v>
      </c>
      <c r="C1219" s="52">
        <v>149</v>
      </c>
      <c r="D1219" s="53" t="s">
        <v>4327</v>
      </c>
      <c r="E1219" s="54"/>
      <c r="F1219" s="52" t="str">
        <f>IF(INDEX(I.Performance.EndRange,149)="","",INDEX(I.Performance.EndRange,149))</f>
        <v/>
      </c>
      <c r="G1219" s="54"/>
      <c r="H1219" s="52" t="str">
        <f>IF(AND(I.Compliance.FulfilledPerformance&gt;0,I.Performance.RangeCount&gt;=149,F1219=""),"Incomplete","Complete")</f>
        <v>Complete</v>
      </c>
      <c r="I1219" s="55" t="s">
        <v>1417</v>
      </c>
    </row>
    <row r="1220" spans="2:9" ht="15" customHeight="1" x14ac:dyDescent="0.25">
      <c r="B1220" s="51" t="s">
        <v>125</v>
      </c>
      <c r="C1220" s="52">
        <v>150</v>
      </c>
      <c r="D1220" s="53" t="s">
        <v>4327</v>
      </c>
      <c r="E1220" s="54"/>
      <c r="F1220" s="52" t="str">
        <f>IF(INDEX(I.Performance.EndRange,150)="","",INDEX(I.Performance.EndRange,150))</f>
        <v/>
      </c>
      <c r="G1220" s="54"/>
      <c r="H1220" s="52" t="str">
        <f>IF(AND(I.Compliance.FulfilledPerformance&gt;0,I.Performance.RangeCount&gt;=150,F1220=""),"Incomplete","Complete")</f>
        <v>Complete</v>
      </c>
      <c r="I1220" s="55" t="s">
        <v>1418</v>
      </c>
    </row>
    <row r="1221" spans="2:9" ht="15" customHeight="1" x14ac:dyDescent="0.25">
      <c r="B1221" s="51" t="s">
        <v>125</v>
      </c>
      <c r="C1221" s="52">
        <v>151</v>
      </c>
      <c r="D1221" s="53" t="s">
        <v>4327</v>
      </c>
      <c r="E1221" s="54"/>
      <c r="F1221" s="52" t="str">
        <f>IF(INDEX(I.Performance.EndRange,151)="","",INDEX(I.Performance.EndRange,151))</f>
        <v/>
      </c>
      <c r="G1221" s="54"/>
      <c r="H1221" s="52" t="str">
        <f>IF(AND(I.Compliance.FulfilledPerformance&gt;0,I.Performance.RangeCount&gt;=151,F1221=""),"Incomplete","Complete")</f>
        <v>Complete</v>
      </c>
      <c r="I1221" s="55" t="s">
        <v>1419</v>
      </c>
    </row>
    <row r="1222" spans="2:9" ht="15" customHeight="1" x14ac:dyDescent="0.25">
      <c r="B1222" s="51" t="s">
        <v>125</v>
      </c>
      <c r="C1222" s="52">
        <v>152</v>
      </c>
      <c r="D1222" s="53" t="s">
        <v>4327</v>
      </c>
      <c r="E1222" s="54"/>
      <c r="F1222" s="52" t="str">
        <f>IF(INDEX(I.Performance.EndRange,152)="","",INDEX(I.Performance.EndRange,152))</f>
        <v/>
      </c>
      <c r="G1222" s="54"/>
      <c r="H1222" s="52" t="str">
        <f>IF(AND(I.Compliance.FulfilledPerformance&gt;0,I.Performance.RangeCount&gt;=152,F1222=""),"Incomplete","Complete")</f>
        <v>Complete</v>
      </c>
      <c r="I1222" s="55" t="s">
        <v>1420</v>
      </c>
    </row>
    <row r="1223" spans="2:9" ht="15" customHeight="1" x14ac:dyDescent="0.25">
      <c r="B1223" s="51" t="s">
        <v>125</v>
      </c>
      <c r="C1223" s="52">
        <v>153</v>
      </c>
      <c r="D1223" s="53" t="s">
        <v>4327</v>
      </c>
      <c r="E1223" s="54"/>
      <c r="F1223" s="52" t="str">
        <f>IF(INDEX(I.Performance.EndRange,153)="","",INDEX(I.Performance.EndRange,153))</f>
        <v/>
      </c>
      <c r="G1223" s="54"/>
      <c r="H1223" s="52" t="str">
        <f>IF(AND(I.Compliance.FulfilledPerformance&gt;0,I.Performance.RangeCount&gt;=153,F1223=""),"Incomplete","Complete")</f>
        <v>Complete</v>
      </c>
      <c r="I1223" s="55" t="s">
        <v>1421</v>
      </c>
    </row>
    <row r="1224" spans="2:9" ht="15" customHeight="1" x14ac:dyDescent="0.25">
      <c r="B1224" s="51" t="s">
        <v>125</v>
      </c>
      <c r="C1224" s="52">
        <v>154</v>
      </c>
      <c r="D1224" s="53" t="s">
        <v>4327</v>
      </c>
      <c r="E1224" s="54"/>
      <c r="F1224" s="52" t="str">
        <f>IF(INDEX(I.Performance.EndRange,154)="","",INDEX(I.Performance.EndRange,154))</f>
        <v/>
      </c>
      <c r="G1224" s="54"/>
      <c r="H1224" s="52" t="str">
        <f>IF(AND(I.Compliance.FulfilledPerformance&gt;0,I.Performance.RangeCount&gt;=154,F1224=""),"Incomplete","Complete")</f>
        <v>Complete</v>
      </c>
      <c r="I1224" s="55" t="s">
        <v>1422</v>
      </c>
    </row>
    <row r="1225" spans="2:9" ht="15" customHeight="1" x14ac:dyDescent="0.25">
      <c r="B1225" s="51" t="s">
        <v>125</v>
      </c>
      <c r="C1225" s="52">
        <v>155</v>
      </c>
      <c r="D1225" s="53" t="s">
        <v>4327</v>
      </c>
      <c r="E1225" s="54"/>
      <c r="F1225" s="52" t="str">
        <f>IF(INDEX(I.Performance.EndRange,155)="","",INDEX(I.Performance.EndRange,155))</f>
        <v/>
      </c>
      <c r="G1225" s="54"/>
      <c r="H1225" s="52" t="str">
        <f>IF(AND(I.Compliance.FulfilledPerformance&gt;0,I.Performance.RangeCount&gt;=155,F1225=""),"Incomplete","Complete")</f>
        <v>Complete</v>
      </c>
      <c r="I1225" s="55" t="s">
        <v>1423</v>
      </c>
    </row>
    <row r="1226" spans="2:9" ht="15" customHeight="1" x14ac:dyDescent="0.25">
      <c r="B1226" s="51" t="s">
        <v>125</v>
      </c>
      <c r="C1226" s="52">
        <v>156</v>
      </c>
      <c r="D1226" s="53" t="s">
        <v>4327</v>
      </c>
      <c r="E1226" s="54"/>
      <c r="F1226" s="52" t="str">
        <f>IF(INDEX(I.Performance.EndRange,156)="","",INDEX(I.Performance.EndRange,156))</f>
        <v/>
      </c>
      <c r="G1226" s="54"/>
      <c r="H1226" s="52" t="str">
        <f>IF(AND(I.Compliance.FulfilledPerformance&gt;0,I.Performance.RangeCount&gt;=156,F1226=""),"Incomplete","Complete")</f>
        <v>Complete</v>
      </c>
      <c r="I1226" s="55" t="s">
        <v>1424</v>
      </c>
    </row>
    <row r="1227" spans="2:9" ht="15" customHeight="1" x14ac:dyDescent="0.25">
      <c r="B1227" s="51" t="s">
        <v>125</v>
      </c>
      <c r="C1227" s="52">
        <v>157</v>
      </c>
      <c r="D1227" s="53" t="s">
        <v>4327</v>
      </c>
      <c r="E1227" s="54"/>
      <c r="F1227" s="52" t="str">
        <f>IF(INDEX(I.Performance.EndRange,157)="","",INDEX(I.Performance.EndRange,157))</f>
        <v/>
      </c>
      <c r="G1227" s="54"/>
      <c r="H1227" s="52" t="str">
        <f>IF(AND(I.Compliance.FulfilledPerformance&gt;0,I.Performance.RangeCount&gt;=157,F1227=""),"Incomplete","Complete")</f>
        <v>Complete</v>
      </c>
      <c r="I1227" s="55" t="s">
        <v>1425</v>
      </c>
    </row>
    <row r="1228" spans="2:9" ht="15" customHeight="1" x14ac:dyDescent="0.25">
      <c r="B1228" s="51" t="s">
        <v>125</v>
      </c>
      <c r="C1228" s="52">
        <v>158</v>
      </c>
      <c r="D1228" s="53" t="s">
        <v>4327</v>
      </c>
      <c r="E1228" s="54"/>
      <c r="F1228" s="52" t="str">
        <f>IF(INDEX(I.Performance.EndRange,158)="","",INDEX(I.Performance.EndRange,158))</f>
        <v/>
      </c>
      <c r="G1228" s="54"/>
      <c r="H1228" s="52" t="str">
        <f>IF(AND(I.Compliance.FulfilledPerformance&gt;0,I.Performance.RangeCount&gt;=158,F1228=""),"Incomplete","Complete")</f>
        <v>Complete</v>
      </c>
      <c r="I1228" s="55" t="s">
        <v>1426</v>
      </c>
    </row>
    <row r="1229" spans="2:9" ht="15" customHeight="1" x14ac:dyDescent="0.25">
      <c r="B1229" s="51" t="s">
        <v>125</v>
      </c>
      <c r="C1229" s="52">
        <v>159</v>
      </c>
      <c r="D1229" s="53" t="s">
        <v>4327</v>
      </c>
      <c r="E1229" s="54"/>
      <c r="F1229" s="52" t="str">
        <f>IF(INDEX(I.Performance.EndRange,159)="","",INDEX(I.Performance.EndRange,159))</f>
        <v/>
      </c>
      <c r="G1229" s="54"/>
      <c r="H1229" s="52" t="str">
        <f>IF(AND(I.Compliance.FulfilledPerformance&gt;0,I.Performance.RangeCount&gt;=159,F1229=""),"Incomplete","Complete")</f>
        <v>Complete</v>
      </c>
      <c r="I1229" s="55" t="s">
        <v>1427</v>
      </c>
    </row>
    <row r="1230" spans="2:9" ht="15" customHeight="1" x14ac:dyDescent="0.25">
      <c r="B1230" s="51" t="s">
        <v>125</v>
      </c>
      <c r="C1230" s="52">
        <v>160</v>
      </c>
      <c r="D1230" s="53" t="s">
        <v>4327</v>
      </c>
      <c r="E1230" s="54"/>
      <c r="F1230" s="52" t="str">
        <f>IF(INDEX(I.Performance.EndRange,160)="","",INDEX(I.Performance.EndRange,160))</f>
        <v/>
      </c>
      <c r="G1230" s="54"/>
      <c r="H1230" s="52" t="str">
        <f>IF(AND(I.Compliance.FulfilledPerformance&gt;0,I.Performance.RangeCount&gt;=160,F1230=""),"Incomplete","Complete")</f>
        <v>Complete</v>
      </c>
      <c r="I1230" s="55" t="s">
        <v>1428</v>
      </c>
    </row>
    <row r="1231" spans="2:9" ht="15" customHeight="1" x14ac:dyDescent="0.25">
      <c r="B1231" s="51" t="s">
        <v>125</v>
      </c>
      <c r="C1231" s="52">
        <v>161</v>
      </c>
      <c r="D1231" s="53" t="s">
        <v>4327</v>
      </c>
      <c r="E1231" s="54"/>
      <c r="F1231" s="52" t="str">
        <f>IF(INDEX(I.Performance.EndRange,161)="","",INDEX(I.Performance.EndRange,161))</f>
        <v/>
      </c>
      <c r="G1231" s="54"/>
      <c r="H1231" s="52" t="str">
        <f>IF(AND(I.Compliance.FulfilledPerformance&gt;0,I.Performance.RangeCount&gt;=161,F1231=""),"Incomplete","Complete")</f>
        <v>Complete</v>
      </c>
      <c r="I1231" s="55" t="s">
        <v>1429</v>
      </c>
    </row>
    <row r="1232" spans="2:9" ht="15" customHeight="1" x14ac:dyDescent="0.25">
      <c r="B1232" s="51" t="s">
        <v>125</v>
      </c>
      <c r="C1232" s="52">
        <v>162</v>
      </c>
      <c r="D1232" s="53" t="s">
        <v>4327</v>
      </c>
      <c r="E1232" s="54"/>
      <c r="F1232" s="52" t="str">
        <f>IF(INDEX(I.Performance.EndRange,162)="","",INDEX(I.Performance.EndRange,162))</f>
        <v/>
      </c>
      <c r="G1232" s="54"/>
      <c r="H1232" s="52" t="str">
        <f>IF(AND(I.Compliance.FulfilledPerformance&gt;0,I.Performance.RangeCount&gt;=162,F1232=""),"Incomplete","Complete")</f>
        <v>Complete</v>
      </c>
      <c r="I1232" s="55" t="s">
        <v>1430</v>
      </c>
    </row>
    <row r="1233" spans="2:9" ht="15" customHeight="1" x14ac:dyDescent="0.25">
      <c r="B1233" s="51" t="s">
        <v>125</v>
      </c>
      <c r="C1233" s="52">
        <v>163</v>
      </c>
      <c r="D1233" s="53" t="s">
        <v>4327</v>
      </c>
      <c r="E1233" s="54"/>
      <c r="F1233" s="52" t="str">
        <f>IF(INDEX(I.Performance.EndRange,163)="","",INDEX(I.Performance.EndRange,163))</f>
        <v/>
      </c>
      <c r="G1233" s="54"/>
      <c r="H1233" s="52" t="str">
        <f>IF(AND(I.Compliance.FulfilledPerformance&gt;0,I.Performance.RangeCount&gt;=163,F1233=""),"Incomplete","Complete")</f>
        <v>Complete</v>
      </c>
      <c r="I1233" s="55" t="s">
        <v>1431</v>
      </c>
    </row>
    <row r="1234" spans="2:9" ht="15" customHeight="1" x14ac:dyDescent="0.25">
      <c r="B1234" s="51" t="s">
        <v>125</v>
      </c>
      <c r="C1234" s="52">
        <v>164</v>
      </c>
      <c r="D1234" s="53" t="s">
        <v>4327</v>
      </c>
      <c r="E1234" s="54"/>
      <c r="F1234" s="52" t="str">
        <f>IF(INDEX(I.Performance.EndRange,164)="","",INDEX(I.Performance.EndRange,164))</f>
        <v/>
      </c>
      <c r="G1234" s="54"/>
      <c r="H1234" s="52" t="str">
        <f>IF(AND(I.Compliance.FulfilledPerformance&gt;0,I.Performance.RangeCount&gt;=164,F1234=""),"Incomplete","Complete")</f>
        <v>Complete</v>
      </c>
      <c r="I1234" s="55" t="s">
        <v>1432</v>
      </c>
    </row>
    <row r="1235" spans="2:9" ht="15" customHeight="1" x14ac:dyDescent="0.25">
      <c r="B1235" s="51" t="s">
        <v>125</v>
      </c>
      <c r="C1235" s="52">
        <v>165</v>
      </c>
      <c r="D1235" s="53" t="s">
        <v>4327</v>
      </c>
      <c r="E1235" s="54"/>
      <c r="F1235" s="52" t="str">
        <f>IF(INDEX(I.Performance.EndRange,165)="","",INDEX(I.Performance.EndRange,165))</f>
        <v/>
      </c>
      <c r="G1235" s="54"/>
      <c r="H1235" s="52" t="str">
        <f>IF(AND(I.Compliance.FulfilledPerformance&gt;0,I.Performance.RangeCount&gt;=165,F1235=""),"Incomplete","Complete")</f>
        <v>Complete</v>
      </c>
      <c r="I1235" s="55" t="s">
        <v>1433</v>
      </c>
    </row>
    <row r="1236" spans="2:9" ht="15" customHeight="1" x14ac:dyDescent="0.25">
      <c r="B1236" s="51" t="s">
        <v>125</v>
      </c>
      <c r="C1236" s="52">
        <v>166</v>
      </c>
      <c r="D1236" s="53" t="s">
        <v>4327</v>
      </c>
      <c r="E1236" s="54"/>
      <c r="F1236" s="52" t="str">
        <f>IF(INDEX(I.Performance.EndRange,166)="","",INDEX(I.Performance.EndRange,166))</f>
        <v/>
      </c>
      <c r="G1236" s="54"/>
      <c r="H1236" s="52" t="str">
        <f>IF(AND(I.Compliance.FulfilledPerformance&gt;0,I.Performance.RangeCount&gt;=166,F1236=""),"Incomplete","Complete")</f>
        <v>Complete</v>
      </c>
      <c r="I1236" s="55" t="s">
        <v>1434</v>
      </c>
    </row>
    <row r="1237" spans="2:9" ht="15" customHeight="1" x14ac:dyDescent="0.25">
      <c r="B1237" s="51" t="s">
        <v>125</v>
      </c>
      <c r="C1237" s="52">
        <v>167</v>
      </c>
      <c r="D1237" s="53" t="s">
        <v>4327</v>
      </c>
      <c r="E1237" s="54"/>
      <c r="F1237" s="52" t="str">
        <f>IF(INDEX(I.Performance.EndRange,167)="","",INDEX(I.Performance.EndRange,167))</f>
        <v/>
      </c>
      <c r="G1237" s="54"/>
      <c r="H1237" s="52" t="str">
        <f>IF(AND(I.Compliance.FulfilledPerformance&gt;0,I.Performance.RangeCount&gt;=167,F1237=""),"Incomplete","Complete")</f>
        <v>Complete</v>
      </c>
      <c r="I1237" s="55" t="s">
        <v>1435</v>
      </c>
    </row>
    <row r="1238" spans="2:9" ht="15" customHeight="1" x14ac:dyDescent="0.25">
      <c r="B1238" s="51" t="s">
        <v>125</v>
      </c>
      <c r="C1238" s="52">
        <v>168</v>
      </c>
      <c r="D1238" s="53" t="s">
        <v>4327</v>
      </c>
      <c r="E1238" s="54"/>
      <c r="F1238" s="52" t="str">
        <f>IF(INDEX(I.Performance.EndRange,168)="","",INDEX(I.Performance.EndRange,168))</f>
        <v/>
      </c>
      <c r="G1238" s="54"/>
      <c r="H1238" s="52" t="str">
        <f>IF(AND(I.Compliance.FulfilledPerformance&gt;0,I.Performance.RangeCount&gt;=168,F1238=""),"Incomplete","Complete")</f>
        <v>Complete</v>
      </c>
      <c r="I1238" s="55" t="s">
        <v>1436</v>
      </c>
    </row>
    <row r="1239" spans="2:9" ht="15" customHeight="1" x14ac:dyDescent="0.25">
      <c r="B1239" s="51" t="s">
        <v>125</v>
      </c>
      <c r="C1239" s="52">
        <v>169</v>
      </c>
      <c r="D1239" s="53" t="s">
        <v>4327</v>
      </c>
      <c r="E1239" s="54"/>
      <c r="F1239" s="52" t="str">
        <f>IF(INDEX(I.Performance.EndRange,169)="","",INDEX(I.Performance.EndRange,169))</f>
        <v/>
      </c>
      <c r="G1239" s="54"/>
      <c r="H1239" s="52" t="str">
        <f>IF(AND(I.Compliance.FulfilledPerformance&gt;0,I.Performance.RangeCount&gt;=169,F1239=""),"Incomplete","Complete")</f>
        <v>Complete</v>
      </c>
      <c r="I1239" s="55" t="s">
        <v>1437</v>
      </c>
    </row>
    <row r="1240" spans="2:9" ht="15" customHeight="1" x14ac:dyDescent="0.25">
      <c r="B1240" s="51" t="s">
        <v>125</v>
      </c>
      <c r="C1240" s="52">
        <v>170</v>
      </c>
      <c r="D1240" s="53" t="s">
        <v>4327</v>
      </c>
      <c r="E1240" s="54"/>
      <c r="F1240" s="52" t="str">
        <f>IF(INDEX(I.Performance.EndRange,170)="","",INDEX(I.Performance.EndRange,170))</f>
        <v/>
      </c>
      <c r="G1240" s="54"/>
      <c r="H1240" s="52" t="str">
        <f>IF(AND(I.Compliance.FulfilledPerformance&gt;0,I.Performance.RangeCount&gt;=170,F1240=""),"Incomplete","Complete")</f>
        <v>Complete</v>
      </c>
      <c r="I1240" s="55" t="s">
        <v>1438</v>
      </c>
    </row>
    <row r="1241" spans="2:9" ht="15" customHeight="1" x14ac:dyDescent="0.25">
      <c r="B1241" s="51" t="s">
        <v>125</v>
      </c>
      <c r="C1241" s="52">
        <v>171</v>
      </c>
      <c r="D1241" s="53" t="s">
        <v>4327</v>
      </c>
      <c r="E1241" s="54"/>
      <c r="F1241" s="52" t="str">
        <f>IF(INDEX(I.Performance.EndRange,171)="","",INDEX(I.Performance.EndRange,171))</f>
        <v/>
      </c>
      <c r="G1241" s="54"/>
      <c r="H1241" s="52" t="str">
        <f>IF(AND(I.Compliance.FulfilledPerformance&gt;0,I.Performance.RangeCount&gt;=171,F1241=""),"Incomplete","Complete")</f>
        <v>Complete</v>
      </c>
      <c r="I1241" s="55" t="s">
        <v>1439</v>
      </c>
    </row>
    <row r="1242" spans="2:9" ht="15" customHeight="1" x14ac:dyDescent="0.25">
      <c r="B1242" s="51" t="s">
        <v>125</v>
      </c>
      <c r="C1242" s="52">
        <v>172</v>
      </c>
      <c r="D1242" s="53" t="s">
        <v>4327</v>
      </c>
      <c r="E1242" s="54"/>
      <c r="F1242" s="52" t="str">
        <f>IF(INDEX(I.Performance.EndRange,172)="","",INDEX(I.Performance.EndRange,172))</f>
        <v/>
      </c>
      <c r="G1242" s="54"/>
      <c r="H1242" s="52" t="str">
        <f>IF(AND(I.Compliance.FulfilledPerformance&gt;0,I.Performance.RangeCount&gt;=172,F1242=""),"Incomplete","Complete")</f>
        <v>Complete</v>
      </c>
      <c r="I1242" s="55" t="s">
        <v>1440</v>
      </c>
    </row>
    <row r="1243" spans="2:9" ht="15" customHeight="1" x14ac:dyDescent="0.25">
      <c r="B1243" s="51" t="s">
        <v>125</v>
      </c>
      <c r="C1243" s="52">
        <v>173</v>
      </c>
      <c r="D1243" s="53" t="s">
        <v>4327</v>
      </c>
      <c r="E1243" s="54"/>
      <c r="F1243" s="52" t="str">
        <f>IF(INDEX(I.Performance.EndRange,173)="","",INDEX(I.Performance.EndRange,173))</f>
        <v/>
      </c>
      <c r="G1243" s="54"/>
      <c r="H1243" s="52" t="str">
        <f>IF(AND(I.Compliance.FulfilledPerformance&gt;0,I.Performance.RangeCount&gt;=173,F1243=""),"Incomplete","Complete")</f>
        <v>Complete</v>
      </c>
      <c r="I1243" s="55" t="s">
        <v>1441</v>
      </c>
    </row>
    <row r="1244" spans="2:9" ht="15" customHeight="1" x14ac:dyDescent="0.25">
      <c r="B1244" s="51" t="s">
        <v>125</v>
      </c>
      <c r="C1244" s="52">
        <v>174</v>
      </c>
      <c r="D1244" s="53" t="s">
        <v>4327</v>
      </c>
      <c r="E1244" s="54"/>
      <c r="F1244" s="52" t="str">
        <f>IF(INDEX(I.Performance.EndRange,174)="","",INDEX(I.Performance.EndRange,174))</f>
        <v/>
      </c>
      <c r="G1244" s="54"/>
      <c r="H1244" s="52" t="str">
        <f>IF(AND(I.Compliance.FulfilledPerformance&gt;0,I.Performance.RangeCount&gt;=174,F1244=""),"Incomplete","Complete")</f>
        <v>Complete</v>
      </c>
      <c r="I1244" s="55" t="s">
        <v>1442</v>
      </c>
    </row>
    <row r="1245" spans="2:9" ht="15" customHeight="1" x14ac:dyDescent="0.25">
      <c r="B1245" s="51" t="s">
        <v>125</v>
      </c>
      <c r="C1245" s="52">
        <v>175</v>
      </c>
      <c r="D1245" s="53" t="s">
        <v>4327</v>
      </c>
      <c r="E1245" s="54"/>
      <c r="F1245" s="52" t="str">
        <f>IF(INDEX(I.Performance.EndRange,175)="","",INDEX(I.Performance.EndRange,175))</f>
        <v/>
      </c>
      <c r="G1245" s="54"/>
      <c r="H1245" s="52" t="str">
        <f>IF(AND(I.Compliance.FulfilledPerformance&gt;0,I.Performance.RangeCount&gt;=175,F1245=""),"Incomplete","Complete")</f>
        <v>Complete</v>
      </c>
      <c r="I1245" s="55" t="s">
        <v>1443</v>
      </c>
    </row>
    <row r="1246" spans="2:9" ht="15" customHeight="1" x14ac:dyDescent="0.25">
      <c r="B1246" s="51" t="s">
        <v>125</v>
      </c>
      <c r="C1246" s="52">
        <v>176</v>
      </c>
      <c r="D1246" s="53" t="s">
        <v>4327</v>
      </c>
      <c r="E1246" s="54"/>
      <c r="F1246" s="52" t="str">
        <f>IF(INDEX(I.Performance.EndRange,176)="","",INDEX(I.Performance.EndRange,176))</f>
        <v/>
      </c>
      <c r="G1246" s="54"/>
      <c r="H1246" s="52" t="str">
        <f>IF(AND(I.Compliance.FulfilledPerformance&gt;0,I.Performance.RangeCount&gt;=176,F1246=""),"Incomplete","Complete")</f>
        <v>Complete</v>
      </c>
      <c r="I1246" s="55" t="s">
        <v>1444</v>
      </c>
    </row>
    <row r="1247" spans="2:9" ht="15" customHeight="1" x14ac:dyDescent="0.25">
      <c r="B1247" s="51" t="s">
        <v>125</v>
      </c>
      <c r="C1247" s="52">
        <v>177</v>
      </c>
      <c r="D1247" s="53" t="s">
        <v>4327</v>
      </c>
      <c r="E1247" s="54"/>
      <c r="F1247" s="52" t="str">
        <f>IF(INDEX(I.Performance.EndRange,177)="","",INDEX(I.Performance.EndRange,177))</f>
        <v/>
      </c>
      <c r="G1247" s="54"/>
      <c r="H1247" s="52" t="str">
        <f>IF(AND(I.Compliance.FulfilledPerformance&gt;0,I.Performance.RangeCount&gt;=177,F1247=""),"Incomplete","Complete")</f>
        <v>Complete</v>
      </c>
      <c r="I1247" s="55" t="s">
        <v>1445</v>
      </c>
    </row>
    <row r="1248" spans="2:9" ht="15" customHeight="1" x14ac:dyDescent="0.25">
      <c r="B1248" s="51" t="s">
        <v>125</v>
      </c>
      <c r="C1248" s="52">
        <v>178</v>
      </c>
      <c r="D1248" s="53" t="s">
        <v>4327</v>
      </c>
      <c r="E1248" s="54"/>
      <c r="F1248" s="52" t="str">
        <f>IF(INDEX(I.Performance.EndRange,178)="","",INDEX(I.Performance.EndRange,178))</f>
        <v/>
      </c>
      <c r="G1248" s="54"/>
      <c r="H1248" s="52" t="str">
        <f>IF(AND(I.Compliance.FulfilledPerformance&gt;0,I.Performance.RangeCount&gt;=178,F1248=""),"Incomplete","Complete")</f>
        <v>Complete</v>
      </c>
      <c r="I1248" s="55" t="s">
        <v>1446</v>
      </c>
    </row>
    <row r="1249" spans="2:9" ht="15" customHeight="1" x14ac:dyDescent="0.25">
      <c r="B1249" s="51" t="s">
        <v>125</v>
      </c>
      <c r="C1249" s="52">
        <v>179</v>
      </c>
      <c r="D1249" s="53" t="s">
        <v>4327</v>
      </c>
      <c r="E1249" s="54"/>
      <c r="F1249" s="52" t="str">
        <f>IF(INDEX(I.Performance.EndRange,179)="","",INDEX(I.Performance.EndRange,179))</f>
        <v/>
      </c>
      <c r="G1249" s="54"/>
      <c r="H1249" s="52" t="str">
        <f>IF(AND(I.Compliance.FulfilledPerformance&gt;0,I.Performance.RangeCount&gt;=179,F1249=""),"Incomplete","Complete")</f>
        <v>Complete</v>
      </c>
      <c r="I1249" s="55" t="s">
        <v>1447</v>
      </c>
    </row>
    <row r="1250" spans="2:9" ht="15" customHeight="1" x14ac:dyDescent="0.25">
      <c r="B1250" s="51" t="s">
        <v>125</v>
      </c>
      <c r="C1250" s="52">
        <v>180</v>
      </c>
      <c r="D1250" s="53" t="s">
        <v>4327</v>
      </c>
      <c r="E1250" s="54"/>
      <c r="F1250" s="52" t="str">
        <f>IF(INDEX(I.Performance.EndRange,180)="","",INDEX(I.Performance.EndRange,180))</f>
        <v/>
      </c>
      <c r="G1250" s="54"/>
      <c r="H1250" s="52" t="str">
        <f>IF(AND(I.Compliance.FulfilledPerformance&gt;0,I.Performance.RangeCount&gt;=180,F1250=""),"Incomplete","Complete")</f>
        <v>Complete</v>
      </c>
      <c r="I1250" s="55" t="s">
        <v>1448</v>
      </c>
    </row>
    <row r="1251" spans="2:9" ht="15" customHeight="1" x14ac:dyDescent="0.25">
      <c r="B1251" s="51" t="s">
        <v>125</v>
      </c>
      <c r="C1251" s="52">
        <v>181</v>
      </c>
      <c r="D1251" s="53" t="s">
        <v>4327</v>
      </c>
      <c r="E1251" s="54"/>
      <c r="F1251" s="52" t="str">
        <f>IF(INDEX(I.Performance.EndRange,181)="","",INDEX(I.Performance.EndRange,181))</f>
        <v/>
      </c>
      <c r="G1251" s="54"/>
      <c r="H1251" s="52" t="str">
        <f>IF(AND(I.Compliance.FulfilledPerformance&gt;0,I.Performance.RangeCount&gt;=181,F1251=""),"Incomplete","Complete")</f>
        <v>Complete</v>
      </c>
      <c r="I1251" s="55" t="s">
        <v>1449</v>
      </c>
    </row>
    <row r="1252" spans="2:9" ht="15" customHeight="1" x14ac:dyDescent="0.25">
      <c r="B1252" s="51" t="s">
        <v>125</v>
      </c>
      <c r="C1252" s="52">
        <v>182</v>
      </c>
      <c r="D1252" s="53" t="s">
        <v>4327</v>
      </c>
      <c r="E1252" s="54"/>
      <c r="F1252" s="52" t="str">
        <f>IF(INDEX(I.Performance.EndRange,182)="","",INDEX(I.Performance.EndRange,182))</f>
        <v/>
      </c>
      <c r="G1252" s="54"/>
      <c r="H1252" s="52" t="str">
        <f>IF(AND(I.Compliance.FulfilledPerformance&gt;0,I.Performance.RangeCount&gt;=182,F1252=""),"Incomplete","Complete")</f>
        <v>Complete</v>
      </c>
      <c r="I1252" s="55" t="s">
        <v>1450</v>
      </c>
    </row>
    <row r="1253" spans="2:9" ht="15" customHeight="1" x14ac:dyDescent="0.25">
      <c r="B1253" s="51" t="s">
        <v>125</v>
      </c>
      <c r="C1253" s="52">
        <v>183</v>
      </c>
      <c r="D1253" s="53" t="s">
        <v>4327</v>
      </c>
      <c r="E1253" s="54"/>
      <c r="F1253" s="52" t="str">
        <f>IF(INDEX(I.Performance.EndRange,183)="","",INDEX(I.Performance.EndRange,183))</f>
        <v/>
      </c>
      <c r="G1253" s="54"/>
      <c r="H1253" s="52" t="str">
        <f>IF(AND(I.Compliance.FulfilledPerformance&gt;0,I.Performance.RangeCount&gt;=183,F1253=""),"Incomplete","Complete")</f>
        <v>Complete</v>
      </c>
      <c r="I1253" s="55" t="s">
        <v>1451</v>
      </c>
    </row>
    <row r="1254" spans="2:9" ht="15" customHeight="1" x14ac:dyDescent="0.25">
      <c r="B1254" s="51" t="s">
        <v>125</v>
      </c>
      <c r="C1254" s="52">
        <v>184</v>
      </c>
      <c r="D1254" s="53" t="s">
        <v>4327</v>
      </c>
      <c r="E1254" s="54"/>
      <c r="F1254" s="52" t="str">
        <f>IF(INDEX(I.Performance.EndRange,184)="","",INDEX(I.Performance.EndRange,184))</f>
        <v/>
      </c>
      <c r="G1254" s="54"/>
      <c r="H1254" s="52" t="str">
        <f>IF(AND(I.Compliance.FulfilledPerformance&gt;0,I.Performance.RangeCount&gt;=184,F1254=""),"Incomplete","Complete")</f>
        <v>Complete</v>
      </c>
      <c r="I1254" s="55" t="s">
        <v>1452</v>
      </c>
    </row>
    <row r="1255" spans="2:9" ht="15" customHeight="1" x14ac:dyDescent="0.25">
      <c r="B1255" s="51" t="s">
        <v>125</v>
      </c>
      <c r="C1255" s="52">
        <v>185</v>
      </c>
      <c r="D1255" s="53" t="s">
        <v>4327</v>
      </c>
      <c r="E1255" s="54"/>
      <c r="F1255" s="52" t="str">
        <f>IF(INDEX(I.Performance.EndRange,185)="","",INDEX(I.Performance.EndRange,185))</f>
        <v/>
      </c>
      <c r="G1255" s="54"/>
      <c r="H1255" s="52" t="str">
        <f>IF(AND(I.Compliance.FulfilledPerformance&gt;0,I.Performance.RangeCount&gt;=185,F1255=""),"Incomplete","Complete")</f>
        <v>Complete</v>
      </c>
      <c r="I1255" s="55" t="s">
        <v>1453</v>
      </c>
    </row>
    <row r="1256" spans="2:9" ht="15" customHeight="1" x14ac:dyDescent="0.25">
      <c r="B1256" s="51" t="s">
        <v>125</v>
      </c>
      <c r="C1256" s="52">
        <v>186</v>
      </c>
      <c r="D1256" s="53" t="s">
        <v>4327</v>
      </c>
      <c r="E1256" s="54"/>
      <c r="F1256" s="52" t="str">
        <f>IF(INDEX(I.Performance.EndRange,186)="","",INDEX(I.Performance.EndRange,186))</f>
        <v/>
      </c>
      <c r="G1256" s="54"/>
      <c r="H1256" s="52" t="str">
        <f>IF(AND(I.Compliance.FulfilledPerformance&gt;0,I.Performance.RangeCount&gt;=186,F1256=""),"Incomplete","Complete")</f>
        <v>Complete</v>
      </c>
      <c r="I1256" s="55" t="s">
        <v>1454</v>
      </c>
    </row>
    <row r="1257" spans="2:9" ht="15" customHeight="1" x14ac:dyDescent="0.25">
      <c r="B1257" s="51" t="s">
        <v>125</v>
      </c>
      <c r="C1257" s="52">
        <v>187</v>
      </c>
      <c r="D1257" s="53" t="s">
        <v>4327</v>
      </c>
      <c r="E1257" s="54"/>
      <c r="F1257" s="52" t="str">
        <f>IF(INDEX(I.Performance.EndRange,187)="","",INDEX(I.Performance.EndRange,187))</f>
        <v/>
      </c>
      <c r="G1257" s="54"/>
      <c r="H1257" s="52" t="str">
        <f>IF(AND(I.Compliance.FulfilledPerformance&gt;0,I.Performance.RangeCount&gt;=187,F1257=""),"Incomplete","Complete")</f>
        <v>Complete</v>
      </c>
      <c r="I1257" s="55" t="s">
        <v>1455</v>
      </c>
    </row>
    <row r="1258" spans="2:9" ht="15" customHeight="1" x14ac:dyDescent="0.25">
      <c r="B1258" s="51" t="s">
        <v>125</v>
      </c>
      <c r="C1258" s="52">
        <v>188</v>
      </c>
      <c r="D1258" s="53" t="s">
        <v>4327</v>
      </c>
      <c r="E1258" s="54"/>
      <c r="F1258" s="52" t="str">
        <f>IF(INDEX(I.Performance.EndRange,188)="","",INDEX(I.Performance.EndRange,188))</f>
        <v/>
      </c>
      <c r="G1258" s="54"/>
      <c r="H1258" s="52" t="str">
        <f>IF(AND(I.Compliance.FulfilledPerformance&gt;0,I.Performance.RangeCount&gt;=188,F1258=""),"Incomplete","Complete")</f>
        <v>Complete</v>
      </c>
      <c r="I1258" s="55" t="s">
        <v>1456</v>
      </c>
    </row>
    <row r="1259" spans="2:9" ht="15" customHeight="1" x14ac:dyDescent="0.25">
      <c r="B1259" s="51" t="s">
        <v>125</v>
      </c>
      <c r="C1259" s="52">
        <v>189</v>
      </c>
      <c r="D1259" s="53" t="s">
        <v>4327</v>
      </c>
      <c r="E1259" s="54"/>
      <c r="F1259" s="52" t="str">
        <f>IF(INDEX(I.Performance.EndRange,189)="","",INDEX(I.Performance.EndRange,189))</f>
        <v/>
      </c>
      <c r="G1259" s="54"/>
      <c r="H1259" s="52" t="str">
        <f>IF(AND(I.Compliance.FulfilledPerformance&gt;0,I.Performance.RangeCount&gt;=189,F1259=""),"Incomplete","Complete")</f>
        <v>Complete</v>
      </c>
      <c r="I1259" s="55" t="s">
        <v>1457</v>
      </c>
    </row>
    <row r="1260" spans="2:9" ht="15" customHeight="1" x14ac:dyDescent="0.25">
      <c r="B1260" s="51" t="s">
        <v>125</v>
      </c>
      <c r="C1260" s="52">
        <v>190</v>
      </c>
      <c r="D1260" s="53" t="s">
        <v>4327</v>
      </c>
      <c r="E1260" s="54"/>
      <c r="F1260" s="52" t="str">
        <f>IF(INDEX(I.Performance.EndRange,190)="","",INDEX(I.Performance.EndRange,190))</f>
        <v/>
      </c>
      <c r="G1260" s="54"/>
      <c r="H1260" s="52" t="str">
        <f>IF(AND(I.Compliance.FulfilledPerformance&gt;0,I.Performance.RangeCount&gt;=190,F1260=""),"Incomplete","Complete")</f>
        <v>Complete</v>
      </c>
      <c r="I1260" s="55" t="s">
        <v>1458</v>
      </c>
    </row>
    <row r="1261" spans="2:9" ht="15" customHeight="1" x14ac:dyDescent="0.25">
      <c r="B1261" s="51" t="s">
        <v>125</v>
      </c>
      <c r="C1261" s="52">
        <v>191</v>
      </c>
      <c r="D1261" s="53" t="s">
        <v>4327</v>
      </c>
      <c r="E1261" s="54"/>
      <c r="F1261" s="52" t="str">
        <f>IF(INDEX(I.Performance.EndRange,191)="","",INDEX(I.Performance.EndRange,191))</f>
        <v/>
      </c>
      <c r="G1261" s="54"/>
      <c r="H1261" s="52" t="str">
        <f>IF(AND(I.Compliance.FulfilledPerformance&gt;0,I.Performance.RangeCount&gt;=191,F1261=""),"Incomplete","Complete")</f>
        <v>Complete</v>
      </c>
      <c r="I1261" s="55" t="s">
        <v>1459</v>
      </c>
    </row>
    <row r="1262" spans="2:9" ht="15" customHeight="1" x14ac:dyDescent="0.25">
      <c r="B1262" s="51" t="s">
        <v>125</v>
      </c>
      <c r="C1262" s="52">
        <v>192</v>
      </c>
      <c r="D1262" s="53" t="s">
        <v>4327</v>
      </c>
      <c r="E1262" s="54"/>
      <c r="F1262" s="52" t="str">
        <f>IF(INDEX(I.Performance.EndRange,192)="","",INDEX(I.Performance.EndRange,192))</f>
        <v/>
      </c>
      <c r="G1262" s="54"/>
      <c r="H1262" s="52" t="str">
        <f>IF(AND(I.Compliance.FulfilledPerformance&gt;0,I.Performance.RangeCount&gt;=192,F1262=""),"Incomplete","Complete")</f>
        <v>Complete</v>
      </c>
      <c r="I1262" s="55" t="s">
        <v>1460</v>
      </c>
    </row>
    <row r="1263" spans="2:9" ht="15" customHeight="1" x14ac:dyDescent="0.25">
      <c r="B1263" s="51" t="s">
        <v>125</v>
      </c>
      <c r="C1263" s="52">
        <v>193</v>
      </c>
      <c r="D1263" s="53" t="s">
        <v>4327</v>
      </c>
      <c r="E1263" s="54"/>
      <c r="F1263" s="52" t="str">
        <f>IF(INDEX(I.Performance.EndRange,193)="","",INDEX(I.Performance.EndRange,193))</f>
        <v/>
      </c>
      <c r="G1263" s="54"/>
      <c r="H1263" s="52" t="str">
        <f>IF(AND(I.Compliance.FulfilledPerformance&gt;0,I.Performance.RangeCount&gt;=193,F1263=""),"Incomplete","Complete")</f>
        <v>Complete</v>
      </c>
      <c r="I1263" s="55" t="s">
        <v>1461</v>
      </c>
    </row>
    <row r="1264" spans="2:9" ht="15" customHeight="1" x14ac:dyDescent="0.25">
      <c r="B1264" s="51" t="s">
        <v>125</v>
      </c>
      <c r="C1264" s="52">
        <v>194</v>
      </c>
      <c r="D1264" s="53" t="s">
        <v>4327</v>
      </c>
      <c r="E1264" s="54"/>
      <c r="F1264" s="52" t="str">
        <f>IF(INDEX(I.Performance.EndRange,194)="","",INDEX(I.Performance.EndRange,194))</f>
        <v/>
      </c>
      <c r="G1264" s="54"/>
      <c r="H1264" s="52" t="str">
        <f>IF(AND(I.Compliance.FulfilledPerformance&gt;0,I.Performance.RangeCount&gt;=194,F1264=""),"Incomplete","Complete")</f>
        <v>Complete</v>
      </c>
      <c r="I1264" s="55" t="s">
        <v>1462</v>
      </c>
    </row>
    <row r="1265" spans="2:9" ht="15" customHeight="1" x14ac:dyDescent="0.25">
      <c r="B1265" s="51" t="s">
        <v>125</v>
      </c>
      <c r="C1265" s="52">
        <v>195</v>
      </c>
      <c r="D1265" s="53" t="s">
        <v>4327</v>
      </c>
      <c r="E1265" s="54"/>
      <c r="F1265" s="52" t="str">
        <f>IF(INDEX(I.Performance.EndRange,195)="","",INDEX(I.Performance.EndRange,195))</f>
        <v/>
      </c>
      <c r="G1265" s="54"/>
      <c r="H1265" s="52" t="str">
        <f>IF(AND(I.Compliance.FulfilledPerformance&gt;0,I.Performance.RangeCount&gt;=195,F1265=""),"Incomplete","Complete")</f>
        <v>Complete</v>
      </c>
      <c r="I1265" s="55" t="s">
        <v>1463</v>
      </c>
    </row>
    <row r="1266" spans="2:9" ht="15" customHeight="1" x14ac:dyDescent="0.25">
      <c r="B1266" s="51" t="s">
        <v>125</v>
      </c>
      <c r="C1266" s="52">
        <v>196</v>
      </c>
      <c r="D1266" s="53" t="s">
        <v>4327</v>
      </c>
      <c r="E1266" s="54"/>
      <c r="F1266" s="52" t="str">
        <f>IF(INDEX(I.Performance.EndRange,196)="","",INDEX(I.Performance.EndRange,196))</f>
        <v/>
      </c>
      <c r="G1266" s="54"/>
      <c r="H1266" s="52" t="str">
        <f>IF(AND(I.Compliance.FulfilledPerformance&gt;0,I.Performance.RangeCount&gt;=196,F1266=""),"Incomplete","Complete")</f>
        <v>Complete</v>
      </c>
      <c r="I1266" s="55" t="s">
        <v>1464</v>
      </c>
    </row>
    <row r="1267" spans="2:9" ht="15" customHeight="1" x14ac:dyDescent="0.25">
      <c r="B1267" s="51" t="s">
        <v>125</v>
      </c>
      <c r="C1267" s="52">
        <v>197</v>
      </c>
      <c r="D1267" s="53" t="s">
        <v>4327</v>
      </c>
      <c r="E1267" s="54"/>
      <c r="F1267" s="52" t="str">
        <f>IF(INDEX(I.Performance.EndRange,197)="","",INDEX(I.Performance.EndRange,197))</f>
        <v/>
      </c>
      <c r="G1267" s="54"/>
      <c r="H1267" s="52" t="str">
        <f>IF(AND(I.Compliance.FulfilledPerformance&gt;0,I.Performance.RangeCount&gt;=197,F1267=""),"Incomplete","Complete")</f>
        <v>Complete</v>
      </c>
      <c r="I1267" s="55" t="s">
        <v>1465</v>
      </c>
    </row>
    <row r="1268" spans="2:9" ht="15" customHeight="1" x14ac:dyDescent="0.25">
      <c r="B1268" s="51" t="s">
        <v>125</v>
      </c>
      <c r="C1268" s="52">
        <v>198</v>
      </c>
      <c r="D1268" s="53" t="s">
        <v>4327</v>
      </c>
      <c r="E1268" s="54"/>
      <c r="F1268" s="52" t="str">
        <f>IF(INDEX(I.Performance.EndRange,198)="","",INDEX(I.Performance.EndRange,198))</f>
        <v/>
      </c>
      <c r="G1268" s="54"/>
      <c r="H1268" s="52" t="str">
        <f>IF(AND(I.Compliance.FulfilledPerformance&gt;0,I.Performance.RangeCount&gt;=198,F1268=""),"Incomplete","Complete")</f>
        <v>Complete</v>
      </c>
      <c r="I1268" s="55" t="s">
        <v>1466</v>
      </c>
    </row>
    <row r="1269" spans="2:9" ht="15" customHeight="1" x14ac:dyDescent="0.25">
      <c r="B1269" s="51" t="s">
        <v>125</v>
      </c>
      <c r="C1269" s="52">
        <v>199</v>
      </c>
      <c r="D1269" s="53" t="s">
        <v>4327</v>
      </c>
      <c r="E1269" s="54"/>
      <c r="F1269" s="52" t="str">
        <f>IF(INDEX(I.Performance.EndRange,199)="","",INDEX(I.Performance.EndRange,199))</f>
        <v/>
      </c>
      <c r="G1269" s="54"/>
      <c r="H1269" s="52" t="str">
        <f>IF(AND(I.Compliance.FulfilledPerformance&gt;0,I.Performance.RangeCount&gt;=199,F1269=""),"Incomplete","Complete")</f>
        <v>Complete</v>
      </c>
      <c r="I1269" s="55" t="s">
        <v>1467</v>
      </c>
    </row>
    <row r="1270" spans="2:9" ht="15" customHeight="1" x14ac:dyDescent="0.25">
      <c r="B1270" s="51" t="s">
        <v>125</v>
      </c>
      <c r="C1270" s="52">
        <v>200</v>
      </c>
      <c r="D1270" s="53" t="s">
        <v>4327</v>
      </c>
      <c r="E1270" s="54"/>
      <c r="F1270" s="52" t="str">
        <f>IF(INDEX(I.Performance.EndRange,200)="","",INDEX(I.Performance.EndRange,200))</f>
        <v/>
      </c>
      <c r="G1270" s="54"/>
      <c r="H1270" s="52" t="str">
        <f>IF(AND(I.Compliance.FulfilledPerformance&gt;0,I.Performance.RangeCount&gt;=200,F1270=""),"Incomplete","Complete")</f>
        <v>Complete</v>
      </c>
      <c r="I1270" s="55" t="s">
        <v>1468</v>
      </c>
    </row>
    <row r="1271" spans="2:9" ht="15" customHeight="1" x14ac:dyDescent="0.25">
      <c r="B1271" s="51" t="s">
        <v>125</v>
      </c>
      <c r="C1271" s="52">
        <v>201</v>
      </c>
      <c r="D1271" s="53" t="s">
        <v>4327</v>
      </c>
      <c r="E1271" s="54"/>
      <c r="F1271" s="52" t="str">
        <f>IF(INDEX(I.Performance.EndRange,201)="","",INDEX(I.Performance.EndRange,201))</f>
        <v/>
      </c>
      <c r="G1271" s="54"/>
      <c r="H1271" s="52" t="str">
        <f>IF(AND(I.Compliance.FulfilledPerformance&gt;0,I.Performance.RangeCount&gt;=201,F1271=""),"Incomplete","Complete")</f>
        <v>Complete</v>
      </c>
      <c r="I1271" s="55" t="s">
        <v>1469</v>
      </c>
    </row>
    <row r="1272" spans="2:9" ht="15" customHeight="1" x14ac:dyDescent="0.25">
      <c r="B1272" s="51" t="s">
        <v>125</v>
      </c>
      <c r="C1272" s="52">
        <v>202</v>
      </c>
      <c r="D1272" s="53" t="s">
        <v>4327</v>
      </c>
      <c r="E1272" s="54"/>
      <c r="F1272" s="52" t="str">
        <f>IF(INDEX(I.Performance.EndRange,202)="","",INDEX(I.Performance.EndRange,202))</f>
        <v/>
      </c>
      <c r="G1272" s="54"/>
      <c r="H1272" s="52" t="str">
        <f>IF(AND(I.Compliance.FulfilledPerformance&gt;0,I.Performance.RangeCount&gt;=202,F1272=""),"Incomplete","Complete")</f>
        <v>Complete</v>
      </c>
      <c r="I1272" s="55" t="s">
        <v>1470</v>
      </c>
    </row>
    <row r="1273" spans="2:9" ht="15" customHeight="1" x14ac:dyDescent="0.25">
      <c r="B1273" s="51" t="s">
        <v>125</v>
      </c>
      <c r="C1273" s="52">
        <v>203</v>
      </c>
      <c r="D1273" s="53" t="s">
        <v>4327</v>
      </c>
      <c r="E1273" s="54"/>
      <c r="F1273" s="52" t="str">
        <f>IF(INDEX(I.Performance.EndRange,203)="","",INDEX(I.Performance.EndRange,203))</f>
        <v/>
      </c>
      <c r="G1273" s="54"/>
      <c r="H1273" s="52" t="str">
        <f>IF(AND(I.Compliance.FulfilledPerformance&gt;0,I.Performance.RangeCount&gt;=203,F1273=""),"Incomplete","Complete")</f>
        <v>Complete</v>
      </c>
      <c r="I1273" s="55" t="s">
        <v>1471</v>
      </c>
    </row>
    <row r="1274" spans="2:9" ht="15" customHeight="1" x14ac:dyDescent="0.25">
      <c r="B1274" s="51" t="s">
        <v>125</v>
      </c>
      <c r="C1274" s="52">
        <v>204</v>
      </c>
      <c r="D1274" s="53" t="s">
        <v>4327</v>
      </c>
      <c r="E1274" s="54"/>
      <c r="F1274" s="52" t="str">
        <f>IF(INDEX(I.Performance.EndRange,204)="","",INDEX(I.Performance.EndRange,204))</f>
        <v/>
      </c>
      <c r="G1274" s="54"/>
      <c r="H1274" s="52" t="str">
        <f>IF(AND(I.Compliance.FulfilledPerformance&gt;0,I.Performance.RangeCount&gt;=204,F1274=""),"Incomplete","Complete")</f>
        <v>Complete</v>
      </c>
      <c r="I1274" s="55" t="s">
        <v>1472</v>
      </c>
    </row>
    <row r="1275" spans="2:9" ht="15" customHeight="1" x14ac:dyDescent="0.25">
      <c r="B1275" s="51" t="s">
        <v>125</v>
      </c>
      <c r="C1275" s="52">
        <v>205</v>
      </c>
      <c r="D1275" s="53" t="s">
        <v>4327</v>
      </c>
      <c r="E1275" s="54"/>
      <c r="F1275" s="52" t="str">
        <f>IF(INDEX(I.Performance.EndRange,205)="","",INDEX(I.Performance.EndRange,205))</f>
        <v/>
      </c>
      <c r="G1275" s="54"/>
      <c r="H1275" s="52" t="str">
        <f>IF(AND(I.Compliance.FulfilledPerformance&gt;0,I.Performance.RangeCount&gt;=205,F1275=""),"Incomplete","Complete")</f>
        <v>Complete</v>
      </c>
      <c r="I1275" s="55" t="s">
        <v>1473</v>
      </c>
    </row>
    <row r="1276" spans="2:9" ht="15" customHeight="1" x14ac:dyDescent="0.25">
      <c r="B1276" s="51" t="s">
        <v>125</v>
      </c>
      <c r="C1276" s="52">
        <v>206</v>
      </c>
      <c r="D1276" s="53" t="s">
        <v>4327</v>
      </c>
      <c r="E1276" s="54"/>
      <c r="F1276" s="52" t="str">
        <f>IF(INDEX(I.Performance.EndRange,206)="","",INDEX(I.Performance.EndRange,206))</f>
        <v/>
      </c>
      <c r="G1276" s="54"/>
      <c r="H1276" s="52" t="str">
        <f>IF(AND(I.Compliance.FulfilledPerformance&gt;0,I.Performance.RangeCount&gt;=206,F1276=""),"Incomplete","Complete")</f>
        <v>Complete</v>
      </c>
      <c r="I1276" s="55" t="s">
        <v>1474</v>
      </c>
    </row>
    <row r="1277" spans="2:9" ht="15" customHeight="1" x14ac:dyDescent="0.25">
      <c r="B1277" s="51" t="s">
        <v>125</v>
      </c>
      <c r="C1277" s="52">
        <v>207</v>
      </c>
      <c r="D1277" s="53" t="s">
        <v>4327</v>
      </c>
      <c r="E1277" s="54"/>
      <c r="F1277" s="52" t="str">
        <f>IF(INDEX(I.Performance.EndRange,207)="","",INDEX(I.Performance.EndRange,207))</f>
        <v/>
      </c>
      <c r="G1277" s="54"/>
      <c r="H1277" s="52" t="str">
        <f>IF(AND(I.Compliance.FulfilledPerformance&gt;0,I.Performance.RangeCount&gt;=207,F1277=""),"Incomplete","Complete")</f>
        <v>Complete</v>
      </c>
      <c r="I1277" s="55" t="s">
        <v>1475</v>
      </c>
    </row>
    <row r="1278" spans="2:9" ht="15" customHeight="1" x14ac:dyDescent="0.25">
      <c r="B1278" s="51" t="s">
        <v>125</v>
      </c>
      <c r="C1278" s="52">
        <v>208</v>
      </c>
      <c r="D1278" s="53" t="s">
        <v>4327</v>
      </c>
      <c r="E1278" s="54"/>
      <c r="F1278" s="52" t="str">
        <f>IF(INDEX(I.Performance.EndRange,208)="","",INDEX(I.Performance.EndRange,208))</f>
        <v/>
      </c>
      <c r="G1278" s="54"/>
      <c r="H1278" s="52" t="str">
        <f>IF(AND(I.Compliance.FulfilledPerformance&gt;0,I.Performance.RangeCount&gt;=208,F1278=""),"Incomplete","Complete")</f>
        <v>Complete</v>
      </c>
      <c r="I1278" s="55" t="s">
        <v>1476</v>
      </c>
    </row>
    <row r="1279" spans="2:9" ht="15" customHeight="1" x14ac:dyDescent="0.25">
      <c r="B1279" s="51" t="s">
        <v>125</v>
      </c>
      <c r="C1279" s="52">
        <v>209</v>
      </c>
      <c r="D1279" s="53" t="s">
        <v>4327</v>
      </c>
      <c r="E1279" s="54"/>
      <c r="F1279" s="52" t="str">
        <f>IF(INDEX(I.Performance.EndRange,209)="","",INDEX(I.Performance.EndRange,209))</f>
        <v/>
      </c>
      <c r="G1279" s="54"/>
      <c r="H1279" s="52" t="str">
        <f>IF(AND(I.Compliance.FulfilledPerformance&gt;0,I.Performance.RangeCount&gt;=209,F1279=""),"Incomplete","Complete")</f>
        <v>Complete</v>
      </c>
      <c r="I1279" s="55" t="s">
        <v>1477</v>
      </c>
    </row>
    <row r="1280" spans="2:9" ht="15" customHeight="1" x14ac:dyDescent="0.25">
      <c r="B1280" s="51" t="s">
        <v>125</v>
      </c>
      <c r="C1280" s="52">
        <v>210</v>
      </c>
      <c r="D1280" s="53" t="s">
        <v>4327</v>
      </c>
      <c r="E1280" s="54"/>
      <c r="F1280" s="52" t="str">
        <f>IF(INDEX(I.Performance.EndRange,210)="","",INDEX(I.Performance.EndRange,210))</f>
        <v/>
      </c>
      <c r="G1280" s="54"/>
      <c r="H1280" s="52" t="str">
        <f>IF(AND(I.Compliance.FulfilledPerformance&gt;0,I.Performance.RangeCount&gt;=210,F1280=""),"Incomplete","Complete")</f>
        <v>Complete</v>
      </c>
      <c r="I1280" s="55" t="s">
        <v>1478</v>
      </c>
    </row>
    <row r="1281" spans="2:9" ht="15" customHeight="1" x14ac:dyDescent="0.25">
      <c r="B1281" s="51" t="s">
        <v>125</v>
      </c>
      <c r="C1281" s="52">
        <v>211</v>
      </c>
      <c r="D1281" s="53" t="s">
        <v>4327</v>
      </c>
      <c r="E1281" s="54"/>
      <c r="F1281" s="52" t="str">
        <f>IF(INDEX(I.Performance.EndRange,211)="","",INDEX(I.Performance.EndRange,211))</f>
        <v/>
      </c>
      <c r="G1281" s="54"/>
      <c r="H1281" s="52" t="str">
        <f>IF(AND(I.Compliance.FulfilledPerformance&gt;0,I.Performance.RangeCount&gt;=211,F1281=""),"Incomplete","Complete")</f>
        <v>Complete</v>
      </c>
      <c r="I1281" s="55" t="s">
        <v>1479</v>
      </c>
    </row>
    <row r="1282" spans="2:9" ht="15" customHeight="1" x14ac:dyDescent="0.25">
      <c r="B1282" s="51" t="s">
        <v>125</v>
      </c>
      <c r="C1282" s="52">
        <v>212</v>
      </c>
      <c r="D1282" s="53" t="s">
        <v>4327</v>
      </c>
      <c r="E1282" s="54"/>
      <c r="F1282" s="52" t="str">
        <f>IF(INDEX(I.Performance.EndRange,212)="","",INDEX(I.Performance.EndRange,212))</f>
        <v/>
      </c>
      <c r="G1282" s="54"/>
      <c r="H1282" s="52" t="str">
        <f>IF(AND(I.Compliance.FulfilledPerformance&gt;0,I.Performance.RangeCount&gt;=212,F1282=""),"Incomplete","Complete")</f>
        <v>Complete</v>
      </c>
      <c r="I1282" s="55" t="s">
        <v>1480</v>
      </c>
    </row>
    <row r="1283" spans="2:9" ht="15" customHeight="1" x14ac:dyDescent="0.25">
      <c r="B1283" s="51" t="s">
        <v>125</v>
      </c>
      <c r="C1283" s="52">
        <v>213</v>
      </c>
      <c r="D1283" s="53" t="s">
        <v>4327</v>
      </c>
      <c r="E1283" s="54"/>
      <c r="F1283" s="52" t="str">
        <f>IF(INDEX(I.Performance.EndRange,213)="","",INDEX(I.Performance.EndRange,213))</f>
        <v/>
      </c>
      <c r="G1283" s="54"/>
      <c r="H1283" s="52" t="str">
        <f>IF(AND(I.Compliance.FulfilledPerformance&gt;0,I.Performance.RangeCount&gt;=213,F1283=""),"Incomplete","Complete")</f>
        <v>Complete</v>
      </c>
      <c r="I1283" s="55" t="s">
        <v>1481</v>
      </c>
    </row>
    <row r="1284" spans="2:9" ht="15" customHeight="1" x14ac:dyDescent="0.25">
      <c r="B1284" s="51" t="s">
        <v>125</v>
      </c>
      <c r="C1284" s="52">
        <v>214</v>
      </c>
      <c r="D1284" s="53" t="s">
        <v>4327</v>
      </c>
      <c r="E1284" s="54"/>
      <c r="F1284" s="52" t="str">
        <f>IF(INDEX(I.Performance.EndRange,214)="","",INDEX(I.Performance.EndRange,214))</f>
        <v/>
      </c>
      <c r="G1284" s="54"/>
      <c r="H1284" s="52" t="str">
        <f>IF(AND(I.Compliance.FulfilledPerformance&gt;0,I.Performance.RangeCount&gt;=214,F1284=""),"Incomplete","Complete")</f>
        <v>Complete</v>
      </c>
      <c r="I1284" s="55" t="s">
        <v>1482</v>
      </c>
    </row>
    <row r="1285" spans="2:9" ht="15" customHeight="1" x14ac:dyDescent="0.25">
      <c r="B1285" s="51" t="s">
        <v>125</v>
      </c>
      <c r="C1285" s="52">
        <v>215</v>
      </c>
      <c r="D1285" s="53" t="s">
        <v>4327</v>
      </c>
      <c r="E1285" s="54"/>
      <c r="F1285" s="52" t="str">
        <f>IF(INDEX(I.Performance.EndRange,215)="","",INDEX(I.Performance.EndRange,215))</f>
        <v/>
      </c>
      <c r="G1285" s="54"/>
      <c r="H1285" s="52" t="str">
        <f>IF(AND(I.Compliance.FulfilledPerformance&gt;0,I.Performance.RangeCount&gt;=215,F1285=""),"Incomplete","Complete")</f>
        <v>Complete</v>
      </c>
      <c r="I1285" s="55" t="s">
        <v>1483</v>
      </c>
    </row>
    <row r="1286" spans="2:9" ht="15" customHeight="1" x14ac:dyDescent="0.25">
      <c r="B1286" s="51" t="s">
        <v>125</v>
      </c>
      <c r="C1286" s="52">
        <v>216</v>
      </c>
      <c r="D1286" s="53" t="s">
        <v>4327</v>
      </c>
      <c r="E1286" s="54"/>
      <c r="F1286" s="52" t="str">
        <f>IF(INDEX(I.Performance.EndRange,216)="","",INDEX(I.Performance.EndRange,216))</f>
        <v/>
      </c>
      <c r="G1286" s="54"/>
      <c r="H1286" s="52" t="str">
        <f>IF(AND(I.Compliance.FulfilledPerformance&gt;0,I.Performance.RangeCount&gt;=216,F1286=""),"Incomplete","Complete")</f>
        <v>Complete</v>
      </c>
      <c r="I1286" s="55" t="s">
        <v>1484</v>
      </c>
    </row>
    <row r="1287" spans="2:9" ht="15" customHeight="1" x14ac:dyDescent="0.25">
      <c r="B1287" s="51" t="s">
        <v>125</v>
      </c>
      <c r="C1287" s="52">
        <v>217</v>
      </c>
      <c r="D1287" s="53" t="s">
        <v>4327</v>
      </c>
      <c r="E1287" s="54"/>
      <c r="F1287" s="52" t="str">
        <f>IF(INDEX(I.Performance.EndRange,217)="","",INDEX(I.Performance.EndRange,217))</f>
        <v/>
      </c>
      <c r="G1287" s="54"/>
      <c r="H1287" s="52" t="str">
        <f>IF(AND(I.Compliance.FulfilledPerformance&gt;0,I.Performance.RangeCount&gt;=217,F1287=""),"Incomplete","Complete")</f>
        <v>Complete</v>
      </c>
      <c r="I1287" s="55" t="s">
        <v>1485</v>
      </c>
    </row>
    <row r="1288" spans="2:9" ht="15" customHeight="1" x14ac:dyDescent="0.25">
      <c r="B1288" s="51" t="s">
        <v>125</v>
      </c>
      <c r="C1288" s="52">
        <v>218</v>
      </c>
      <c r="D1288" s="53" t="s">
        <v>4327</v>
      </c>
      <c r="E1288" s="54"/>
      <c r="F1288" s="52" t="str">
        <f>IF(INDEX(I.Performance.EndRange,218)="","",INDEX(I.Performance.EndRange,218))</f>
        <v/>
      </c>
      <c r="G1288" s="54"/>
      <c r="H1288" s="52" t="str">
        <f>IF(AND(I.Compliance.FulfilledPerformance&gt;0,I.Performance.RangeCount&gt;=218,F1288=""),"Incomplete","Complete")</f>
        <v>Complete</v>
      </c>
      <c r="I1288" s="55" t="s">
        <v>1486</v>
      </c>
    </row>
    <row r="1289" spans="2:9" ht="15" customHeight="1" x14ac:dyDescent="0.25">
      <c r="B1289" s="51" t="s">
        <v>125</v>
      </c>
      <c r="C1289" s="52">
        <v>219</v>
      </c>
      <c r="D1289" s="53" t="s">
        <v>4327</v>
      </c>
      <c r="E1289" s="54"/>
      <c r="F1289" s="52" t="str">
        <f>IF(INDEX(I.Performance.EndRange,219)="","",INDEX(I.Performance.EndRange,219))</f>
        <v/>
      </c>
      <c r="G1289" s="54"/>
      <c r="H1289" s="52" t="str">
        <f>IF(AND(I.Compliance.FulfilledPerformance&gt;0,I.Performance.RangeCount&gt;=219,F1289=""),"Incomplete","Complete")</f>
        <v>Complete</v>
      </c>
      <c r="I1289" s="55" t="s">
        <v>1487</v>
      </c>
    </row>
    <row r="1290" spans="2:9" ht="15" customHeight="1" x14ac:dyDescent="0.25">
      <c r="B1290" s="51" t="s">
        <v>125</v>
      </c>
      <c r="C1290" s="52">
        <v>220</v>
      </c>
      <c r="D1290" s="53" t="s">
        <v>4327</v>
      </c>
      <c r="E1290" s="54"/>
      <c r="F1290" s="52" t="str">
        <f>IF(INDEX(I.Performance.EndRange,220)="","",INDEX(I.Performance.EndRange,220))</f>
        <v/>
      </c>
      <c r="G1290" s="54"/>
      <c r="H1290" s="52" t="str">
        <f>IF(AND(I.Compliance.FulfilledPerformance&gt;0,I.Performance.RangeCount&gt;=220,F1290=""),"Incomplete","Complete")</f>
        <v>Complete</v>
      </c>
      <c r="I1290" s="55" t="s">
        <v>1488</v>
      </c>
    </row>
    <row r="1291" spans="2:9" ht="15" customHeight="1" x14ac:dyDescent="0.25">
      <c r="B1291" s="51" t="s">
        <v>125</v>
      </c>
      <c r="C1291" s="52">
        <v>221</v>
      </c>
      <c r="D1291" s="53" t="s">
        <v>4327</v>
      </c>
      <c r="E1291" s="54"/>
      <c r="F1291" s="52" t="str">
        <f>IF(INDEX(I.Performance.EndRange,221)="","",INDEX(I.Performance.EndRange,221))</f>
        <v/>
      </c>
      <c r="G1291" s="54"/>
      <c r="H1291" s="52" t="str">
        <f>IF(AND(I.Compliance.FulfilledPerformance&gt;0,I.Performance.RangeCount&gt;=221,F1291=""),"Incomplete","Complete")</f>
        <v>Complete</v>
      </c>
      <c r="I1291" s="55" t="s">
        <v>1489</v>
      </c>
    </row>
    <row r="1292" spans="2:9" ht="15" customHeight="1" x14ac:dyDescent="0.25">
      <c r="B1292" s="51" t="s">
        <v>125</v>
      </c>
      <c r="C1292" s="52">
        <v>222</v>
      </c>
      <c r="D1292" s="53" t="s">
        <v>4327</v>
      </c>
      <c r="E1292" s="54"/>
      <c r="F1292" s="52" t="str">
        <f>IF(INDEX(I.Performance.EndRange,222)="","",INDEX(I.Performance.EndRange,222))</f>
        <v/>
      </c>
      <c r="G1292" s="54"/>
      <c r="H1292" s="52" t="str">
        <f>IF(AND(I.Compliance.FulfilledPerformance&gt;0,I.Performance.RangeCount&gt;=222,F1292=""),"Incomplete","Complete")</f>
        <v>Complete</v>
      </c>
      <c r="I1292" s="55" t="s">
        <v>1490</v>
      </c>
    </row>
    <row r="1293" spans="2:9" ht="15" customHeight="1" x14ac:dyDescent="0.25">
      <c r="B1293" s="51" t="s">
        <v>125</v>
      </c>
      <c r="C1293" s="52">
        <v>223</v>
      </c>
      <c r="D1293" s="53" t="s">
        <v>4327</v>
      </c>
      <c r="E1293" s="54"/>
      <c r="F1293" s="52" t="str">
        <f>IF(INDEX(I.Performance.EndRange,223)="","",INDEX(I.Performance.EndRange,223))</f>
        <v/>
      </c>
      <c r="G1293" s="54"/>
      <c r="H1293" s="52" t="str">
        <f>IF(AND(I.Compliance.FulfilledPerformance&gt;0,I.Performance.RangeCount&gt;=223,F1293=""),"Incomplete","Complete")</f>
        <v>Complete</v>
      </c>
      <c r="I1293" s="55" t="s">
        <v>1491</v>
      </c>
    </row>
    <row r="1294" spans="2:9" ht="15" customHeight="1" x14ac:dyDescent="0.25">
      <c r="B1294" s="51" t="s">
        <v>125</v>
      </c>
      <c r="C1294" s="52">
        <v>224</v>
      </c>
      <c r="D1294" s="53" t="s">
        <v>4327</v>
      </c>
      <c r="E1294" s="54"/>
      <c r="F1294" s="52" t="str">
        <f>IF(INDEX(I.Performance.EndRange,224)="","",INDEX(I.Performance.EndRange,224))</f>
        <v/>
      </c>
      <c r="G1294" s="54"/>
      <c r="H1294" s="52" t="str">
        <f>IF(AND(I.Compliance.FulfilledPerformance&gt;0,I.Performance.RangeCount&gt;=224,F1294=""),"Incomplete","Complete")</f>
        <v>Complete</v>
      </c>
      <c r="I1294" s="55" t="s">
        <v>1492</v>
      </c>
    </row>
    <row r="1295" spans="2:9" ht="15" customHeight="1" x14ac:dyDescent="0.25">
      <c r="B1295" s="51" t="s">
        <v>125</v>
      </c>
      <c r="C1295" s="52">
        <v>225</v>
      </c>
      <c r="D1295" s="53" t="s">
        <v>4327</v>
      </c>
      <c r="E1295" s="54"/>
      <c r="F1295" s="52" t="str">
        <f>IF(INDEX(I.Performance.EndRange,225)="","",INDEX(I.Performance.EndRange,225))</f>
        <v/>
      </c>
      <c r="G1295" s="54"/>
      <c r="H1295" s="52" t="str">
        <f>IF(AND(I.Compliance.FulfilledPerformance&gt;0,I.Performance.RangeCount&gt;=225,F1295=""),"Incomplete","Complete")</f>
        <v>Complete</v>
      </c>
      <c r="I1295" s="55" t="s">
        <v>1493</v>
      </c>
    </row>
    <row r="1296" spans="2:9" ht="15" customHeight="1" x14ac:dyDescent="0.25">
      <c r="B1296" s="51" t="s">
        <v>125</v>
      </c>
      <c r="C1296" s="52">
        <v>226</v>
      </c>
      <c r="D1296" s="53" t="s">
        <v>4327</v>
      </c>
      <c r="E1296" s="54"/>
      <c r="F1296" s="52" t="str">
        <f>IF(INDEX(I.Performance.EndRange,226)="","",INDEX(I.Performance.EndRange,226))</f>
        <v/>
      </c>
      <c r="G1296" s="54"/>
      <c r="H1296" s="52" t="str">
        <f>IF(AND(I.Compliance.FulfilledPerformance&gt;0,I.Performance.RangeCount&gt;=226,F1296=""),"Incomplete","Complete")</f>
        <v>Complete</v>
      </c>
      <c r="I1296" s="55" t="s">
        <v>1494</v>
      </c>
    </row>
    <row r="1297" spans="2:9" ht="15" customHeight="1" x14ac:dyDescent="0.25">
      <c r="B1297" s="51" t="s">
        <v>125</v>
      </c>
      <c r="C1297" s="52">
        <v>227</v>
      </c>
      <c r="D1297" s="53" t="s">
        <v>4327</v>
      </c>
      <c r="E1297" s="54"/>
      <c r="F1297" s="52" t="str">
        <f>IF(INDEX(I.Performance.EndRange,227)="","",INDEX(I.Performance.EndRange,227))</f>
        <v/>
      </c>
      <c r="G1297" s="54"/>
      <c r="H1297" s="52" t="str">
        <f>IF(AND(I.Compliance.FulfilledPerformance&gt;0,I.Performance.RangeCount&gt;=227,F1297=""),"Incomplete","Complete")</f>
        <v>Complete</v>
      </c>
      <c r="I1297" s="55" t="s">
        <v>1495</v>
      </c>
    </row>
    <row r="1298" spans="2:9" ht="15" customHeight="1" x14ac:dyDescent="0.25">
      <c r="B1298" s="51" t="s">
        <v>125</v>
      </c>
      <c r="C1298" s="52">
        <v>228</v>
      </c>
      <c r="D1298" s="53" t="s">
        <v>4327</v>
      </c>
      <c r="E1298" s="54"/>
      <c r="F1298" s="52" t="str">
        <f>IF(INDEX(I.Performance.EndRange,228)="","",INDEX(I.Performance.EndRange,228))</f>
        <v/>
      </c>
      <c r="G1298" s="54"/>
      <c r="H1298" s="52" t="str">
        <f>IF(AND(I.Compliance.FulfilledPerformance&gt;0,I.Performance.RangeCount&gt;=228,F1298=""),"Incomplete","Complete")</f>
        <v>Complete</v>
      </c>
      <c r="I1298" s="55" t="s">
        <v>1496</v>
      </c>
    </row>
    <row r="1299" spans="2:9" ht="15" customHeight="1" x14ac:dyDescent="0.25">
      <c r="B1299" s="51" t="s">
        <v>125</v>
      </c>
      <c r="C1299" s="52">
        <v>229</v>
      </c>
      <c r="D1299" s="53" t="s">
        <v>4327</v>
      </c>
      <c r="E1299" s="54"/>
      <c r="F1299" s="52" t="str">
        <f>IF(INDEX(I.Performance.EndRange,229)="","",INDEX(I.Performance.EndRange,229))</f>
        <v/>
      </c>
      <c r="G1299" s="54"/>
      <c r="H1299" s="52" t="str">
        <f>IF(AND(I.Compliance.FulfilledPerformance&gt;0,I.Performance.RangeCount&gt;=229,F1299=""),"Incomplete","Complete")</f>
        <v>Complete</v>
      </c>
      <c r="I1299" s="55" t="s">
        <v>1497</v>
      </c>
    </row>
    <row r="1300" spans="2:9" ht="15" customHeight="1" x14ac:dyDescent="0.25">
      <c r="B1300" s="51" t="s">
        <v>125</v>
      </c>
      <c r="C1300" s="52">
        <v>230</v>
      </c>
      <c r="D1300" s="53" t="s">
        <v>4327</v>
      </c>
      <c r="E1300" s="54"/>
      <c r="F1300" s="52" t="str">
        <f>IF(INDEX(I.Performance.EndRange,230)="","",INDEX(I.Performance.EndRange,230))</f>
        <v/>
      </c>
      <c r="G1300" s="54"/>
      <c r="H1300" s="52" t="str">
        <f>IF(AND(I.Compliance.FulfilledPerformance&gt;0,I.Performance.RangeCount&gt;=230,F1300=""),"Incomplete","Complete")</f>
        <v>Complete</v>
      </c>
      <c r="I1300" s="55" t="s">
        <v>1498</v>
      </c>
    </row>
    <row r="1301" spans="2:9" ht="15" customHeight="1" x14ac:dyDescent="0.25">
      <c r="B1301" s="51" t="s">
        <v>125</v>
      </c>
      <c r="C1301" s="52">
        <v>231</v>
      </c>
      <c r="D1301" s="53" t="s">
        <v>4327</v>
      </c>
      <c r="E1301" s="54"/>
      <c r="F1301" s="52" t="str">
        <f>IF(INDEX(I.Performance.EndRange,231)="","",INDEX(I.Performance.EndRange,231))</f>
        <v/>
      </c>
      <c r="G1301" s="54"/>
      <c r="H1301" s="52" t="str">
        <f>IF(AND(I.Compliance.FulfilledPerformance&gt;0,I.Performance.RangeCount&gt;=231,F1301=""),"Incomplete","Complete")</f>
        <v>Complete</v>
      </c>
      <c r="I1301" s="55" t="s">
        <v>1499</v>
      </c>
    </row>
    <row r="1302" spans="2:9" ht="15" customHeight="1" x14ac:dyDescent="0.25">
      <c r="B1302" s="51" t="s">
        <v>125</v>
      </c>
      <c r="C1302" s="52">
        <v>232</v>
      </c>
      <c r="D1302" s="53" t="s">
        <v>4327</v>
      </c>
      <c r="E1302" s="54"/>
      <c r="F1302" s="52" t="str">
        <f>IF(INDEX(I.Performance.EndRange,232)="","",INDEX(I.Performance.EndRange,232))</f>
        <v/>
      </c>
      <c r="G1302" s="54"/>
      <c r="H1302" s="52" t="str">
        <f>IF(AND(I.Compliance.FulfilledPerformance&gt;0,I.Performance.RangeCount&gt;=232,F1302=""),"Incomplete","Complete")</f>
        <v>Complete</v>
      </c>
      <c r="I1302" s="55" t="s">
        <v>1500</v>
      </c>
    </row>
    <row r="1303" spans="2:9" ht="15" customHeight="1" x14ac:dyDescent="0.25">
      <c r="B1303" s="51" t="s">
        <v>125</v>
      </c>
      <c r="C1303" s="52">
        <v>233</v>
      </c>
      <c r="D1303" s="53" t="s">
        <v>4327</v>
      </c>
      <c r="E1303" s="54"/>
      <c r="F1303" s="52" t="str">
        <f>IF(INDEX(I.Performance.EndRange,233)="","",INDEX(I.Performance.EndRange,233))</f>
        <v/>
      </c>
      <c r="G1303" s="54"/>
      <c r="H1303" s="52" t="str">
        <f>IF(AND(I.Compliance.FulfilledPerformance&gt;0,I.Performance.RangeCount&gt;=233,F1303=""),"Incomplete","Complete")</f>
        <v>Complete</v>
      </c>
      <c r="I1303" s="55" t="s">
        <v>1501</v>
      </c>
    </row>
    <row r="1304" spans="2:9" ht="15" customHeight="1" x14ac:dyDescent="0.25">
      <c r="B1304" s="51" t="s">
        <v>125</v>
      </c>
      <c r="C1304" s="52">
        <v>234</v>
      </c>
      <c r="D1304" s="53" t="s">
        <v>4327</v>
      </c>
      <c r="E1304" s="54"/>
      <c r="F1304" s="52" t="str">
        <f>IF(INDEX(I.Performance.EndRange,234)="","",INDEX(I.Performance.EndRange,234))</f>
        <v/>
      </c>
      <c r="G1304" s="54"/>
      <c r="H1304" s="52" t="str">
        <f>IF(AND(I.Compliance.FulfilledPerformance&gt;0,I.Performance.RangeCount&gt;=234,F1304=""),"Incomplete","Complete")</f>
        <v>Complete</v>
      </c>
      <c r="I1304" s="55" t="s">
        <v>1502</v>
      </c>
    </row>
    <row r="1305" spans="2:9" ht="15" customHeight="1" x14ac:dyDescent="0.25">
      <c r="B1305" s="51" t="s">
        <v>125</v>
      </c>
      <c r="C1305" s="52">
        <v>235</v>
      </c>
      <c r="D1305" s="53" t="s">
        <v>4327</v>
      </c>
      <c r="E1305" s="54"/>
      <c r="F1305" s="52" t="str">
        <f>IF(INDEX(I.Performance.EndRange,235)="","",INDEX(I.Performance.EndRange,235))</f>
        <v/>
      </c>
      <c r="G1305" s="54"/>
      <c r="H1305" s="52" t="str">
        <f>IF(AND(I.Compliance.FulfilledPerformance&gt;0,I.Performance.RangeCount&gt;=235,F1305=""),"Incomplete","Complete")</f>
        <v>Complete</v>
      </c>
      <c r="I1305" s="55" t="s">
        <v>1503</v>
      </c>
    </row>
    <row r="1306" spans="2:9" ht="15" customHeight="1" x14ac:dyDescent="0.25">
      <c r="B1306" s="51" t="s">
        <v>125</v>
      </c>
      <c r="C1306" s="52">
        <v>236</v>
      </c>
      <c r="D1306" s="53" t="s">
        <v>4327</v>
      </c>
      <c r="E1306" s="54"/>
      <c r="F1306" s="52" t="str">
        <f>IF(INDEX(I.Performance.EndRange,236)="","",INDEX(I.Performance.EndRange,236))</f>
        <v/>
      </c>
      <c r="G1306" s="54"/>
      <c r="H1306" s="52" t="str">
        <f>IF(AND(I.Compliance.FulfilledPerformance&gt;0,I.Performance.RangeCount&gt;=236,F1306=""),"Incomplete","Complete")</f>
        <v>Complete</v>
      </c>
      <c r="I1306" s="55" t="s">
        <v>1504</v>
      </c>
    </row>
    <row r="1307" spans="2:9" ht="15" customHeight="1" x14ac:dyDescent="0.25">
      <c r="B1307" s="51" t="s">
        <v>125</v>
      </c>
      <c r="C1307" s="52">
        <v>237</v>
      </c>
      <c r="D1307" s="53" t="s">
        <v>4327</v>
      </c>
      <c r="E1307" s="54"/>
      <c r="F1307" s="52" t="str">
        <f>IF(INDEX(I.Performance.EndRange,237)="","",INDEX(I.Performance.EndRange,237))</f>
        <v/>
      </c>
      <c r="G1307" s="54"/>
      <c r="H1307" s="52" t="str">
        <f>IF(AND(I.Compliance.FulfilledPerformance&gt;0,I.Performance.RangeCount&gt;=237,F1307=""),"Incomplete","Complete")</f>
        <v>Complete</v>
      </c>
      <c r="I1307" s="55" t="s">
        <v>1505</v>
      </c>
    </row>
    <row r="1308" spans="2:9" ht="15" customHeight="1" x14ac:dyDescent="0.25">
      <c r="B1308" s="51" t="s">
        <v>125</v>
      </c>
      <c r="C1308" s="52">
        <v>238</v>
      </c>
      <c r="D1308" s="53" t="s">
        <v>4327</v>
      </c>
      <c r="E1308" s="54"/>
      <c r="F1308" s="52" t="str">
        <f>IF(INDEX(I.Performance.EndRange,238)="","",INDEX(I.Performance.EndRange,238))</f>
        <v/>
      </c>
      <c r="G1308" s="54"/>
      <c r="H1308" s="52" t="str">
        <f>IF(AND(I.Compliance.FulfilledPerformance&gt;0,I.Performance.RangeCount&gt;=238,F1308=""),"Incomplete","Complete")</f>
        <v>Complete</v>
      </c>
      <c r="I1308" s="55" t="s">
        <v>1506</v>
      </c>
    </row>
    <row r="1309" spans="2:9" ht="15" customHeight="1" x14ac:dyDescent="0.25">
      <c r="B1309" s="51" t="s">
        <v>125</v>
      </c>
      <c r="C1309" s="52">
        <v>239</v>
      </c>
      <c r="D1309" s="53" t="s">
        <v>4327</v>
      </c>
      <c r="E1309" s="54"/>
      <c r="F1309" s="52" t="str">
        <f>IF(INDEX(I.Performance.EndRange,239)="","",INDEX(I.Performance.EndRange,239))</f>
        <v/>
      </c>
      <c r="G1309" s="54"/>
      <c r="H1309" s="52" t="str">
        <f>IF(AND(I.Compliance.FulfilledPerformance&gt;0,I.Performance.RangeCount&gt;=239,F1309=""),"Incomplete","Complete")</f>
        <v>Complete</v>
      </c>
      <c r="I1309" s="55" t="s">
        <v>1507</v>
      </c>
    </row>
    <row r="1310" spans="2:9" ht="15" customHeight="1" x14ac:dyDescent="0.25">
      <c r="B1310" s="51" t="s">
        <v>125</v>
      </c>
      <c r="C1310" s="52">
        <v>240</v>
      </c>
      <c r="D1310" s="53" t="s">
        <v>4327</v>
      </c>
      <c r="E1310" s="54"/>
      <c r="F1310" s="52" t="str">
        <f>IF(INDEX(I.Performance.EndRange,240)="","",INDEX(I.Performance.EndRange,240))</f>
        <v/>
      </c>
      <c r="G1310" s="54"/>
      <c r="H1310" s="52" t="str">
        <f>IF(AND(I.Compliance.FulfilledPerformance&gt;0,I.Performance.RangeCount&gt;=240,F1310=""),"Incomplete","Complete")</f>
        <v>Complete</v>
      </c>
      <c r="I1310" s="55" t="s">
        <v>1508</v>
      </c>
    </row>
    <row r="1311" spans="2:9" ht="15" customHeight="1" x14ac:dyDescent="0.25">
      <c r="B1311" s="51" t="s">
        <v>125</v>
      </c>
      <c r="C1311" s="52">
        <v>241</v>
      </c>
      <c r="D1311" s="53" t="s">
        <v>4327</v>
      </c>
      <c r="E1311" s="54"/>
      <c r="F1311" s="52" t="str">
        <f>IF(INDEX(I.Performance.EndRange,241)="","",INDEX(I.Performance.EndRange,241))</f>
        <v/>
      </c>
      <c r="G1311" s="54"/>
      <c r="H1311" s="52" t="str">
        <f>IF(AND(I.Compliance.FulfilledPerformance&gt;0,I.Performance.RangeCount&gt;=241,F1311=""),"Incomplete","Complete")</f>
        <v>Complete</v>
      </c>
      <c r="I1311" s="55" t="s">
        <v>1509</v>
      </c>
    </row>
    <row r="1312" spans="2:9" ht="15" customHeight="1" x14ac:dyDescent="0.25">
      <c r="B1312" s="51" t="s">
        <v>125</v>
      </c>
      <c r="C1312" s="52">
        <v>242</v>
      </c>
      <c r="D1312" s="53" t="s">
        <v>4327</v>
      </c>
      <c r="E1312" s="54"/>
      <c r="F1312" s="52" t="str">
        <f>IF(INDEX(I.Performance.EndRange,242)="","",INDEX(I.Performance.EndRange,242))</f>
        <v/>
      </c>
      <c r="G1312" s="54"/>
      <c r="H1312" s="52" t="str">
        <f>IF(AND(I.Compliance.FulfilledPerformance&gt;0,I.Performance.RangeCount&gt;=242,F1312=""),"Incomplete","Complete")</f>
        <v>Complete</v>
      </c>
      <c r="I1312" s="55" t="s">
        <v>1510</v>
      </c>
    </row>
    <row r="1313" spans="2:9" ht="15" customHeight="1" x14ac:dyDescent="0.25">
      <c r="B1313" s="51" t="s">
        <v>125</v>
      </c>
      <c r="C1313" s="52">
        <v>243</v>
      </c>
      <c r="D1313" s="53" t="s">
        <v>4327</v>
      </c>
      <c r="E1313" s="54"/>
      <c r="F1313" s="52" t="str">
        <f>IF(INDEX(I.Performance.EndRange,243)="","",INDEX(I.Performance.EndRange,243))</f>
        <v/>
      </c>
      <c r="G1313" s="54"/>
      <c r="H1313" s="52" t="str">
        <f>IF(AND(I.Compliance.FulfilledPerformance&gt;0,I.Performance.RangeCount&gt;=243,F1313=""),"Incomplete","Complete")</f>
        <v>Complete</v>
      </c>
      <c r="I1313" s="55" t="s">
        <v>1511</v>
      </c>
    </row>
    <row r="1314" spans="2:9" ht="15" customHeight="1" x14ac:dyDescent="0.25">
      <c r="B1314" s="51" t="s">
        <v>125</v>
      </c>
      <c r="C1314" s="52">
        <v>244</v>
      </c>
      <c r="D1314" s="53" t="s">
        <v>4327</v>
      </c>
      <c r="E1314" s="54"/>
      <c r="F1314" s="52" t="str">
        <f>IF(INDEX(I.Performance.EndRange,244)="","",INDEX(I.Performance.EndRange,244))</f>
        <v/>
      </c>
      <c r="G1314" s="54"/>
      <c r="H1314" s="52" t="str">
        <f>IF(AND(I.Compliance.FulfilledPerformance&gt;0,I.Performance.RangeCount&gt;=244,F1314=""),"Incomplete","Complete")</f>
        <v>Complete</v>
      </c>
      <c r="I1314" s="55" t="s">
        <v>1512</v>
      </c>
    </row>
    <row r="1315" spans="2:9" ht="15" customHeight="1" x14ac:dyDescent="0.25">
      <c r="B1315" s="51" t="s">
        <v>125</v>
      </c>
      <c r="C1315" s="52">
        <v>245</v>
      </c>
      <c r="D1315" s="53" t="s">
        <v>4327</v>
      </c>
      <c r="E1315" s="54"/>
      <c r="F1315" s="52" t="str">
        <f>IF(INDEX(I.Performance.EndRange,245)="","",INDEX(I.Performance.EndRange,245))</f>
        <v/>
      </c>
      <c r="G1315" s="54"/>
      <c r="H1315" s="52" t="str">
        <f>IF(AND(I.Compliance.FulfilledPerformance&gt;0,I.Performance.RangeCount&gt;=245,F1315=""),"Incomplete","Complete")</f>
        <v>Complete</v>
      </c>
      <c r="I1315" s="55" t="s">
        <v>1513</v>
      </c>
    </row>
    <row r="1316" spans="2:9" ht="15" customHeight="1" x14ac:dyDescent="0.25">
      <c r="B1316" s="51" t="s">
        <v>125</v>
      </c>
      <c r="C1316" s="52">
        <v>246</v>
      </c>
      <c r="D1316" s="53" t="s">
        <v>4327</v>
      </c>
      <c r="E1316" s="54"/>
      <c r="F1316" s="52" t="str">
        <f>IF(INDEX(I.Performance.EndRange,246)="","",INDEX(I.Performance.EndRange,246))</f>
        <v/>
      </c>
      <c r="G1316" s="54"/>
      <c r="H1316" s="52" t="str">
        <f>IF(AND(I.Compliance.FulfilledPerformance&gt;0,I.Performance.RangeCount&gt;=246,F1316=""),"Incomplete","Complete")</f>
        <v>Complete</v>
      </c>
      <c r="I1316" s="55" t="s">
        <v>1514</v>
      </c>
    </row>
    <row r="1317" spans="2:9" ht="15" customHeight="1" x14ac:dyDescent="0.25">
      <c r="B1317" s="51" t="s">
        <v>125</v>
      </c>
      <c r="C1317" s="52">
        <v>247</v>
      </c>
      <c r="D1317" s="53" t="s">
        <v>4327</v>
      </c>
      <c r="E1317" s="54"/>
      <c r="F1317" s="52" t="str">
        <f>IF(INDEX(I.Performance.EndRange,247)="","",INDEX(I.Performance.EndRange,247))</f>
        <v/>
      </c>
      <c r="G1317" s="54"/>
      <c r="H1317" s="52" t="str">
        <f>IF(AND(I.Compliance.FulfilledPerformance&gt;0,I.Performance.RangeCount&gt;=247,F1317=""),"Incomplete","Complete")</f>
        <v>Complete</v>
      </c>
      <c r="I1317" s="55" t="s">
        <v>1515</v>
      </c>
    </row>
    <row r="1318" spans="2:9" ht="15" customHeight="1" x14ac:dyDescent="0.25">
      <c r="B1318" s="51" t="s">
        <v>125</v>
      </c>
      <c r="C1318" s="52">
        <v>248</v>
      </c>
      <c r="D1318" s="53" t="s">
        <v>4327</v>
      </c>
      <c r="E1318" s="54"/>
      <c r="F1318" s="52" t="str">
        <f>IF(INDEX(I.Performance.EndRange,248)="","",INDEX(I.Performance.EndRange,248))</f>
        <v/>
      </c>
      <c r="G1318" s="54"/>
      <c r="H1318" s="52" t="str">
        <f>IF(AND(I.Compliance.FulfilledPerformance&gt;0,I.Performance.RangeCount&gt;=248,F1318=""),"Incomplete","Complete")</f>
        <v>Complete</v>
      </c>
      <c r="I1318" s="55" t="s">
        <v>1516</v>
      </c>
    </row>
    <row r="1319" spans="2:9" ht="15" customHeight="1" x14ac:dyDescent="0.25">
      <c r="B1319" s="51" t="s">
        <v>125</v>
      </c>
      <c r="C1319" s="52">
        <v>249</v>
      </c>
      <c r="D1319" s="53" t="s">
        <v>4327</v>
      </c>
      <c r="E1319" s="54"/>
      <c r="F1319" s="52" t="str">
        <f>IF(INDEX(I.Performance.EndRange,249)="","",INDEX(I.Performance.EndRange,249))</f>
        <v/>
      </c>
      <c r="G1319" s="54"/>
      <c r="H1319" s="52" t="str">
        <f>IF(AND(I.Compliance.FulfilledPerformance&gt;0,I.Performance.RangeCount&gt;=249,F1319=""),"Incomplete","Complete")</f>
        <v>Complete</v>
      </c>
      <c r="I1319" s="55" t="s">
        <v>1517</v>
      </c>
    </row>
    <row r="1320" spans="2:9" ht="15" customHeight="1" x14ac:dyDescent="0.25">
      <c r="B1320" s="51" t="s">
        <v>125</v>
      </c>
      <c r="C1320" s="52">
        <v>250</v>
      </c>
      <c r="D1320" s="53" t="s">
        <v>4327</v>
      </c>
      <c r="E1320" s="54"/>
      <c r="F1320" s="52" t="str">
        <f>IF(INDEX(I.Performance.EndRange,250)="","",INDEX(I.Performance.EndRange,250))</f>
        <v/>
      </c>
      <c r="G1320" s="54"/>
      <c r="H1320" s="52" t="str">
        <f>IF(AND(I.Compliance.FulfilledPerformance&gt;0,I.Performance.RangeCount&gt;=250,F1320=""),"Incomplete","Complete")</f>
        <v>Complete</v>
      </c>
      <c r="I1320" s="55" t="s">
        <v>1518</v>
      </c>
    </row>
    <row r="1321" spans="2:9" ht="15" customHeight="1" x14ac:dyDescent="0.25">
      <c r="B1321" s="51" t="s">
        <v>125</v>
      </c>
      <c r="C1321" s="52">
        <v>251</v>
      </c>
      <c r="D1321" s="53" t="s">
        <v>4327</v>
      </c>
      <c r="E1321" s="54"/>
      <c r="F1321" s="52" t="str">
        <f>IF(INDEX(I.Performance.EndRange,251)="","",INDEX(I.Performance.EndRange,251))</f>
        <v/>
      </c>
      <c r="G1321" s="54"/>
      <c r="H1321" s="52" t="str">
        <f>IF(AND(I.Compliance.FulfilledPerformance&gt;0,I.Performance.RangeCount&gt;=251,F1321=""),"Incomplete","Complete")</f>
        <v>Complete</v>
      </c>
      <c r="I1321" s="55" t="s">
        <v>1519</v>
      </c>
    </row>
    <row r="1322" spans="2:9" ht="15" customHeight="1" x14ac:dyDescent="0.25">
      <c r="B1322" s="51" t="s">
        <v>125</v>
      </c>
      <c r="C1322" s="52">
        <v>252</v>
      </c>
      <c r="D1322" s="53" t="s">
        <v>4327</v>
      </c>
      <c r="E1322" s="54"/>
      <c r="F1322" s="52" t="str">
        <f>IF(INDEX(I.Performance.EndRange,252)="","",INDEX(I.Performance.EndRange,252))</f>
        <v/>
      </c>
      <c r="G1322" s="54"/>
      <c r="H1322" s="52" t="str">
        <f>IF(AND(I.Compliance.FulfilledPerformance&gt;0,I.Performance.RangeCount&gt;=252,F1322=""),"Incomplete","Complete")</f>
        <v>Complete</v>
      </c>
      <c r="I1322" s="55" t="s">
        <v>1520</v>
      </c>
    </row>
    <row r="1323" spans="2:9" ht="15" customHeight="1" x14ac:dyDescent="0.25">
      <c r="B1323" s="51" t="s">
        <v>125</v>
      </c>
      <c r="C1323" s="52">
        <v>253</v>
      </c>
      <c r="D1323" s="53" t="s">
        <v>4327</v>
      </c>
      <c r="E1323" s="54"/>
      <c r="F1323" s="52" t="str">
        <f>IF(INDEX(I.Performance.EndRange,253)="","",INDEX(I.Performance.EndRange,253))</f>
        <v/>
      </c>
      <c r="G1323" s="54"/>
      <c r="H1323" s="52" t="str">
        <f>IF(AND(I.Compliance.FulfilledPerformance&gt;0,I.Performance.RangeCount&gt;=253,F1323=""),"Incomplete","Complete")</f>
        <v>Complete</v>
      </c>
      <c r="I1323" s="55" t="s">
        <v>1521</v>
      </c>
    </row>
    <row r="1324" spans="2:9" ht="15" customHeight="1" x14ac:dyDescent="0.25">
      <c r="B1324" s="51" t="s">
        <v>125</v>
      </c>
      <c r="C1324" s="52">
        <v>254</v>
      </c>
      <c r="D1324" s="53" t="s">
        <v>4327</v>
      </c>
      <c r="E1324" s="54"/>
      <c r="F1324" s="52" t="str">
        <f>IF(INDEX(I.Performance.EndRange,254)="","",INDEX(I.Performance.EndRange,254))</f>
        <v/>
      </c>
      <c r="G1324" s="54"/>
      <c r="H1324" s="52" t="str">
        <f>IF(AND(I.Compliance.FulfilledPerformance&gt;0,I.Performance.RangeCount&gt;=254,F1324=""),"Incomplete","Complete")</f>
        <v>Complete</v>
      </c>
      <c r="I1324" s="55" t="s">
        <v>1522</v>
      </c>
    </row>
    <row r="1325" spans="2:9" ht="15" customHeight="1" x14ac:dyDescent="0.25">
      <c r="B1325" s="51" t="s">
        <v>125</v>
      </c>
      <c r="C1325" s="52">
        <v>255</v>
      </c>
      <c r="D1325" s="53" t="s">
        <v>4327</v>
      </c>
      <c r="E1325" s="54"/>
      <c r="F1325" s="52" t="str">
        <f>IF(INDEX(I.Performance.EndRange,255)="","",INDEX(I.Performance.EndRange,255))</f>
        <v/>
      </c>
      <c r="G1325" s="54"/>
      <c r="H1325" s="52" t="str">
        <f>IF(AND(I.Compliance.FulfilledPerformance&gt;0,I.Performance.RangeCount&gt;=255,F1325=""),"Incomplete","Complete")</f>
        <v>Complete</v>
      </c>
      <c r="I1325" s="55" t="s">
        <v>1523</v>
      </c>
    </row>
    <row r="1326" spans="2:9" ht="15" customHeight="1" x14ac:dyDescent="0.25">
      <c r="B1326" s="51" t="s">
        <v>125</v>
      </c>
      <c r="C1326" s="52">
        <v>256</v>
      </c>
      <c r="D1326" s="53" t="s">
        <v>4327</v>
      </c>
      <c r="E1326" s="54"/>
      <c r="F1326" s="52" t="str">
        <f>IF(INDEX(I.Performance.EndRange,256)="","",INDEX(I.Performance.EndRange,256))</f>
        <v/>
      </c>
      <c r="G1326" s="54"/>
      <c r="H1326" s="52" t="str">
        <f>IF(AND(I.Compliance.FulfilledPerformance&gt;0,I.Performance.RangeCount&gt;=256,F1326=""),"Incomplete","Complete")</f>
        <v>Complete</v>
      </c>
      <c r="I1326" s="55" t="s">
        <v>1524</v>
      </c>
    </row>
    <row r="1327" spans="2:9" ht="15" customHeight="1" x14ac:dyDescent="0.25">
      <c r="B1327" s="51" t="s">
        <v>125</v>
      </c>
      <c r="C1327" s="52">
        <v>257</v>
      </c>
      <c r="D1327" s="53" t="s">
        <v>4327</v>
      </c>
      <c r="E1327" s="54"/>
      <c r="F1327" s="52" t="str">
        <f>IF(INDEX(I.Performance.EndRange,257)="","",INDEX(I.Performance.EndRange,257))</f>
        <v/>
      </c>
      <c r="G1327" s="54"/>
      <c r="H1327" s="52" t="str">
        <f>IF(AND(I.Compliance.FulfilledPerformance&gt;0,I.Performance.RangeCount&gt;=257,F1327=""),"Incomplete","Complete")</f>
        <v>Complete</v>
      </c>
      <c r="I1327" s="55" t="s">
        <v>1525</v>
      </c>
    </row>
    <row r="1328" spans="2:9" ht="15" customHeight="1" x14ac:dyDescent="0.25">
      <c r="B1328" s="51" t="s">
        <v>125</v>
      </c>
      <c r="C1328" s="52">
        <v>258</v>
      </c>
      <c r="D1328" s="53" t="s">
        <v>4327</v>
      </c>
      <c r="E1328" s="54"/>
      <c r="F1328" s="52" t="str">
        <f>IF(INDEX(I.Performance.EndRange,258)="","",INDEX(I.Performance.EndRange,258))</f>
        <v/>
      </c>
      <c r="G1328" s="54"/>
      <c r="H1328" s="52" t="str">
        <f>IF(AND(I.Compliance.FulfilledPerformance&gt;0,I.Performance.RangeCount&gt;=258,F1328=""),"Incomplete","Complete")</f>
        <v>Complete</v>
      </c>
      <c r="I1328" s="55" t="s">
        <v>1526</v>
      </c>
    </row>
    <row r="1329" spans="2:9" ht="15" customHeight="1" x14ac:dyDescent="0.25">
      <c r="B1329" s="51" t="s">
        <v>125</v>
      </c>
      <c r="C1329" s="52">
        <v>259</v>
      </c>
      <c r="D1329" s="53" t="s">
        <v>4327</v>
      </c>
      <c r="E1329" s="54"/>
      <c r="F1329" s="52" t="str">
        <f>IF(INDEX(I.Performance.EndRange,259)="","",INDEX(I.Performance.EndRange,259))</f>
        <v/>
      </c>
      <c r="G1329" s="54"/>
      <c r="H1329" s="52" t="str">
        <f>IF(AND(I.Compliance.FulfilledPerformance&gt;0,I.Performance.RangeCount&gt;=259,F1329=""),"Incomplete","Complete")</f>
        <v>Complete</v>
      </c>
      <c r="I1329" s="55" t="s">
        <v>1527</v>
      </c>
    </row>
    <row r="1330" spans="2:9" ht="15" customHeight="1" x14ac:dyDescent="0.25">
      <c r="B1330" s="51" t="s">
        <v>125</v>
      </c>
      <c r="C1330" s="52">
        <v>260</v>
      </c>
      <c r="D1330" s="53" t="s">
        <v>4327</v>
      </c>
      <c r="E1330" s="54"/>
      <c r="F1330" s="52" t="str">
        <f>IF(INDEX(I.Performance.EndRange,260)="","",INDEX(I.Performance.EndRange,260))</f>
        <v/>
      </c>
      <c r="G1330" s="54"/>
      <c r="H1330" s="52" t="str">
        <f>IF(AND(I.Compliance.FulfilledPerformance&gt;0,I.Performance.RangeCount&gt;=260,F1330=""),"Incomplete","Complete")</f>
        <v>Complete</v>
      </c>
      <c r="I1330" s="55" t="s">
        <v>1528</v>
      </c>
    </row>
    <row r="1331" spans="2:9" ht="15" customHeight="1" x14ac:dyDescent="0.25">
      <c r="B1331" s="51" t="s">
        <v>125</v>
      </c>
      <c r="C1331" s="52">
        <v>261</v>
      </c>
      <c r="D1331" s="53" t="s">
        <v>4327</v>
      </c>
      <c r="E1331" s="54"/>
      <c r="F1331" s="52" t="str">
        <f>IF(INDEX(I.Performance.EndRange,261)="","",INDEX(I.Performance.EndRange,261))</f>
        <v/>
      </c>
      <c r="G1331" s="54"/>
      <c r="H1331" s="52" t="str">
        <f>IF(AND(I.Compliance.FulfilledPerformance&gt;0,I.Performance.RangeCount&gt;=261,F1331=""),"Incomplete","Complete")</f>
        <v>Complete</v>
      </c>
      <c r="I1331" s="55" t="s">
        <v>1529</v>
      </c>
    </row>
    <row r="1332" spans="2:9" ht="15" customHeight="1" x14ac:dyDescent="0.25">
      <c r="B1332" s="51" t="s">
        <v>125</v>
      </c>
      <c r="C1332" s="52">
        <v>262</v>
      </c>
      <c r="D1332" s="53" t="s">
        <v>4327</v>
      </c>
      <c r="E1332" s="54"/>
      <c r="F1332" s="52" t="str">
        <f>IF(INDEX(I.Performance.EndRange,262)="","",INDEX(I.Performance.EndRange,262))</f>
        <v/>
      </c>
      <c r="G1332" s="54"/>
      <c r="H1332" s="52" t="str">
        <f>IF(AND(I.Compliance.FulfilledPerformance&gt;0,I.Performance.RangeCount&gt;=262,F1332=""),"Incomplete","Complete")</f>
        <v>Complete</v>
      </c>
      <c r="I1332" s="55" t="s">
        <v>1530</v>
      </c>
    </row>
    <row r="1333" spans="2:9" ht="15" customHeight="1" x14ac:dyDescent="0.25">
      <c r="B1333" s="51" t="s">
        <v>125</v>
      </c>
      <c r="C1333" s="52">
        <v>263</v>
      </c>
      <c r="D1333" s="53" t="s">
        <v>4327</v>
      </c>
      <c r="E1333" s="54"/>
      <c r="F1333" s="52" t="str">
        <f>IF(INDEX(I.Performance.EndRange,263)="","",INDEX(I.Performance.EndRange,263))</f>
        <v/>
      </c>
      <c r="G1333" s="54"/>
      <c r="H1333" s="52" t="str">
        <f>IF(AND(I.Compliance.FulfilledPerformance&gt;0,I.Performance.RangeCount&gt;=263,F1333=""),"Incomplete","Complete")</f>
        <v>Complete</v>
      </c>
      <c r="I1333" s="55" t="s">
        <v>1531</v>
      </c>
    </row>
    <row r="1334" spans="2:9" ht="15" customHeight="1" x14ac:dyDescent="0.25">
      <c r="B1334" s="51" t="s">
        <v>125</v>
      </c>
      <c r="C1334" s="52">
        <v>264</v>
      </c>
      <c r="D1334" s="53" t="s">
        <v>4327</v>
      </c>
      <c r="E1334" s="54"/>
      <c r="F1334" s="52" t="str">
        <f>IF(INDEX(I.Performance.EndRange,264)="","",INDEX(I.Performance.EndRange,264))</f>
        <v/>
      </c>
      <c r="G1334" s="54"/>
      <c r="H1334" s="52" t="str">
        <f>IF(AND(I.Compliance.FulfilledPerformance&gt;0,I.Performance.RangeCount&gt;=264,F1334=""),"Incomplete","Complete")</f>
        <v>Complete</v>
      </c>
      <c r="I1334" s="55" t="s">
        <v>1532</v>
      </c>
    </row>
    <row r="1335" spans="2:9" ht="15" customHeight="1" x14ac:dyDescent="0.25">
      <c r="B1335" s="51" t="s">
        <v>125</v>
      </c>
      <c r="C1335" s="52">
        <v>265</v>
      </c>
      <c r="D1335" s="53" t="s">
        <v>4327</v>
      </c>
      <c r="E1335" s="54"/>
      <c r="F1335" s="52" t="str">
        <f>IF(INDEX(I.Performance.EndRange,265)="","",INDEX(I.Performance.EndRange,265))</f>
        <v/>
      </c>
      <c r="G1335" s="54"/>
      <c r="H1335" s="52" t="str">
        <f>IF(AND(I.Compliance.FulfilledPerformance&gt;0,I.Performance.RangeCount&gt;=265,F1335=""),"Incomplete","Complete")</f>
        <v>Complete</v>
      </c>
      <c r="I1335" s="55" t="s">
        <v>1533</v>
      </c>
    </row>
    <row r="1336" spans="2:9" ht="15" customHeight="1" x14ac:dyDescent="0.25">
      <c r="B1336" s="51" t="s">
        <v>125</v>
      </c>
      <c r="C1336" s="52">
        <v>266</v>
      </c>
      <c r="D1336" s="53" t="s">
        <v>4327</v>
      </c>
      <c r="E1336" s="54"/>
      <c r="F1336" s="52" t="str">
        <f>IF(INDEX(I.Performance.EndRange,266)="","",INDEX(I.Performance.EndRange,266))</f>
        <v/>
      </c>
      <c r="G1336" s="54"/>
      <c r="H1336" s="52" t="str">
        <f>IF(AND(I.Compliance.FulfilledPerformance&gt;0,I.Performance.RangeCount&gt;=266,F1336=""),"Incomplete","Complete")</f>
        <v>Complete</v>
      </c>
      <c r="I1336" s="55" t="s">
        <v>1534</v>
      </c>
    </row>
    <row r="1337" spans="2:9" ht="15" customHeight="1" x14ac:dyDescent="0.25">
      <c r="B1337" s="51" t="s">
        <v>125</v>
      </c>
      <c r="C1337" s="52">
        <v>267</v>
      </c>
      <c r="D1337" s="53" t="s">
        <v>4327</v>
      </c>
      <c r="E1337" s="54"/>
      <c r="F1337" s="52" t="str">
        <f>IF(INDEX(I.Performance.EndRange,267)="","",INDEX(I.Performance.EndRange,267))</f>
        <v/>
      </c>
      <c r="G1337" s="54"/>
      <c r="H1337" s="52" t="str">
        <f>IF(AND(I.Compliance.FulfilledPerformance&gt;0,I.Performance.RangeCount&gt;=267,F1337=""),"Incomplete","Complete")</f>
        <v>Complete</v>
      </c>
      <c r="I1337" s="55" t="s">
        <v>1535</v>
      </c>
    </row>
    <row r="1338" spans="2:9" ht="15" customHeight="1" x14ac:dyDescent="0.25">
      <c r="B1338" s="51" t="s">
        <v>125</v>
      </c>
      <c r="C1338" s="52">
        <v>268</v>
      </c>
      <c r="D1338" s="53" t="s">
        <v>4327</v>
      </c>
      <c r="E1338" s="54"/>
      <c r="F1338" s="52" t="str">
        <f>IF(INDEX(I.Performance.EndRange,268)="","",INDEX(I.Performance.EndRange,268))</f>
        <v/>
      </c>
      <c r="G1338" s="54"/>
      <c r="H1338" s="52" t="str">
        <f>IF(AND(I.Compliance.FulfilledPerformance&gt;0,I.Performance.RangeCount&gt;=268,F1338=""),"Incomplete","Complete")</f>
        <v>Complete</v>
      </c>
      <c r="I1338" s="55" t="s">
        <v>1536</v>
      </c>
    </row>
    <row r="1339" spans="2:9" ht="15" customHeight="1" x14ac:dyDescent="0.25">
      <c r="B1339" s="51" t="s">
        <v>125</v>
      </c>
      <c r="C1339" s="52">
        <v>269</v>
      </c>
      <c r="D1339" s="53" t="s">
        <v>4327</v>
      </c>
      <c r="E1339" s="54"/>
      <c r="F1339" s="52" t="str">
        <f>IF(INDEX(I.Performance.EndRange,269)="","",INDEX(I.Performance.EndRange,269))</f>
        <v/>
      </c>
      <c r="G1339" s="54"/>
      <c r="H1339" s="52" t="str">
        <f>IF(AND(I.Compliance.FulfilledPerformance&gt;0,I.Performance.RangeCount&gt;=269,F1339=""),"Incomplete","Complete")</f>
        <v>Complete</v>
      </c>
      <c r="I1339" s="55" t="s">
        <v>1537</v>
      </c>
    </row>
    <row r="1340" spans="2:9" ht="15" customHeight="1" x14ac:dyDescent="0.25">
      <c r="B1340" s="51" t="s">
        <v>125</v>
      </c>
      <c r="C1340" s="52">
        <v>270</v>
      </c>
      <c r="D1340" s="53" t="s">
        <v>4327</v>
      </c>
      <c r="E1340" s="54"/>
      <c r="F1340" s="52" t="str">
        <f>IF(INDEX(I.Performance.EndRange,270)="","",INDEX(I.Performance.EndRange,270))</f>
        <v/>
      </c>
      <c r="G1340" s="54"/>
      <c r="H1340" s="52" t="str">
        <f>IF(AND(I.Compliance.FulfilledPerformance&gt;0,I.Performance.RangeCount&gt;=270,F1340=""),"Incomplete","Complete")</f>
        <v>Complete</v>
      </c>
      <c r="I1340" s="55" t="s">
        <v>1538</v>
      </c>
    </row>
    <row r="1341" spans="2:9" ht="15" customHeight="1" x14ac:dyDescent="0.25">
      <c r="B1341" s="51" t="s">
        <v>125</v>
      </c>
      <c r="C1341" s="52">
        <v>271</v>
      </c>
      <c r="D1341" s="53" t="s">
        <v>4327</v>
      </c>
      <c r="E1341" s="54"/>
      <c r="F1341" s="52" t="str">
        <f>IF(INDEX(I.Performance.EndRange,271)="","",INDEX(I.Performance.EndRange,271))</f>
        <v/>
      </c>
      <c r="G1341" s="54"/>
      <c r="H1341" s="52" t="str">
        <f>IF(AND(I.Compliance.FulfilledPerformance&gt;0,I.Performance.RangeCount&gt;=271,F1341=""),"Incomplete","Complete")</f>
        <v>Complete</v>
      </c>
      <c r="I1341" s="55" t="s">
        <v>1539</v>
      </c>
    </row>
    <row r="1342" spans="2:9" ht="15" customHeight="1" x14ac:dyDescent="0.25">
      <c r="B1342" s="51" t="s">
        <v>125</v>
      </c>
      <c r="C1342" s="52">
        <v>272</v>
      </c>
      <c r="D1342" s="53" t="s">
        <v>4327</v>
      </c>
      <c r="E1342" s="54"/>
      <c r="F1342" s="52" t="str">
        <f>IF(INDEX(I.Performance.EndRange,272)="","",INDEX(I.Performance.EndRange,272))</f>
        <v/>
      </c>
      <c r="G1342" s="54"/>
      <c r="H1342" s="52" t="str">
        <f>IF(AND(I.Compliance.FulfilledPerformance&gt;0,I.Performance.RangeCount&gt;=272,F1342=""),"Incomplete","Complete")</f>
        <v>Complete</v>
      </c>
      <c r="I1342" s="55" t="s">
        <v>1540</v>
      </c>
    </row>
    <row r="1343" spans="2:9" ht="15" customHeight="1" x14ac:dyDescent="0.25">
      <c r="B1343" s="51" t="s">
        <v>125</v>
      </c>
      <c r="C1343" s="52">
        <v>273</v>
      </c>
      <c r="D1343" s="53" t="s">
        <v>4327</v>
      </c>
      <c r="E1343" s="54"/>
      <c r="F1343" s="52" t="str">
        <f>IF(INDEX(I.Performance.EndRange,273)="","",INDEX(I.Performance.EndRange,273))</f>
        <v/>
      </c>
      <c r="G1343" s="54"/>
      <c r="H1343" s="52" t="str">
        <f>IF(AND(I.Compliance.FulfilledPerformance&gt;0,I.Performance.RangeCount&gt;=273,F1343=""),"Incomplete","Complete")</f>
        <v>Complete</v>
      </c>
      <c r="I1343" s="55" t="s">
        <v>1541</v>
      </c>
    </row>
    <row r="1344" spans="2:9" ht="15" customHeight="1" x14ac:dyDescent="0.25">
      <c r="B1344" s="51" t="s">
        <v>125</v>
      </c>
      <c r="C1344" s="52">
        <v>274</v>
      </c>
      <c r="D1344" s="53" t="s">
        <v>4327</v>
      </c>
      <c r="E1344" s="54"/>
      <c r="F1344" s="52" t="str">
        <f>IF(INDEX(I.Performance.EndRange,274)="","",INDEX(I.Performance.EndRange,274))</f>
        <v/>
      </c>
      <c r="G1344" s="54"/>
      <c r="H1344" s="52" t="str">
        <f>IF(AND(I.Compliance.FulfilledPerformance&gt;0,I.Performance.RangeCount&gt;=274,F1344=""),"Incomplete","Complete")</f>
        <v>Complete</v>
      </c>
      <c r="I1344" s="55" t="s">
        <v>1542</v>
      </c>
    </row>
    <row r="1345" spans="2:9" ht="15" customHeight="1" x14ac:dyDescent="0.25">
      <c r="B1345" s="51" t="s">
        <v>125</v>
      </c>
      <c r="C1345" s="52">
        <v>275</v>
      </c>
      <c r="D1345" s="53" t="s">
        <v>4327</v>
      </c>
      <c r="E1345" s="54"/>
      <c r="F1345" s="52" t="str">
        <f>IF(INDEX(I.Performance.EndRange,275)="","",INDEX(I.Performance.EndRange,275))</f>
        <v/>
      </c>
      <c r="G1345" s="54"/>
      <c r="H1345" s="52" t="str">
        <f>IF(AND(I.Compliance.FulfilledPerformance&gt;0,I.Performance.RangeCount&gt;=275,F1345=""),"Incomplete","Complete")</f>
        <v>Complete</v>
      </c>
      <c r="I1345" s="55" t="s">
        <v>1543</v>
      </c>
    </row>
    <row r="1346" spans="2:9" ht="15" customHeight="1" x14ac:dyDescent="0.25">
      <c r="B1346" s="51" t="s">
        <v>125</v>
      </c>
      <c r="C1346" s="52">
        <v>276</v>
      </c>
      <c r="D1346" s="53" t="s">
        <v>4327</v>
      </c>
      <c r="E1346" s="54"/>
      <c r="F1346" s="52" t="str">
        <f>IF(INDEX(I.Performance.EndRange,276)="","",INDEX(I.Performance.EndRange,276))</f>
        <v/>
      </c>
      <c r="G1346" s="54"/>
      <c r="H1346" s="52" t="str">
        <f>IF(AND(I.Compliance.FulfilledPerformance&gt;0,I.Performance.RangeCount&gt;=276,F1346=""),"Incomplete","Complete")</f>
        <v>Complete</v>
      </c>
      <c r="I1346" s="55" t="s">
        <v>1544</v>
      </c>
    </row>
    <row r="1347" spans="2:9" ht="15" customHeight="1" x14ac:dyDescent="0.25">
      <c r="B1347" s="51" t="s">
        <v>125</v>
      </c>
      <c r="C1347" s="52">
        <v>277</v>
      </c>
      <c r="D1347" s="53" t="s">
        <v>4327</v>
      </c>
      <c r="E1347" s="54"/>
      <c r="F1347" s="52" t="str">
        <f>IF(INDEX(I.Performance.EndRange,277)="","",INDEX(I.Performance.EndRange,277))</f>
        <v/>
      </c>
      <c r="G1347" s="54"/>
      <c r="H1347" s="52" t="str">
        <f>IF(AND(I.Compliance.FulfilledPerformance&gt;0,I.Performance.RangeCount&gt;=277,F1347=""),"Incomplete","Complete")</f>
        <v>Complete</v>
      </c>
      <c r="I1347" s="55" t="s">
        <v>1545</v>
      </c>
    </row>
    <row r="1348" spans="2:9" ht="15" customHeight="1" x14ac:dyDescent="0.25">
      <c r="B1348" s="51" t="s">
        <v>125</v>
      </c>
      <c r="C1348" s="52">
        <v>278</v>
      </c>
      <c r="D1348" s="53" t="s">
        <v>4327</v>
      </c>
      <c r="E1348" s="54"/>
      <c r="F1348" s="52" t="str">
        <f>IF(INDEX(I.Performance.EndRange,278)="","",INDEX(I.Performance.EndRange,278))</f>
        <v/>
      </c>
      <c r="G1348" s="54"/>
      <c r="H1348" s="52" t="str">
        <f>IF(AND(I.Compliance.FulfilledPerformance&gt;0,I.Performance.RangeCount&gt;=278,F1348=""),"Incomplete","Complete")</f>
        <v>Complete</v>
      </c>
      <c r="I1348" s="55" t="s">
        <v>1546</v>
      </c>
    </row>
    <row r="1349" spans="2:9" ht="15" customHeight="1" x14ac:dyDescent="0.25">
      <c r="B1349" s="51" t="s">
        <v>125</v>
      </c>
      <c r="C1349" s="52">
        <v>279</v>
      </c>
      <c r="D1349" s="53" t="s">
        <v>4327</v>
      </c>
      <c r="E1349" s="54"/>
      <c r="F1349" s="52" t="str">
        <f>IF(INDEX(I.Performance.EndRange,279)="","",INDEX(I.Performance.EndRange,279))</f>
        <v/>
      </c>
      <c r="G1349" s="54"/>
      <c r="H1349" s="52" t="str">
        <f>IF(AND(I.Compliance.FulfilledPerformance&gt;0,I.Performance.RangeCount&gt;=279,F1349=""),"Incomplete","Complete")</f>
        <v>Complete</v>
      </c>
      <c r="I1349" s="55" t="s">
        <v>1547</v>
      </c>
    </row>
    <row r="1350" spans="2:9" ht="15" customHeight="1" x14ac:dyDescent="0.25">
      <c r="B1350" s="51" t="s">
        <v>125</v>
      </c>
      <c r="C1350" s="52">
        <v>280</v>
      </c>
      <c r="D1350" s="53" t="s">
        <v>4327</v>
      </c>
      <c r="E1350" s="54"/>
      <c r="F1350" s="52" t="str">
        <f>IF(INDEX(I.Performance.EndRange,280)="","",INDEX(I.Performance.EndRange,280))</f>
        <v/>
      </c>
      <c r="G1350" s="54"/>
      <c r="H1350" s="52" t="str">
        <f>IF(AND(I.Compliance.FulfilledPerformance&gt;0,I.Performance.RangeCount&gt;=280,F1350=""),"Incomplete","Complete")</f>
        <v>Complete</v>
      </c>
      <c r="I1350" s="55" t="s">
        <v>1548</v>
      </c>
    </row>
    <row r="1351" spans="2:9" ht="15" customHeight="1" x14ac:dyDescent="0.25">
      <c r="B1351" s="51" t="s">
        <v>125</v>
      </c>
      <c r="C1351" s="52">
        <v>281</v>
      </c>
      <c r="D1351" s="53" t="s">
        <v>4327</v>
      </c>
      <c r="E1351" s="54"/>
      <c r="F1351" s="52" t="str">
        <f>IF(INDEX(I.Performance.EndRange,281)="","",INDEX(I.Performance.EndRange,281))</f>
        <v/>
      </c>
      <c r="G1351" s="54"/>
      <c r="H1351" s="52" t="str">
        <f>IF(AND(I.Compliance.FulfilledPerformance&gt;0,I.Performance.RangeCount&gt;=281,F1351=""),"Incomplete","Complete")</f>
        <v>Complete</v>
      </c>
      <c r="I1351" s="55" t="s">
        <v>1549</v>
      </c>
    </row>
    <row r="1352" spans="2:9" ht="15" customHeight="1" x14ac:dyDescent="0.25">
      <c r="B1352" s="51" t="s">
        <v>125</v>
      </c>
      <c r="C1352" s="52">
        <v>282</v>
      </c>
      <c r="D1352" s="53" t="s">
        <v>4327</v>
      </c>
      <c r="E1352" s="54"/>
      <c r="F1352" s="52" t="str">
        <f>IF(INDEX(I.Performance.EndRange,282)="","",INDEX(I.Performance.EndRange,282))</f>
        <v/>
      </c>
      <c r="G1352" s="54"/>
      <c r="H1352" s="52" t="str">
        <f>IF(AND(I.Compliance.FulfilledPerformance&gt;0,I.Performance.RangeCount&gt;=282,F1352=""),"Incomplete","Complete")</f>
        <v>Complete</v>
      </c>
      <c r="I1352" s="55" t="s">
        <v>1550</v>
      </c>
    </row>
    <row r="1353" spans="2:9" ht="15" customHeight="1" x14ac:dyDescent="0.25">
      <c r="B1353" s="51" t="s">
        <v>125</v>
      </c>
      <c r="C1353" s="52">
        <v>283</v>
      </c>
      <c r="D1353" s="53" t="s">
        <v>4327</v>
      </c>
      <c r="E1353" s="54"/>
      <c r="F1353" s="52" t="str">
        <f>IF(INDEX(I.Performance.EndRange,283)="","",INDEX(I.Performance.EndRange,283))</f>
        <v/>
      </c>
      <c r="G1353" s="54"/>
      <c r="H1353" s="52" t="str">
        <f>IF(AND(I.Compliance.FulfilledPerformance&gt;0,I.Performance.RangeCount&gt;=283,F1353=""),"Incomplete","Complete")</f>
        <v>Complete</v>
      </c>
      <c r="I1353" s="55" t="s">
        <v>1551</v>
      </c>
    </row>
    <row r="1354" spans="2:9" ht="15" customHeight="1" x14ac:dyDescent="0.25">
      <c r="B1354" s="51" t="s">
        <v>125</v>
      </c>
      <c r="C1354" s="52">
        <v>284</v>
      </c>
      <c r="D1354" s="53" t="s">
        <v>4327</v>
      </c>
      <c r="E1354" s="54"/>
      <c r="F1354" s="52" t="str">
        <f>IF(INDEX(I.Performance.EndRange,284)="","",INDEX(I.Performance.EndRange,284))</f>
        <v/>
      </c>
      <c r="G1354" s="54"/>
      <c r="H1354" s="52" t="str">
        <f>IF(AND(I.Compliance.FulfilledPerformance&gt;0,I.Performance.RangeCount&gt;=284,F1354=""),"Incomplete","Complete")</f>
        <v>Complete</v>
      </c>
      <c r="I1354" s="55" t="s">
        <v>1552</v>
      </c>
    </row>
    <row r="1355" spans="2:9" ht="15" customHeight="1" x14ac:dyDescent="0.25">
      <c r="B1355" s="51" t="s">
        <v>125</v>
      </c>
      <c r="C1355" s="52">
        <v>285</v>
      </c>
      <c r="D1355" s="53" t="s">
        <v>4327</v>
      </c>
      <c r="E1355" s="54"/>
      <c r="F1355" s="52" t="str">
        <f>IF(INDEX(I.Performance.EndRange,285)="","",INDEX(I.Performance.EndRange,285))</f>
        <v/>
      </c>
      <c r="G1355" s="54"/>
      <c r="H1355" s="52" t="str">
        <f>IF(AND(I.Compliance.FulfilledPerformance&gt;0,I.Performance.RangeCount&gt;=285,F1355=""),"Incomplete","Complete")</f>
        <v>Complete</v>
      </c>
      <c r="I1355" s="55" t="s">
        <v>1553</v>
      </c>
    </row>
    <row r="1356" spans="2:9" ht="15" customHeight="1" x14ac:dyDescent="0.25">
      <c r="B1356" s="51" t="s">
        <v>125</v>
      </c>
      <c r="C1356" s="52">
        <v>286</v>
      </c>
      <c r="D1356" s="53" t="s">
        <v>4327</v>
      </c>
      <c r="E1356" s="54"/>
      <c r="F1356" s="52" t="str">
        <f>IF(INDEX(I.Performance.EndRange,286)="","",INDEX(I.Performance.EndRange,286))</f>
        <v/>
      </c>
      <c r="G1356" s="54"/>
      <c r="H1356" s="52" t="str">
        <f>IF(AND(I.Compliance.FulfilledPerformance&gt;0,I.Performance.RangeCount&gt;=286,F1356=""),"Incomplete","Complete")</f>
        <v>Complete</v>
      </c>
      <c r="I1356" s="55" t="s">
        <v>1554</v>
      </c>
    </row>
    <row r="1357" spans="2:9" ht="15" customHeight="1" x14ac:dyDescent="0.25">
      <c r="B1357" s="51" t="s">
        <v>125</v>
      </c>
      <c r="C1357" s="52">
        <v>287</v>
      </c>
      <c r="D1357" s="53" t="s">
        <v>4327</v>
      </c>
      <c r="E1357" s="54"/>
      <c r="F1357" s="52" t="str">
        <f>IF(INDEX(I.Performance.EndRange,287)="","",INDEX(I.Performance.EndRange,287))</f>
        <v/>
      </c>
      <c r="G1357" s="54"/>
      <c r="H1357" s="52" t="str">
        <f>IF(AND(I.Compliance.FulfilledPerformance&gt;0,I.Performance.RangeCount&gt;=287,F1357=""),"Incomplete","Complete")</f>
        <v>Complete</v>
      </c>
      <c r="I1357" s="55" t="s">
        <v>1555</v>
      </c>
    </row>
    <row r="1358" spans="2:9" ht="15" customHeight="1" x14ac:dyDescent="0.25">
      <c r="B1358" s="51" t="s">
        <v>125</v>
      </c>
      <c r="C1358" s="52">
        <v>288</v>
      </c>
      <c r="D1358" s="53" t="s">
        <v>4327</v>
      </c>
      <c r="E1358" s="54"/>
      <c r="F1358" s="52" t="str">
        <f>IF(INDEX(I.Performance.EndRange,288)="","",INDEX(I.Performance.EndRange,288))</f>
        <v/>
      </c>
      <c r="G1358" s="54"/>
      <c r="H1358" s="52" t="str">
        <f>IF(AND(I.Compliance.FulfilledPerformance&gt;0,I.Performance.RangeCount&gt;=288,F1358=""),"Incomplete","Complete")</f>
        <v>Complete</v>
      </c>
      <c r="I1358" s="55" t="s">
        <v>1556</v>
      </c>
    </row>
    <row r="1359" spans="2:9" ht="15" customHeight="1" x14ac:dyDescent="0.25">
      <c r="B1359" s="51" t="s">
        <v>125</v>
      </c>
      <c r="C1359" s="52">
        <v>289</v>
      </c>
      <c r="D1359" s="53" t="s">
        <v>4327</v>
      </c>
      <c r="E1359" s="54"/>
      <c r="F1359" s="52" t="str">
        <f>IF(INDEX(I.Performance.EndRange,289)="","",INDEX(I.Performance.EndRange,289))</f>
        <v/>
      </c>
      <c r="G1359" s="54"/>
      <c r="H1359" s="52" t="str">
        <f>IF(AND(I.Compliance.FulfilledPerformance&gt;0,I.Performance.RangeCount&gt;=289,F1359=""),"Incomplete","Complete")</f>
        <v>Complete</v>
      </c>
      <c r="I1359" s="55" t="s">
        <v>1557</v>
      </c>
    </row>
    <row r="1360" spans="2:9" ht="15" customHeight="1" x14ac:dyDescent="0.25">
      <c r="B1360" s="51" t="s">
        <v>125</v>
      </c>
      <c r="C1360" s="52">
        <v>290</v>
      </c>
      <c r="D1360" s="53" t="s">
        <v>4327</v>
      </c>
      <c r="E1360" s="54"/>
      <c r="F1360" s="52" t="str">
        <f>IF(INDEX(I.Performance.EndRange,290)="","",INDEX(I.Performance.EndRange,290))</f>
        <v/>
      </c>
      <c r="G1360" s="54"/>
      <c r="H1360" s="52" t="str">
        <f>IF(AND(I.Compliance.FulfilledPerformance&gt;0,I.Performance.RangeCount&gt;=290,F1360=""),"Incomplete","Complete")</f>
        <v>Complete</v>
      </c>
      <c r="I1360" s="55" t="s">
        <v>1558</v>
      </c>
    </row>
    <row r="1361" spans="2:9" ht="15" customHeight="1" x14ac:dyDescent="0.25">
      <c r="B1361" s="51" t="s">
        <v>125</v>
      </c>
      <c r="C1361" s="52">
        <v>291</v>
      </c>
      <c r="D1361" s="53" t="s">
        <v>4327</v>
      </c>
      <c r="E1361" s="54"/>
      <c r="F1361" s="52" t="str">
        <f>IF(INDEX(I.Performance.EndRange,291)="","",INDEX(I.Performance.EndRange,291))</f>
        <v/>
      </c>
      <c r="G1361" s="54"/>
      <c r="H1361" s="52" t="str">
        <f>IF(AND(I.Compliance.FulfilledPerformance&gt;0,I.Performance.RangeCount&gt;=291,F1361=""),"Incomplete","Complete")</f>
        <v>Complete</v>
      </c>
      <c r="I1361" s="55" t="s">
        <v>1559</v>
      </c>
    </row>
    <row r="1362" spans="2:9" ht="15" customHeight="1" x14ac:dyDescent="0.25">
      <c r="B1362" s="51" t="s">
        <v>125</v>
      </c>
      <c r="C1362" s="52">
        <v>292</v>
      </c>
      <c r="D1362" s="53" t="s">
        <v>4327</v>
      </c>
      <c r="E1362" s="54"/>
      <c r="F1362" s="52" t="str">
        <f>IF(INDEX(I.Performance.EndRange,292)="","",INDEX(I.Performance.EndRange,292))</f>
        <v/>
      </c>
      <c r="G1362" s="54"/>
      <c r="H1362" s="52" t="str">
        <f>IF(AND(I.Compliance.FulfilledPerformance&gt;0,I.Performance.RangeCount&gt;=292,F1362=""),"Incomplete","Complete")</f>
        <v>Complete</v>
      </c>
      <c r="I1362" s="55" t="s">
        <v>1560</v>
      </c>
    </row>
    <row r="1363" spans="2:9" ht="15" customHeight="1" x14ac:dyDescent="0.25">
      <c r="B1363" s="51" t="s">
        <v>125</v>
      </c>
      <c r="C1363" s="52">
        <v>293</v>
      </c>
      <c r="D1363" s="53" t="s">
        <v>4327</v>
      </c>
      <c r="E1363" s="54"/>
      <c r="F1363" s="52" t="str">
        <f>IF(INDEX(I.Performance.EndRange,293)="","",INDEX(I.Performance.EndRange,293))</f>
        <v/>
      </c>
      <c r="G1363" s="54"/>
      <c r="H1363" s="52" t="str">
        <f>IF(AND(I.Compliance.FulfilledPerformance&gt;0,I.Performance.RangeCount&gt;=293,F1363=""),"Incomplete","Complete")</f>
        <v>Complete</v>
      </c>
      <c r="I1363" s="55" t="s">
        <v>1561</v>
      </c>
    </row>
    <row r="1364" spans="2:9" ht="15" customHeight="1" x14ac:dyDescent="0.25">
      <c r="B1364" s="51" t="s">
        <v>125</v>
      </c>
      <c r="C1364" s="52">
        <v>294</v>
      </c>
      <c r="D1364" s="53" t="s">
        <v>4327</v>
      </c>
      <c r="E1364" s="54"/>
      <c r="F1364" s="52" t="str">
        <f>IF(INDEX(I.Performance.EndRange,294)="","",INDEX(I.Performance.EndRange,294))</f>
        <v/>
      </c>
      <c r="G1364" s="54"/>
      <c r="H1364" s="52" t="str">
        <f>IF(AND(I.Compliance.FulfilledPerformance&gt;0,I.Performance.RangeCount&gt;=294,F1364=""),"Incomplete","Complete")</f>
        <v>Complete</v>
      </c>
      <c r="I1364" s="55" t="s">
        <v>1562</v>
      </c>
    </row>
    <row r="1365" spans="2:9" ht="15" customHeight="1" x14ac:dyDescent="0.25">
      <c r="B1365" s="51" t="s">
        <v>125</v>
      </c>
      <c r="C1365" s="52">
        <v>295</v>
      </c>
      <c r="D1365" s="53" t="s">
        <v>4327</v>
      </c>
      <c r="E1365" s="54"/>
      <c r="F1365" s="52" t="str">
        <f>IF(INDEX(I.Performance.EndRange,295)="","",INDEX(I.Performance.EndRange,295))</f>
        <v/>
      </c>
      <c r="G1365" s="54"/>
      <c r="H1365" s="52" t="str">
        <f>IF(AND(I.Compliance.FulfilledPerformance&gt;0,I.Performance.RangeCount&gt;=295,F1365=""),"Incomplete","Complete")</f>
        <v>Complete</v>
      </c>
      <c r="I1365" s="55" t="s">
        <v>1563</v>
      </c>
    </row>
    <row r="1366" spans="2:9" ht="15" customHeight="1" x14ac:dyDescent="0.25">
      <c r="B1366" s="51" t="s">
        <v>125</v>
      </c>
      <c r="C1366" s="52">
        <v>296</v>
      </c>
      <c r="D1366" s="53" t="s">
        <v>4327</v>
      </c>
      <c r="E1366" s="54"/>
      <c r="F1366" s="52" t="str">
        <f>IF(INDEX(I.Performance.EndRange,296)="","",INDEX(I.Performance.EndRange,296))</f>
        <v/>
      </c>
      <c r="G1366" s="54"/>
      <c r="H1366" s="52" t="str">
        <f>IF(AND(I.Compliance.FulfilledPerformance&gt;0,I.Performance.RangeCount&gt;=296,F1366=""),"Incomplete","Complete")</f>
        <v>Complete</v>
      </c>
      <c r="I1366" s="55" t="s">
        <v>1564</v>
      </c>
    </row>
    <row r="1367" spans="2:9" ht="15" customHeight="1" x14ac:dyDescent="0.25">
      <c r="B1367" s="51" t="s">
        <v>125</v>
      </c>
      <c r="C1367" s="52">
        <v>297</v>
      </c>
      <c r="D1367" s="53" t="s">
        <v>4327</v>
      </c>
      <c r="E1367" s="54"/>
      <c r="F1367" s="52" t="str">
        <f>IF(INDEX(I.Performance.EndRange,297)="","",INDEX(I.Performance.EndRange,297))</f>
        <v/>
      </c>
      <c r="G1367" s="54"/>
      <c r="H1367" s="52" t="str">
        <f>IF(AND(I.Compliance.FulfilledPerformance&gt;0,I.Performance.RangeCount&gt;=297,F1367=""),"Incomplete","Complete")</f>
        <v>Complete</v>
      </c>
      <c r="I1367" s="55" t="s">
        <v>1565</v>
      </c>
    </row>
    <row r="1368" spans="2:9" ht="15" customHeight="1" x14ac:dyDescent="0.25">
      <c r="B1368" s="51" t="s">
        <v>125</v>
      </c>
      <c r="C1368" s="52">
        <v>298</v>
      </c>
      <c r="D1368" s="53" t="s">
        <v>4327</v>
      </c>
      <c r="E1368" s="54"/>
      <c r="F1368" s="52" t="str">
        <f>IF(INDEX(I.Performance.EndRange,298)="","",INDEX(I.Performance.EndRange,298))</f>
        <v/>
      </c>
      <c r="G1368" s="54"/>
      <c r="H1368" s="52" t="str">
        <f>IF(AND(I.Compliance.FulfilledPerformance&gt;0,I.Performance.RangeCount&gt;=298,F1368=""),"Incomplete","Complete")</f>
        <v>Complete</v>
      </c>
      <c r="I1368" s="55" t="s">
        <v>1566</v>
      </c>
    </row>
    <row r="1369" spans="2:9" ht="15" customHeight="1" x14ac:dyDescent="0.25">
      <c r="B1369" s="51" t="s">
        <v>125</v>
      </c>
      <c r="C1369" s="52">
        <v>299</v>
      </c>
      <c r="D1369" s="53" t="s">
        <v>4327</v>
      </c>
      <c r="E1369" s="54"/>
      <c r="F1369" s="52" t="str">
        <f>IF(INDEX(I.Performance.EndRange,299)="","",INDEX(I.Performance.EndRange,299))</f>
        <v/>
      </c>
      <c r="G1369" s="54"/>
      <c r="H1369" s="52" t="str">
        <f>IF(AND(I.Compliance.FulfilledPerformance&gt;0,I.Performance.RangeCount&gt;=299,F1369=""),"Incomplete","Complete")</f>
        <v>Complete</v>
      </c>
      <c r="I1369" s="55" t="s">
        <v>1567</v>
      </c>
    </row>
    <row r="1370" spans="2:9" ht="15" customHeight="1" x14ac:dyDescent="0.25">
      <c r="B1370" s="51" t="s">
        <v>125</v>
      </c>
      <c r="C1370" s="52">
        <v>300</v>
      </c>
      <c r="D1370" s="53" t="s">
        <v>4327</v>
      </c>
      <c r="E1370" s="54"/>
      <c r="F1370" s="52" t="str">
        <f>IF(INDEX(I.Performance.EndRange,300)="","",INDEX(I.Performance.EndRange,300))</f>
        <v/>
      </c>
      <c r="G1370" s="54"/>
      <c r="H1370" s="52" t="str">
        <f>IF(AND(I.Compliance.FulfilledPerformance&gt;0,I.Performance.RangeCount&gt;=300,F1370=""),"Incomplete","Complete")</f>
        <v>Complete</v>
      </c>
      <c r="I1370" s="55" t="s">
        <v>1568</v>
      </c>
    </row>
    <row r="1371" spans="2:9" ht="15" customHeight="1" x14ac:dyDescent="0.25">
      <c r="B1371" s="51" t="s">
        <v>125</v>
      </c>
      <c r="C1371" s="52">
        <v>301</v>
      </c>
      <c r="D1371" s="53" t="s">
        <v>4327</v>
      </c>
      <c r="E1371" s="54"/>
      <c r="F1371" s="52" t="str">
        <f>IF(INDEX(I.Performance.EndRange,301)="","",INDEX(I.Performance.EndRange,301))</f>
        <v/>
      </c>
      <c r="G1371" s="54"/>
      <c r="H1371" s="52" t="str">
        <f>IF(AND(I.Compliance.FulfilledPerformance&gt;0,I.Performance.RangeCount&gt;=301,F1371=""),"Incomplete","Complete")</f>
        <v>Complete</v>
      </c>
      <c r="I1371" s="55" t="s">
        <v>1569</v>
      </c>
    </row>
    <row r="1372" spans="2:9" ht="15" customHeight="1" x14ac:dyDescent="0.25">
      <c r="B1372" s="51" t="s">
        <v>125</v>
      </c>
      <c r="C1372" s="52">
        <v>302</v>
      </c>
      <c r="D1372" s="53" t="s">
        <v>4327</v>
      </c>
      <c r="E1372" s="54"/>
      <c r="F1372" s="52" t="str">
        <f>IF(INDEX(I.Performance.EndRange,302)="","",INDEX(I.Performance.EndRange,302))</f>
        <v/>
      </c>
      <c r="G1372" s="54"/>
      <c r="H1372" s="52" t="str">
        <f>IF(AND(I.Compliance.FulfilledPerformance&gt;0,I.Performance.RangeCount&gt;=302,F1372=""),"Incomplete","Complete")</f>
        <v>Complete</v>
      </c>
      <c r="I1372" s="55" t="s">
        <v>1570</v>
      </c>
    </row>
    <row r="1373" spans="2:9" ht="15" customHeight="1" x14ac:dyDescent="0.25">
      <c r="B1373" s="51" t="s">
        <v>125</v>
      </c>
      <c r="C1373" s="52">
        <v>303</v>
      </c>
      <c r="D1373" s="53" t="s">
        <v>4327</v>
      </c>
      <c r="E1373" s="54"/>
      <c r="F1373" s="52" t="str">
        <f>IF(INDEX(I.Performance.EndRange,303)="","",INDEX(I.Performance.EndRange,303))</f>
        <v/>
      </c>
      <c r="G1373" s="54"/>
      <c r="H1373" s="52" t="str">
        <f>IF(AND(I.Compliance.FulfilledPerformance&gt;0,I.Performance.RangeCount&gt;=303,F1373=""),"Incomplete","Complete")</f>
        <v>Complete</v>
      </c>
      <c r="I1373" s="55" t="s">
        <v>1571</v>
      </c>
    </row>
    <row r="1374" spans="2:9" ht="15" customHeight="1" x14ac:dyDescent="0.25">
      <c r="B1374" s="51" t="s">
        <v>125</v>
      </c>
      <c r="C1374" s="52">
        <v>304</v>
      </c>
      <c r="D1374" s="53" t="s">
        <v>4327</v>
      </c>
      <c r="E1374" s="54"/>
      <c r="F1374" s="52" t="str">
        <f>IF(INDEX(I.Performance.EndRange,304)="","",INDEX(I.Performance.EndRange,304))</f>
        <v/>
      </c>
      <c r="G1374" s="54"/>
      <c r="H1374" s="52" t="str">
        <f>IF(AND(I.Compliance.FulfilledPerformance&gt;0,I.Performance.RangeCount&gt;=304,F1374=""),"Incomplete","Complete")</f>
        <v>Complete</v>
      </c>
      <c r="I1374" s="55" t="s">
        <v>1572</v>
      </c>
    </row>
    <row r="1375" spans="2:9" ht="15" customHeight="1" x14ac:dyDescent="0.25">
      <c r="B1375" s="51" t="s">
        <v>125</v>
      </c>
      <c r="C1375" s="52">
        <v>305</v>
      </c>
      <c r="D1375" s="53" t="s">
        <v>4327</v>
      </c>
      <c r="E1375" s="54"/>
      <c r="F1375" s="52" t="str">
        <f>IF(INDEX(I.Performance.EndRange,305)="","",INDEX(I.Performance.EndRange,305))</f>
        <v/>
      </c>
      <c r="G1375" s="54"/>
      <c r="H1375" s="52" t="str">
        <f>IF(AND(I.Compliance.FulfilledPerformance&gt;0,I.Performance.RangeCount&gt;=305,F1375=""),"Incomplete","Complete")</f>
        <v>Complete</v>
      </c>
      <c r="I1375" s="55" t="s">
        <v>1573</v>
      </c>
    </row>
    <row r="1376" spans="2:9" ht="15" customHeight="1" x14ac:dyDescent="0.25">
      <c r="B1376" s="51" t="s">
        <v>125</v>
      </c>
      <c r="C1376" s="52">
        <v>306</v>
      </c>
      <c r="D1376" s="53" t="s">
        <v>4327</v>
      </c>
      <c r="E1376" s="54"/>
      <c r="F1376" s="52" t="str">
        <f>IF(INDEX(I.Performance.EndRange,306)="","",INDEX(I.Performance.EndRange,306))</f>
        <v/>
      </c>
      <c r="G1376" s="54"/>
      <c r="H1376" s="52" t="str">
        <f>IF(AND(I.Compliance.FulfilledPerformance&gt;0,I.Performance.RangeCount&gt;=306,F1376=""),"Incomplete","Complete")</f>
        <v>Complete</v>
      </c>
      <c r="I1376" s="55" t="s">
        <v>1574</v>
      </c>
    </row>
    <row r="1377" spans="2:9" ht="15" customHeight="1" x14ac:dyDescent="0.25">
      <c r="B1377" s="51" t="s">
        <v>125</v>
      </c>
      <c r="C1377" s="52">
        <v>307</v>
      </c>
      <c r="D1377" s="53" t="s">
        <v>4327</v>
      </c>
      <c r="E1377" s="54"/>
      <c r="F1377" s="52" t="str">
        <f>IF(INDEX(I.Performance.EndRange,307)="","",INDEX(I.Performance.EndRange,307))</f>
        <v/>
      </c>
      <c r="G1377" s="54"/>
      <c r="H1377" s="52" t="str">
        <f>IF(AND(I.Compliance.FulfilledPerformance&gt;0,I.Performance.RangeCount&gt;=307,F1377=""),"Incomplete","Complete")</f>
        <v>Complete</v>
      </c>
      <c r="I1377" s="55" t="s">
        <v>1575</v>
      </c>
    </row>
    <row r="1378" spans="2:9" ht="15" customHeight="1" x14ac:dyDescent="0.25">
      <c r="B1378" s="51" t="s">
        <v>125</v>
      </c>
      <c r="C1378" s="52">
        <v>308</v>
      </c>
      <c r="D1378" s="53" t="s">
        <v>4327</v>
      </c>
      <c r="E1378" s="54"/>
      <c r="F1378" s="52" t="str">
        <f>IF(INDEX(I.Performance.EndRange,308)="","",INDEX(I.Performance.EndRange,308))</f>
        <v/>
      </c>
      <c r="G1378" s="54"/>
      <c r="H1378" s="52" t="str">
        <f>IF(AND(I.Compliance.FulfilledPerformance&gt;0,I.Performance.RangeCount&gt;=308,F1378=""),"Incomplete","Complete")</f>
        <v>Complete</v>
      </c>
      <c r="I1378" s="55" t="s">
        <v>1576</v>
      </c>
    </row>
    <row r="1379" spans="2:9" ht="15" customHeight="1" x14ac:dyDescent="0.25">
      <c r="B1379" s="51" t="s">
        <v>125</v>
      </c>
      <c r="C1379" s="52">
        <v>309</v>
      </c>
      <c r="D1379" s="53" t="s">
        <v>4327</v>
      </c>
      <c r="E1379" s="54"/>
      <c r="F1379" s="52" t="str">
        <f>IF(INDEX(I.Performance.EndRange,309)="","",INDEX(I.Performance.EndRange,309))</f>
        <v/>
      </c>
      <c r="G1379" s="54"/>
      <c r="H1379" s="52" t="str">
        <f>IF(AND(I.Compliance.FulfilledPerformance&gt;0,I.Performance.RangeCount&gt;=309,F1379=""),"Incomplete","Complete")</f>
        <v>Complete</v>
      </c>
      <c r="I1379" s="55" t="s">
        <v>1577</v>
      </c>
    </row>
    <row r="1380" spans="2:9" ht="15" customHeight="1" x14ac:dyDescent="0.25">
      <c r="B1380" s="51" t="s">
        <v>125</v>
      </c>
      <c r="C1380" s="52">
        <v>310</v>
      </c>
      <c r="D1380" s="53" t="s">
        <v>4327</v>
      </c>
      <c r="E1380" s="54"/>
      <c r="F1380" s="52" t="str">
        <f>IF(INDEX(I.Performance.EndRange,310)="","",INDEX(I.Performance.EndRange,310))</f>
        <v/>
      </c>
      <c r="G1380" s="54"/>
      <c r="H1380" s="52" t="str">
        <f>IF(AND(I.Compliance.FulfilledPerformance&gt;0,I.Performance.RangeCount&gt;=310,F1380=""),"Incomplete","Complete")</f>
        <v>Complete</v>
      </c>
      <c r="I1380" s="55" t="s">
        <v>1578</v>
      </c>
    </row>
    <row r="1381" spans="2:9" ht="15" customHeight="1" x14ac:dyDescent="0.25">
      <c r="B1381" s="51" t="s">
        <v>125</v>
      </c>
      <c r="C1381" s="52">
        <v>311</v>
      </c>
      <c r="D1381" s="53" t="s">
        <v>4327</v>
      </c>
      <c r="E1381" s="54"/>
      <c r="F1381" s="52" t="str">
        <f>IF(INDEX(I.Performance.EndRange,311)="","",INDEX(I.Performance.EndRange,311))</f>
        <v/>
      </c>
      <c r="G1381" s="54"/>
      <c r="H1381" s="52" t="str">
        <f>IF(AND(I.Compliance.FulfilledPerformance&gt;0,I.Performance.RangeCount&gt;=311,F1381=""),"Incomplete","Complete")</f>
        <v>Complete</v>
      </c>
      <c r="I1381" s="55" t="s">
        <v>1579</v>
      </c>
    </row>
    <row r="1382" spans="2:9" ht="15" customHeight="1" x14ac:dyDescent="0.25">
      <c r="B1382" s="51" t="s">
        <v>125</v>
      </c>
      <c r="C1382" s="52">
        <v>312</v>
      </c>
      <c r="D1382" s="53" t="s">
        <v>4327</v>
      </c>
      <c r="E1382" s="54"/>
      <c r="F1382" s="52" t="str">
        <f>IF(INDEX(I.Performance.EndRange,312)="","",INDEX(I.Performance.EndRange,312))</f>
        <v/>
      </c>
      <c r="G1382" s="54"/>
      <c r="H1382" s="52" t="str">
        <f>IF(AND(I.Compliance.FulfilledPerformance&gt;0,I.Performance.RangeCount&gt;=312,F1382=""),"Incomplete","Complete")</f>
        <v>Complete</v>
      </c>
      <c r="I1382" s="55" t="s">
        <v>1580</v>
      </c>
    </row>
    <row r="1383" spans="2:9" ht="15" customHeight="1" x14ac:dyDescent="0.25">
      <c r="B1383" s="51" t="s">
        <v>125</v>
      </c>
      <c r="C1383" s="52">
        <v>313</v>
      </c>
      <c r="D1383" s="53" t="s">
        <v>4327</v>
      </c>
      <c r="E1383" s="54"/>
      <c r="F1383" s="52" t="str">
        <f>IF(INDEX(I.Performance.EndRange,313)="","",INDEX(I.Performance.EndRange,313))</f>
        <v/>
      </c>
      <c r="G1383" s="54"/>
      <c r="H1383" s="52" t="str">
        <f>IF(AND(I.Compliance.FulfilledPerformance&gt;0,I.Performance.RangeCount&gt;=313,F1383=""),"Incomplete","Complete")</f>
        <v>Complete</v>
      </c>
      <c r="I1383" s="55" t="s">
        <v>1581</v>
      </c>
    </row>
    <row r="1384" spans="2:9" ht="15" customHeight="1" x14ac:dyDescent="0.25">
      <c r="B1384" s="51" t="s">
        <v>125</v>
      </c>
      <c r="C1384" s="52">
        <v>314</v>
      </c>
      <c r="D1384" s="53" t="s">
        <v>4327</v>
      </c>
      <c r="E1384" s="54"/>
      <c r="F1384" s="52" t="str">
        <f>IF(INDEX(I.Performance.EndRange,314)="","",INDEX(I.Performance.EndRange,314))</f>
        <v/>
      </c>
      <c r="G1384" s="54"/>
      <c r="H1384" s="52" t="str">
        <f>IF(AND(I.Compliance.FulfilledPerformance&gt;0,I.Performance.RangeCount&gt;=314,F1384=""),"Incomplete","Complete")</f>
        <v>Complete</v>
      </c>
      <c r="I1384" s="55" t="s">
        <v>1582</v>
      </c>
    </row>
    <row r="1385" spans="2:9" ht="15" customHeight="1" x14ac:dyDescent="0.25">
      <c r="B1385" s="51" t="s">
        <v>125</v>
      </c>
      <c r="C1385" s="52">
        <v>315</v>
      </c>
      <c r="D1385" s="53" t="s">
        <v>4327</v>
      </c>
      <c r="E1385" s="54"/>
      <c r="F1385" s="52" t="str">
        <f>IF(INDEX(I.Performance.EndRange,315)="","",INDEX(I.Performance.EndRange,315))</f>
        <v/>
      </c>
      <c r="G1385" s="54"/>
      <c r="H1385" s="52" t="str">
        <f>IF(AND(I.Compliance.FulfilledPerformance&gt;0,I.Performance.RangeCount&gt;=315,F1385=""),"Incomplete","Complete")</f>
        <v>Complete</v>
      </c>
      <c r="I1385" s="55" t="s">
        <v>1583</v>
      </c>
    </row>
    <row r="1386" spans="2:9" ht="15" customHeight="1" x14ac:dyDescent="0.25">
      <c r="B1386" s="51" t="s">
        <v>125</v>
      </c>
      <c r="C1386" s="52">
        <v>316</v>
      </c>
      <c r="D1386" s="53" t="s">
        <v>4327</v>
      </c>
      <c r="E1386" s="54"/>
      <c r="F1386" s="52" t="str">
        <f>IF(INDEX(I.Performance.EndRange,316)="","",INDEX(I.Performance.EndRange,316))</f>
        <v/>
      </c>
      <c r="G1386" s="54"/>
      <c r="H1386" s="52" t="str">
        <f>IF(AND(I.Compliance.FulfilledPerformance&gt;0,I.Performance.RangeCount&gt;=316,F1386=""),"Incomplete","Complete")</f>
        <v>Complete</v>
      </c>
      <c r="I1386" s="55" t="s">
        <v>1584</v>
      </c>
    </row>
    <row r="1387" spans="2:9" ht="15" customHeight="1" x14ac:dyDescent="0.25">
      <c r="B1387" s="51" t="s">
        <v>125</v>
      </c>
      <c r="C1387" s="52">
        <v>317</v>
      </c>
      <c r="D1387" s="53" t="s">
        <v>4327</v>
      </c>
      <c r="E1387" s="54"/>
      <c r="F1387" s="52" t="str">
        <f>IF(INDEX(I.Performance.EndRange,317)="","",INDEX(I.Performance.EndRange,317))</f>
        <v/>
      </c>
      <c r="G1387" s="54"/>
      <c r="H1387" s="52" t="str">
        <f>IF(AND(I.Compliance.FulfilledPerformance&gt;0,I.Performance.RangeCount&gt;=317,F1387=""),"Incomplete","Complete")</f>
        <v>Complete</v>
      </c>
      <c r="I1387" s="55" t="s">
        <v>1585</v>
      </c>
    </row>
    <row r="1388" spans="2:9" ht="15" customHeight="1" x14ac:dyDescent="0.25">
      <c r="B1388" s="51" t="s">
        <v>125</v>
      </c>
      <c r="C1388" s="52">
        <v>318</v>
      </c>
      <c r="D1388" s="53" t="s">
        <v>4327</v>
      </c>
      <c r="E1388" s="54"/>
      <c r="F1388" s="52" t="str">
        <f>IF(INDEX(I.Performance.EndRange,318)="","",INDEX(I.Performance.EndRange,318))</f>
        <v/>
      </c>
      <c r="G1388" s="54"/>
      <c r="H1388" s="52" t="str">
        <f>IF(AND(I.Compliance.FulfilledPerformance&gt;0,I.Performance.RangeCount&gt;=318,F1388=""),"Incomplete","Complete")</f>
        <v>Complete</v>
      </c>
      <c r="I1388" s="55" t="s">
        <v>1586</v>
      </c>
    </row>
    <row r="1389" spans="2:9" ht="15" customHeight="1" x14ac:dyDescent="0.25">
      <c r="B1389" s="51" t="s">
        <v>125</v>
      </c>
      <c r="C1389" s="52">
        <v>319</v>
      </c>
      <c r="D1389" s="53" t="s">
        <v>4327</v>
      </c>
      <c r="E1389" s="54"/>
      <c r="F1389" s="52" t="str">
        <f>IF(INDEX(I.Performance.EndRange,319)="","",INDEX(I.Performance.EndRange,319))</f>
        <v/>
      </c>
      <c r="G1389" s="54"/>
      <c r="H1389" s="52" t="str">
        <f>IF(AND(I.Compliance.FulfilledPerformance&gt;0,I.Performance.RangeCount&gt;=319,F1389=""),"Incomplete","Complete")</f>
        <v>Complete</v>
      </c>
      <c r="I1389" s="55" t="s">
        <v>1587</v>
      </c>
    </row>
    <row r="1390" spans="2:9" ht="15" customHeight="1" x14ac:dyDescent="0.25">
      <c r="B1390" s="51" t="s">
        <v>125</v>
      </c>
      <c r="C1390" s="52">
        <v>320</v>
      </c>
      <c r="D1390" s="53" t="s">
        <v>4327</v>
      </c>
      <c r="E1390" s="54"/>
      <c r="F1390" s="52" t="str">
        <f>IF(INDEX(I.Performance.EndRange,320)="","",INDEX(I.Performance.EndRange,320))</f>
        <v/>
      </c>
      <c r="G1390" s="54"/>
      <c r="H1390" s="52" t="str">
        <f>IF(AND(I.Compliance.FulfilledPerformance&gt;0,I.Performance.RangeCount&gt;=320,F1390=""),"Incomplete","Complete")</f>
        <v>Complete</v>
      </c>
      <c r="I1390" s="55" t="s">
        <v>1588</v>
      </c>
    </row>
    <row r="1391" spans="2:9" ht="15" customHeight="1" x14ac:dyDescent="0.25">
      <c r="B1391" s="51" t="s">
        <v>125</v>
      </c>
      <c r="C1391" s="52">
        <v>321</v>
      </c>
      <c r="D1391" s="53" t="s">
        <v>4327</v>
      </c>
      <c r="E1391" s="54"/>
      <c r="F1391" s="52" t="str">
        <f>IF(INDEX(I.Performance.EndRange,321)="","",INDEX(I.Performance.EndRange,321))</f>
        <v/>
      </c>
      <c r="G1391" s="54"/>
      <c r="H1391" s="52" t="str">
        <f>IF(AND(I.Compliance.FulfilledPerformance&gt;0,I.Performance.RangeCount&gt;=321,F1391=""),"Incomplete","Complete")</f>
        <v>Complete</v>
      </c>
      <c r="I1391" s="55" t="s">
        <v>1589</v>
      </c>
    </row>
    <row r="1392" spans="2:9" ht="15" customHeight="1" x14ac:dyDescent="0.25">
      <c r="B1392" s="51" t="s">
        <v>125</v>
      </c>
      <c r="C1392" s="52">
        <v>322</v>
      </c>
      <c r="D1392" s="53" t="s">
        <v>4327</v>
      </c>
      <c r="E1392" s="54"/>
      <c r="F1392" s="52" t="str">
        <f>IF(INDEX(I.Performance.EndRange,322)="","",INDEX(I.Performance.EndRange,322))</f>
        <v/>
      </c>
      <c r="G1392" s="54"/>
      <c r="H1392" s="52" t="str">
        <f>IF(AND(I.Compliance.FulfilledPerformance&gt;0,I.Performance.RangeCount&gt;=322,F1392=""),"Incomplete","Complete")</f>
        <v>Complete</v>
      </c>
      <c r="I1392" s="55" t="s">
        <v>1590</v>
      </c>
    </row>
    <row r="1393" spans="2:9" ht="15" customHeight="1" x14ac:dyDescent="0.25">
      <c r="B1393" s="51" t="s">
        <v>125</v>
      </c>
      <c r="C1393" s="52">
        <v>323</v>
      </c>
      <c r="D1393" s="53" t="s">
        <v>4327</v>
      </c>
      <c r="E1393" s="54"/>
      <c r="F1393" s="52" t="str">
        <f>IF(INDEX(I.Performance.EndRange,323)="","",INDEX(I.Performance.EndRange,323))</f>
        <v/>
      </c>
      <c r="G1393" s="54"/>
      <c r="H1393" s="52" t="str">
        <f>IF(AND(I.Compliance.FulfilledPerformance&gt;0,I.Performance.RangeCount&gt;=323,F1393=""),"Incomplete","Complete")</f>
        <v>Complete</v>
      </c>
      <c r="I1393" s="55" t="s">
        <v>1591</v>
      </c>
    </row>
    <row r="1394" spans="2:9" ht="15" customHeight="1" x14ac:dyDescent="0.25">
      <c r="B1394" s="51" t="s">
        <v>125</v>
      </c>
      <c r="C1394" s="52">
        <v>324</v>
      </c>
      <c r="D1394" s="53" t="s">
        <v>4327</v>
      </c>
      <c r="E1394" s="54"/>
      <c r="F1394" s="52" t="str">
        <f>IF(INDEX(I.Performance.EndRange,324)="","",INDEX(I.Performance.EndRange,324))</f>
        <v/>
      </c>
      <c r="G1394" s="54"/>
      <c r="H1394" s="52" t="str">
        <f>IF(AND(I.Compliance.FulfilledPerformance&gt;0,I.Performance.RangeCount&gt;=324,F1394=""),"Incomplete","Complete")</f>
        <v>Complete</v>
      </c>
      <c r="I1394" s="55" t="s">
        <v>1592</v>
      </c>
    </row>
    <row r="1395" spans="2:9" ht="15" customHeight="1" x14ac:dyDescent="0.25">
      <c r="B1395" s="51" t="s">
        <v>125</v>
      </c>
      <c r="C1395" s="52">
        <v>325</v>
      </c>
      <c r="D1395" s="53" t="s">
        <v>4327</v>
      </c>
      <c r="E1395" s="54"/>
      <c r="F1395" s="52" t="str">
        <f>IF(INDEX(I.Performance.EndRange,325)="","",INDEX(I.Performance.EndRange,325))</f>
        <v/>
      </c>
      <c r="G1395" s="54"/>
      <c r="H1395" s="52" t="str">
        <f>IF(AND(I.Compliance.FulfilledPerformance&gt;0,I.Performance.RangeCount&gt;=325,F1395=""),"Incomplete","Complete")</f>
        <v>Complete</v>
      </c>
      <c r="I1395" s="55" t="s">
        <v>1593</v>
      </c>
    </row>
    <row r="1396" spans="2:9" ht="15" customHeight="1" x14ac:dyDescent="0.25">
      <c r="B1396" s="51" t="s">
        <v>125</v>
      </c>
      <c r="C1396" s="52">
        <v>326</v>
      </c>
      <c r="D1396" s="53" t="s">
        <v>4327</v>
      </c>
      <c r="E1396" s="54"/>
      <c r="F1396" s="52" t="str">
        <f>IF(INDEX(I.Performance.EndRange,326)="","",INDEX(I.Performance.EndRange,326))</f>
        <v/>
      </c>
      <c r="G1396" s="54"/>
      <c r="H1396" s="52" t="str">
        <f>IF(AND(I.Compliance.FulfilledPerformance&gt;0,I.Performance.RangeCount&gt;=326,F1396=""),"Incomplete","Complete")</f>
        <v>Complete</v>
      </c>
      <c r="I1396" s="55" t="s">
        <v>1594</v>
      </c>
    </row>
    <row r="1397" spans="2:9" ht="15" customHeight="1" x14ac:dyDescent="0.25">
      <c r="B1397" s="51" t="s">
        <v>125</v>
      </c>
      <c r="C1397" s="52">
        <v>327</v>
      </c>
      <c r="D1397" s="53" t="s">
        <v>4327</v>
      </c>
      <c r="E1397" s="54"/>
      <c r="F1397" s="52" t="str">
        <f>IF(INDEX(I.Performance.EndRange,327)="","",INDEX(I.Performance.EndRange,327))</f>
        <v/>
      </c>
      <c r="G1397" s="54"/>
      <c r="H1397" s="52" t="str">
        <f>IF(AND(I.Compliance.FulfilledPerformance&gt;0,I.Performance.RangeCount&gt;=327,F1397=""),"Incomplete","Complete")</f>
        <v>Complete</v>
      </c>
      <c r="I1397" s="55" t="s">
        <v>1595</v>
      </c>
    </row>
    <row r="1398" spans="2:9" ht="15" customHeight="1" x14ac:dyDescent="0.25">
      <c r="B1398" s="51" t="s">
        <v>125</v>
      </c>
      <c r="C1398" s="52">
        <v>328</v>
      </c>
      <c r="D1398" s="53" t="s">
        <v>4327</v>
      </c>
      <c r="E1398" s="54"/>
      <c r="F1398" s="52" t="str">
        <f>IF(INDEX(I.Performance.EndRange,328)="","",INDEX(I.Performance.EndRange,328))</f>
        <v/>
      </c>
      <c r="G1398" s="54"/>
      <c r="H1398" s="52" t="str">
        <f>IF(AND(I.Compliance.FulfilledPerformance&gt;0,I.Performance.RangeCount&gt;=328,F1398=""),"Incomplete","Complete")</f>
        <v>Complete</v>
      </c>
      <c r="I1398" s="55" t="s">
        <v>1596</v>
      </c>
    </row>
    <row r="1399" spans="2:9" ht="15" customHeight="1" x14ac:dyDescent="0.25">
      <c r="B1399" s="51" t="s">
        <v>125</v>
      </c>
      <c r="C1399" s="52">
        <v>329</v>
      </c>
      <c r="D1399" s="53" t="s">
        <v>4327</v>
      </c>
      <c r="E1399" s="54"/>
      <c r="F1399" s="52" t="str">
        <f>IF(INDEX(I.Performance.EndRange,329)="","",INDEX(I.Performance.EndRange,329))</f>
        <v/>
      </c>
      <c r="G1399" s="54"/>
      <c r="H1399" s="52" t="str">
        <f>IF(AND(I.Compliance.FulfilledPerformance&gt;0,I.Performance.RangeCount&gt;=329,F1399=""),"Incomplete","Complete")</f>
        <v>Complete</v>
      </c>
      <c r="I1399" s="55" t="s">
        <v>1597</v>
      </c>
    </row>
    <row r="1400" spans="2:9" ht="15" customHeight="1" x14ac:dyDescent="0.25">
      <c r="B1400" s="51" t="s">
        <v>125</v>
      </c>
      <c r="C1400" s="52">
        <v>330</v>
      </c>
      <c r="D1400" s="53" t="s">
        <v>4327</v>
      </c>
      <c r="E1400" s="54"/>
      <c r="F1400" s="52" t="str">
        <f>IF(INDEX(I.Performance.EndRange,330)="","",INDEX(I.Performance.EndRange,330))</f>
        <v/>
      </c>
      <c r="G1400" s="54"/>
      <c r="H1400" s="52" t="str">
        <f>IF(AND(I.Compliance.FulfilledPerformance&gt;0,I.Performance.RangeCount&gt;=330,F1400=""),"Incomplete","Complete")</f>
        <v>Complete</v>
      </c>
      <c r="I1400" s="55" t="s">
        <v>1598</v>
      </c>
    </row>
    <row r="1401" spans="2:9" ht="15" customHeight="1" x14ac:dyDescent="0.25">
      <c r="B1401" s="51" t="s">
        <v>125</v>
      </c>
      <c r="C1401" s="52">
        <v>331</v>
      </c>
      <c r="D1401" s="53" t="s">
        <v>4327</v>
      </c>
      <c r="E1401" s="54"/>
      <c r="F1401" s="52" t="str">
        <f>IF(INDEX(I.Performance.EndRange,331)="","",INDEX(I.Performance.EndRange,331))</f>
        <v/>
      </c>
      <c r="G1401" s="54"/>
      <c r="H1401" s="52" t="str">
        <f>IF(AND(I.Compliance.FulfilledPerformance&gt;0,I.Performance.RangeCount&gt;=331,F1401=""),"Incomplete","Complete")</f>
        <v>Complete</v>
      </c>
      <c r="I1401" s="55" t="s">
        <v>1599</v>
      </c>
    </row>
    <row r="1402" spans="2:9" ht="15" customHeight="1" x14ac:dyDescent="0.25">
      <c r="B1402" s="51" t="s">
        <v>125</v>
      </c>
      <c r="C1402" s="52">
        <v>332</v>
      </c>
      <c r="D1402" s="53" t="s">
        <v>4327</v>
      </c>
      <c r="E1402" s="54"/>
      <c r="F1402" s="52" t="str">
        <f>IF(INDEX(I.Performance.EndRange,332)="","",INDEX(I.Performance.EndRange,332))</f>
        <v/>
      </c>
      <c r="G1402" s="54"/>
      <c r="H1402" s="52" t="str">
        <f>IF(AND(I.Compliance.FulfilledPerformance&gt;0,I.Performance.RangeCount&gt;=332,F1402=""),"Incomplete","Complete")</f>
        <v>Complete</v>
      </c>
      <c r="I1402" s="55" t="s">
        <v>1600</v>
      </c>
    </row>
    <row r="1403" spans="2:9" ht="15" customHeight="1" x14ac:dyDescent="0.25">
      <c r="B1403" s="51" t="s">
        <v>125</v>
      </c>
      <c r="C1403" s="52">
        <v>333</v>
      </c>
      <c r="D1403" s="53" t="s">
        <v>4327</v>
      </c>
      <c r="E1403" s="54"/>
      <c r="F1403" s="52" t="str">
        <f>IF(INDEX(I.Performance.EndRange,333)="","",INDEX(I.Performance.EndRange,333))</f>
        <v/>
      </c>
      <c r="G1403" s="54"/>
      <c r="H1403" s="52" t="str">
        <f>IF(AND(I.Compliance.FulfilledPerformance&gt;0,I.Performance.RangeCount&gt;=333,F1403=""),"Incomplete","Complete")</f>
        <v>Complete</v>
      </c>
      <c r="I1403" s="55" t="s">
        <v>1601</v>
      </c>
    </row>
    <row r="1404" spans="2:9" ht="15" customHeight="1" x14ac:dyDescent="0.25">
      <c r="B1404" s="51" t="s">
        <v>125</v>
      </c>
      <c r="C1404" s="52">
        <v>334</v>
      </c>
      <c r="D1404" s="53" t="s">
        <v>4327</v>
      </c>
      <c r="E1404" s="54"/>
      <c r="F1404" s="52" t="str">
        <f>IF(INDEX(I.Performance.EndRange,334)="","",INDEX(I.Performance.EndRange,334))</f>
        <v/>
      </c>
      <c r="G1404" s="54"/>
      <c r="H1404" s="52" t="str">
        <f>IF(AND(I.Compliance.FulfilledPerformance&gt;0,I.Performance.RangeCount&gt;=334,F1404=""),"Incomplete","Complete")</f>
        <v>Complete</v>
      </c>
      <c r="I1404" s="55" t="s">
        <v>1602</v>
      </c>
    </row>
    <row r="1405" spans="2:9" ht="15" customHeight="1" x14ac:dyDescent="0.25">
      <c r="B1405" s="51" t="s">
        <v>125</v>
      </c>
      <c r="C1405" s="52">
        <v>335</v>
      </c>
      <c r="D1405" s="53" t="s">
        <v>4327</v>
      </c>
      <c r="E1405" s="54"/>
      <c r="F1405" s="52" t="str">
        <f>IF(INDEX(I.Performance.EndRange,335)="","",INDEX(I.Performance.EndRange,335))</f>
        <v/>
      </c>
      <c r="G1405" s="54"/>
      <c r="H1405" s="52" t="str">
        <f>IF(AND(I.Compliance.FulfilledPerformance&gt;0,I.Performance.RangeCount&gt;=335,F1405=""),"Incomplete","Complete")</f>
        <v>Complete</v>
      </c>
      <c r="I1405" s="55" t="s">
        <v>1603</v>
      </c>
    </row>
    <row r="1406" spans="2:9" ht="15" customHeight="1" x14ac:dyDescent="0.25">
      <c r="B1406" s="51" t="s">
        <v>125</v>
      </c>
      <c r="C1406" s="52">
        <v>336</v>
      </c>
      <c r="D1406" s="53" t="s">
        <v>4327</v>
      </c>
      <c r="E1406" s="54"/>
      <c r="F1406" s="52" t="str">
        <f>IF(INDEX(I.Performance.EndRange,336)="","",INDEX(I.Performance.EndRange,336))</f>
        <v/>
      </c>
      <c r="G1406" s="54"/>
      <c r="H1406" s="52" t="str">
        <f>IF(AND(I.Compliance.FulfilledPerformance&gt;0,I.Performance.RangeCount&gt;=336,F1406=""),"Incomplete","Complete")</f>
        <v>Complete</v>
      </c>
      <c r="I1406" s="55" t="s">
        <v>1604</v>
      </c>
    </row>
    <row r="1407" spans="2:9" ht="15" customHeight="1" x14ac:dyDescent="0.25">
      <c r="B1407" s="51" t="s">
        <v>125</v>
      </c>
      <c r="C1407" s="52">
        <v>337</v>
      </c>
      <c r="D1407" s="53" t="s">
        <v>4327</v>
      </c>
      <c r="E1407" s="54"/>
      <c r="F1407" s="52" t="str">
        <f>IF(INDEX(I.Performance.EndRange,337)="","",INDEX(I.Performance.EndRange,337))</f>
        <v/>
      </c>
      <c r="G1407" s="54"/>
      <c r="H1407" s="52" t="str">
        <f>IF(AND(I.Compliance.FulfilledPerformance&gt;0,I.Performance.RangeCount&gt;=337,F1407=""),"Incomplete","Complete")</f>
        <v>Complete</v>
      </c>
      <c r="I1407" s="55" t="s">
        <v>1605</v>
      </c>
    </row>
    <row r="1408" spans="2:9" ht="15" customHeight="1" x14ac:dyDescent="0.25">
      <c r="B1408" s="51" t="s">
        <v>125</v>
      </c>
      <c r="C1408" s="52">
        <v>338</v>
      </c>
      <c r="D1408" s="53" t="s">
        <v>4327</v>
      </c>
      <c r="E1408" s="54"/>
      <c r="F1408" s="52" t="str">
        <f>IF(INDEX(I.Performance.EndRange,338)="","",INDEX(I.Performance.EndRange,338))</f>
        <v/>
      </c>
      <c r="G1408" s="54"/>
      <c r="H1408" s="52" t="str">
        <f>IF(AND(I.Compliance.FulfilledPerformance&gt;0,I.Performance.RangeCount&gt;=338,F1408=""),"Incomplete","Complete")</f>
        <v>Complete</v>
      </c>
      <c r="I1408" s="55" t="s">
        <v>1606</v>
      </c>
    </row>
    <row r="1409" spans="2:9" ht="15" customHeight="1" x14ac:dyDescent="0.25">
      <c r="B1409" s="51" t="s">
        <v>125</v>
      </c>
      <c r="C1409" s="52">
        <v>339</v>
      </c>
      <c r="D1409" s="53" t="s">
        <v>4327</v>
      </c>
      <c r="E1409" s="54"/>
      <c r="F1409" s="52" t="str">
        <f>IF(INDEX(I.Performance.EndRange,339)="","",INDEX(I.Performance.EndRange,339))</f>
        <v/>
      </c>
      <c r="G1409" s="54"/>
      <c r="H1409" s="52" t="str">
        <f>IF(AND(I.Compliance.FulfilledPerformance&gt;0,I.Performance.RangeCount&gt;=339,F1409=""),"Incomplete","Complete")</f>
        <v>Complete</v>
      </c>
      <c r="I1409" s="55" t="s">
        <v>1607</v>
      </c>
    </row>
    <row r="1410" spans="2:9" ht="15" customHeight="1" x14ac:dyDescent="0.25">
      <c r="B1410" s="51" t="s">
        <v>125</v>
      </c>
      <c r="C1410" s="52">
        <v>340</v>
      </c>
      <c r="D1410" s="53" t="s">
        <v>4327</v>
      </c>
      <c r="E1410" s="54"/>
      <c r="F1410" s="52" t="str">
        <f>IF(INDEX(I.Performance.EndRange,340)="","",INDEX(I.Performance.EndRange,340))</f>
        <v/>
      </c>
      <c r="G1410" s="54"/>
      <c r="H1410" s="52" t="str">
        <f>IF(AND(I.Compliance.FulfilledPerformance&gt;0,I.Performance.RangeCount&gt;=340,F1410=""),"Incomplete","Complete")</f>
        <v>Complete</v>
      </c>
      <c r="I1410" s="55" t="s">
        <v>1608</v>
      </c>
    </row>
    <row r="1411" spans="2:9" ht="15" customHeight="1" x14ac:dyDescent="0.25">
      <c r="B1411" s="51" t="s">
        <v>125</v>
      </c>
      <c r="C1411" s="52">
        <v>341</v>
      </c>
      <c r="D1411" s="53" t="s">
        <v>4327</v>
      </c>
      <c r="E1411" s="54"/>
      <c r="F1411" s="52" t="str">
        <f>IF(INDEX(I.Performance.EndRange,341)="","",INDEX(I.Performance.EndRange,341))</f>
        <v/>
      </c>
      <c r="G1411" s="54"/>
      <c r="H1411" s="52" t="str">
        <f>IF(AND(I.Compliance.FulfilledPerformance&gt;0,I.Performance.RangeCount&gt;=341,F1411=""),"Incomplete","Complete")</f>
        <v>Complete</v>
      </c>
      <c r="I1411" s="55" t="s">
        <v>1609</v>
      </c>
    </row>
    <row r="1412" spans="2:9" ht="15" customHeight="1" x14ac:dyDescent="0.25">
      <c r="B1412" s="51" t="s">
        <v>125</v>
      </c>
      <c r="C1412" s="52">
        <v>342</v>
      </c>
      <c r="D1412" s="53" t="s">
        <v>4327</v>
      </c>
      <c r="E1412" s="54"/>
      <c r="F1412" s="52" t="str">
        <f>IF(INDEX(I.Performance.EndRange,342)="","",INDEX(I.Performance.EndRange,342))</f>
        <v/>
      </c>
      <c r="G1412" s="54"/>
      <c r="H1412" s="52" t="str">
        <f>IF(AND(I.Compliance.FulfilledPerformance&gt;0,I.Performance.RangeCount&gt;=342,F1412=""),"Incomplete","Complete")</f>
        <v>Complete</v>
      </c>
      <c r="I1412" s="55" t="s">
        <v>1610</v>
      </c>
    </row>
    <row r="1413" spans="2:9" ht="15" customHeight="1" x14ac:dyDescent="0.25">
      <c r="B1413" s="51" t="s">
        <v>125</v>
      </c>
      <c r="C1413" s="52">
        <v>343</v>
      </c>
      <c r="D1413" s="53" t="s">
        <v>4327</v>
      </c>
      <c r="E1413" s="54"/>
      <c r="F1413" s="52" t="str">
        <f>IF(INDEX(I.Performance.EndRange,343)="","",INDEX(I.Performance.EndRange,343))</f>
        <v/>
      </c>
      <c r="G1413" s="54"/>
      <c r="H1413" s="52" t="str">
        <f>IF(AND(I.Compliance.FulfilledPerformance&gt;0,I.Performance.RangeCount&gt;=343,F1413=""),"Incomplete","Complete")</f>
        <v>Complete</v>
      </c>
      <c r="I1413" s="55" t="s">
        <v>1611</v>
      </c>
    </row>
    <row r="1414" spans="2:9" ht="15" customHeight="1" x14ac:dyDescent="0.25">
      <c r="B1414" s="51" t="s">
        <v>125</v>
      </c>
      <c r="C1414" s="52">
        <v>344</v>
      </c>
      <c r="D1414" s="53" t="s">
        <v>4327</v>
      </c>
      <c r="E1414" s="54"/>
      <c r="F1414" s="52" t="str">
        <f>IF(INDEX(I.Performance.EndRange,344)="","",INDEX(I.Performance.EndRange,344))</f>
        <v/>
      </c>
      <c r="G1414" s="54"/>
      <c r="H1414" s="52" t="str">
        <f>IF(AND(I.Compliance.FulfilledPerformance&gt;0,I.Performance.RangeCount&gt;=344,F1414=""),"Incomplete","Complete")</f>
        <v>Complete</v>
      </c>
      <c r="I1414" s="55" t="s">
        <v>1612</v>
      </c>
    </row>
    <row r="1415" spans="2:9" ht="15" customHeight="1" x14ac:dyDescent="0.25">
      <c r="B1415" s="51" t="s">
        <v>125</v>
      </c>
      <c r="C1415" s="52">
        <v>345</v>
      </c>
      <c r="D1415" s="53" t="s">
        <v>4327</v>
      </c>
      <c r="E1415" s="54"/>
      <c r="F1415" s="52" t="str">
        <f>IF(INDEX(I.Performance.EndRange,345)="","",INDEX(I.Performance.EndRange,345))</f>
        <v/>
      </c>
      <c r="G1415" s="54"/>
      <c r="H1415" s="52" t="str">
        <f>IF(AND(I.Compliance.FulfilledPerformance&gt;0,I.Performance.RangeCount&gt;=345,F1415=""),"Incomplete","Complete")</f>
        <v>Complete</v>
      </c>
      <c r="I1415" s="55" t="s">
        <v>1613</v>
      </c>
    </row>
    <row r="1416" spans="2:9" ht="15" customHeight="1" x14ac:dyDescent="0.25">
      <c r="B1416" s="51" t="s">
        <v>125</v>
      </c>
      <c r="C1416" s="52">
        <v>346</v>
      </c>
      <c r="D1416" s="53" t="s">
        <v>4327</v>
      </c>
      <c r="E1416" s="54"/>
      <c r="F1416" s="52" t="str">
        <f>IF(INDEX(I.Performance.EndRange,346)="","",INDEX(I.Performance.EndRange,346))</f>
        <v/>
      </c>
      <c r="G1416" s="54"/>
      <c r="H1416" s="52" t="str">
        <f>IF(AND(I.Compliance.FulfilledPerformance&gt;0,I.Performance.RangeCount&gt;=346,F1416=""),"Incomplete","Complete")</f>
        <v>Complete</v>
      </c>
      <c r="I1416" s="55" t="s">
        <v>1614</v>
      </c>
    </row>
    <row r="1417" spans="2:9" ht="15" customHeight="1" x14ac:dyDescent="0.25">
      <c r="B1417" s="51" t="s">
        <v>125</v>
      </c>
      <c r="C1417" s="52">
        <v>347</v>
      </c>
      <c r="D1417" s="53" t="s">
        <v>4327</v>
      </c>
      <c r="E1417" s="54"/>
      <c r="F1417" s="52" t="str">
        <f>IF(INDEX(I.Performance.EndRange,347)="","",INDEX(I.Performance.EndRange,347))</f>
        <v/>
      </c>
      <c r="G1417" s="54"/>
      <c r="H1417" s="52" t="str">
        <f>IF(AND(I.Compliance.FulfilledPerformance&gt;0,I.Performance.RangeCount&gt;=347,F1417=""),"Incomplete","Complete")</f>
        <v>Complete</v>
      </c>
      <c r="I1417" s="55" t="s">
        <v>1615</v>
      </c>
    </row>
    <row r="1418" spans="2:9" ht="15" customHeight="1" x14ac:dyDescent="0.25">
      <c r="B1418" s="51" t="s">
        <v>125</v>
      </c>
      <c r="C1418" s="52">
        <v>348</v>
      </c>
      <c r="D1418" s="53" t="s">
        <v>4327</v>
      </c>
      <c r="E1418" s="54"/>
      <c r="F1418" s="52" t="str">
        <f>IF(INDEX(I.Performance.EndRange,348)="","",INDEX(I.Performance.EndRange,348))</f>
        <v/>
      </c>
      <c r="G1418" s="54"/>
      <c r="H1418" s="52" t="str">
        <f>IF(AND(I.Compliance.FulfilledPerformance&gt;0,I.Performance.RangeCount&gt;=348,F1418=""),"Incomplete","Complete")</f>
        <v>Complete</v>
      </c>
      <c r="I1418" s="55" t="s">
        <v>1616</v>
      </c>
    </row>
    <row r="1419" spans="2:9" ht="15" customHeight="1" x14ac:dyDescent="0.25">
      <c r="B1419" s="51" t="s">
        <v>125</v>
      </c>
      <c r="C1419" s="52">
        <v>349</v>
      </c>
      <c r="D1419" s="53" t="s">
        <v>4327</v>
      </c>
      <c r="E1419" s="54"/>
      <c r="F1419" s="52" t="str">
        <f>IF(INDEX(I.Performance.EndRange,349)="","",INDEX(I.Performance.EndRange,349))</f>
        <v/>
      </c>
      <c r="G1419" s="54"/>
      <c r="H1419" s="52" t="str">
        <f>IF(AND(I.Compliance.FulfilledPerformance&gt;0,I.Performance.RangeCount&gt;=349,F1419=""),"Incomplete","Complete")</f>
        <v>Complete</v>
      </c>
      <c r="I1419" s="55" t="s">
        <v>1617</v>
      </c>
    </row>
    <row r="1420" spans="2:9" ht="15" customHeight="1" x14ac:dyDescent="0.25">
      <c r="B1420" s="51" t="s">
        <v>125</v>
      </c>
      <c r="C1420" s="52">
        <v>350</v>
      </c>
      <c r="D1420" s="53" t="s">
        <v>4327</v>
      </c>
      <c r="E1420" s="54"/>
      <c r="F1420" s="52" t="str">
        <f>IF(INDEX(I.Performance.EndRange,350)="","",INDEX(I.Performance.EndRange,350))</f>
        <v/>
      </c>
      <c r="G1420" s="54"/>
      <c r="H1420" s="52" t="str">
        <f>IF(AND(I.Compliance.FulfilledPerformance&gt;0,I.Performance.RangeCount&gt;=350,F1420=""),"Incomplete","Complete")</f>
        <v>Complete</v>
      </c>
      <c r="I1420" s="55" t="s">
        <v>1618</v>
      </c>
    </row>
    <row r="1421" spans="2:9" ht="15" customHeight="1" x14ac:dyDescent="0.25">
      <c r="B1421" s="51" t="s">
        <v>125</v>
      </c>
      <c r="C1421" s="52">
        <v>351</v>
      </c>
      <c r="D1421" s="53" t="s">
        <v>4327</v>
      </c>
      <c r="E1421" s="54"/>
      <c r="F1421" s="52" t="str">
        <f>IF(INDEX(I.Performance.EndRange,351)="","",INDEX(I.Performance.EndRange,351))</f>
        <v/>
      </c>
      <c r="G1421" s="54"/>
      <c r="H1421" s="52" t="str">
        <f>IF(AND(I.Compliance.FulfilledPerformance&gt;0,I.Performance.RangeCount&gt;=351,F1421=""),"Incomplete","Complete")</f>
        <v>Complete</v>
      </c>
      <c r="I1421" s="55" t="s">
        <v>1619</v>
      </c>
    </row>
    <row r="1422" spans="2:9" ht="15" customHeight="1" x14ac:dyDescent="0.25">
      <c r="B1422" s="51" t="s">
        <v>125</v>
      </c>
      <c r="C1422" s="52">
        <v>352</v>
      </c>
      <c r="D1422" s="53" t="s">
        <v>4327</v>
      </c>
      <c r="E1422" s="54"/>
      <c r="F1422" s="52" t="str">
        <f>IF(INDEX(I.Performance.EndRange,352)="","",INDEX(I.Performance.EndRange,352))</f>
        <v/>
      </c>
      <c r="G1422" s="54"/>
      <c r="H1422" s="52" t="str">
        <f>IF(AND(I.Compliance.FulfilledPerformance&gt;0,I.Performance.RangeCount&gt;=352,F1422=""),"Incomplete","Complete")</f>
        <v>Complete</v>
      </c>
      <c r="I1422" s="55" t="s">
        <v>1620</v>
      </c>
    </row>
    <row r="1423" spans="2:9" ht="15" customHeight="1" x14ac:dyDescent="0.25">
      <c r="B1423" s="51" t="s">
        <v>125</v>
      </c>
      <c r="C1423" s="52">
        <v>353</v>
      </c>
      <c r="D1423" s="53" t="s">
        <v>4327</v>
      </c>
      <c r="E1423" s="54"/>
      <c r="F1423" s="52" t="str">
        <f>IF(INDEX(I.Performance.EndRange,353)="","",INDEX(I.Performance.EndRange,353))</f>
        <v/>
      </c>
      <c r="G1423" s="54"/>
      <c r="H1423" s="52" t="str">
        <f>IF(AND(I.Compliance.FulfilledPerformance&gt;0,I.Performance.RangeCount&gt;=353,F1423=""),"Incomplete","Complete")</f>
        <v>Complete</v>
      </c>
      <c r="I1423" s="55" t="s">
        <v>1621</v>
      </c>
    </row>
    <row r="1424" spans="2:9" ht="15" customHeight="1" x14ac:dyDescent="0.25">
      <c r="B1424" s="51" t="s">
        <v>125</v>
      </c>
      <c r="C1424" s="52">
        <v>354</v>
      </c>
      <c r="D1424" s="53" t="s">
        <v>4327</v>
      </c>
      <c r="E1424" s="54"/>
      <c r="F1424" s="52" t="str">
        <f>IF(INDEX(I.Performance.EndRange,354)="","",INDEX(I.Performance.EndRange,354))</f>
        <v/>
      </c>
      <c r="G1424" s="54"/>
      <c r="H1424" s="52" t="str">
        <f>IF(AND(I.Compliance.FulfilledPerformance&gt;0,I.Performance.RangeCount&gt;=354,F1424=""),"Incomplete","Complete")</f>
        <v>Complete</v>
      </c>
      <c r="I1424" s="55" t="s">
        <v>1622</v>
      </c>
    </row>
    <row r="1425" spans="2:9" ht="15" customHeight="1" x14ac:dyDescent="0.25">
      <c r="B1425" s="51" t="s">
        <v>125</v>
      </c>
      <c r="C1425" s="52">
        <v>355</v>
      </c>
      <c r="D1425" s="53" t="s">
        <v>4327</v>
      </c>
      <c r="E1425" s="54"/>
      <c r="F1425" s="52" t="str">
        <f>IF(INDEX(I.Performance.EndRange,355)="","",INDEX(I.Performance.EndRange,355))</f>
        <v/>
      </c>
      <c r="G1425" s="54"/>
      <c r="H1425" s="52" t="str">
        <f>IF(AND(I.Compliance.FulfilledPerformance&gt;0,I.Performance.RangeCount&gt;=355,F1425=""),"Incomplete","Complete")</f>
        <v>Complete</v>
      </c>
      <c r="I1425" s="55" t="s">
        <v>1623</v>
      </c>
    </row>
    <row r="1426" spans="2:9" ht="15" customHeight="1" x14ac:dyDescent="0.25">
      <c r="B1426" s="51" t="s">
        <v>125</v>
      </c>
      <c r="C1426" s="52">
        <v>356</v>
      </c>
      <c r="D1426" s="53" t="s">
        <v>4327</v>
      </c>
      <c r="E1426" s="54"/>
      <c r="F1426" s="52" t="str">
        <f>IF(INDEX(I.Performance.EndRange,356)="","",INDEX(I.Performance.EndRange,356))</f>
        <v/>
      </c>
      <c r="G1426" s="54"/>
      <c r="H1426" s="52" t="str">
        <f>IF(AND(I.Compliance.FulfilledPerformance&gt;0,I.Performance.RangeCount&gt;=356,F1426=""),"Incomplete","Complete")</f>
        <v>Complete</v>
      </c>
      <c r="I1426" s="55" t="s">
        <v>1624</v>
      </c>
    </row>
    <row r="1427" spans="2:9" ht="15" customHeight="1" x14ac:dyDescent="0.25">
      <c r="B1427" s="51" t="s">
        <v>125</v>
      </c>
      <c r="C1427" s="52">
        <v>357</v>
      </c>
      <c r="D1427" s="53" t="s">
        <v>4327</v>
      </c>
      <c r="E1427" s="54"/>
      <c r="F1427" s="52" t="str">
        <f>IF(INDEX(I.Performance.EndRange,357)="","",INDEX(I.Performance.EndRange,357))</f>
        <v/>
      </c>
      <c r="G1427" s="54"/>
      <c r="H1427" s="52" t="str">
        <f>IF(AND(I.Compliance.FulfilledPerformance&gt;0,I.Performance.RangeCount&gt;=357,F1427=""),"Incomplete","Complete")</f>
        <v>Complete</v>
      </c>
      <c r="I1427" s="55" t="s">
        <v>1625</v>
      </c>
    </row>
    <row r="1428" spans="2:9" ht="15" customHeight="1" x14ac:dyDescent="0.25">
      <c r="B1428" s="51" t="s">
        <v>125</v>
      </c>
      <c r="C1428" s="52">
        <v>358</v>
      </c>
      <c r="D1428" s="53" t="s">
        <v>4327</v>
      </c>
      <c r="E1428" s="54"/>
      <c r="F1428" s="52" t="str">
        <f>IF(INDEX(I.Performance.EndRange,358)="","",INDEX(I.Performance.EndRange,358))</f>
        <v/>
      </c>
      <c r="G1428" s="54"/>
      <c r="H1428" s="52" t="str">
        <f>IF(AND(I.Compliance.FulfilledPerformance&gt;0,I.Performance.RangeCount&gt;=358,F1428=""),"Incomplete","Complete")</f>
        <v>Complete</v>
      </c>
      <c r="I1428" s="55" t="s">
        <v>1626</v>
      </c>
    </row>
    <row r="1429" spans="2:9" ht="15" customHeight="1" x14ac:dyDescent="0.25">
      <c r="B1429" s="51" t="s">
        <v>125</v>
      </c>
      <c r="C1429" s="52">
        <v>359</v>
      </c>
      <c r="D1429" s="53" t="s">
        <v>4327</v>
      </c>
      <c r="E1429" s="54"/>
      <c r="F1429" s="52" t="str">
        <f>IF(INDEX(I.Performance.EndRange,359)="","",INDEX(I.Performance.EndRange,359))</f>
        <v/>
      </c>
      <c r="G1429" s="54"/>
      <c r="H1429" s="52" t="str">
        <f>IF(AND(I.Compliance.FulfilledPerformance&gt;0,I.Performance.RangeCount&gt;=359,F1429=""),"Incomplete","Complete")</f>
        <v>Complete</v>
      </c>
      <c r="I1429" s="55" t="s">
        <v>1627</v>
      </c>
    </row>
    <row r="1430" spans="2:9" ht="15" customHeight="1" x14ac:dyDescent="0.25">
      <c r="B1430" s="51" t="s">
        <v>125</v>
      </c>
      <c r="C1430" s="52">
        <v>360</v>
      </c>
      <c r="D1430" s="53" t="s">
        <v>4327</v>
      </c>
      <c r="E1430" s="54"/>
      <c r="F1430" s="52" t="str">
        <f>IF(INDEX(I.Performance.EndRange,360)="","",INDEX(I.Performance.EndRange,360))</f>
        <v/>
      </c>
      <c r="G1430" s="54"/>
      <c r="H1430" s="52" t="str">
        <f>IF(AND(I.Compliance.FulfilledPerformance&gt;0,I.Performance.RangeCount&gt;=360,F1430=""),"Incomplete","Complete")</f>
        <v>Complete</v>
      </c>
      <c r="I1430" s="55" t="s">
        <v>1628</v>
      </c>
    </row>
    <row r="1431" spans="2:9" ht="15" customHeight="1" x14ac:dyDescent="0.25">
      <c r="B1431" s="51" t="s">
        <v>125</v>
      </c>
      <c r="C1431" s="52">
        <v>361</v>
      </c>
      <c r="D1431" s="53" t="s">
        <v>4327</v>
      </c>
      <c r="E1431" s="54"/>
      <c r="F1431" s="52" t="str">
        <f>IF(INDEX(I.Performance.EndRange,361)="","",INDEX(I.Performance.EndRange,361))</f>
        <v/>
      </c>
      <c r="G1431" s="54"/>
      <c r="H1431" s="52" t="str">
        <f>IF(AND(I.Compliance.FulfilledPerformance&gt;0,I.Performance.RangeCount&gt;=361,F1431=""),"Incomplete","Complete")</f>
        <v>Complete</v>
      </c>
      <c r="I1431" s="55" t="s">
        <v>1629</v>
      </c>
    </row>
    <row r="1432" spans="2:9" ht="15" customHeight="1" x14ac:dyDescent="0.25">
      <c r="B1432" s="51" t="s">
        <v>125</v>
      </c>
      <c r="C1432" s="52">
        <v>362</v>
      </c>
      <c r="D1432" s="53" t="s">
        <v>4327</v>
      </c>
      <c r="E1432" s="54"/>
      <c r="F1432" s="52" t="str">
        <f>IF(INDEX(I.Performance.EndRange,362)="","",INDEX(I.Performance.EndRange,362))</f>
        <v/>
      </c>
      <c r="G1432" s="54"/>
      <c r="H1432" s="52" t="str">
        <f>IF(AND(I.Compliance.FulfilledPerformance&gt;0,I.Performance.RangeCount&gt;=362,F1432=""),"Incomplete","Complete")</f>
        <v>Complete</v>
      </c>
      <c r="I1432" s="55" t="s">
        <v>1630</v>
      </c>
    </row>
    <row r="1433" spans="2:9" ht="15" customHeight="1" x14ac:dyDescent="0.25">
      <c r="B1433" s="51" t="s">
        <v>125</v>
      </c>
      <c r="C1433" s="52">
        <v>363</v>
      </c>
      <c r="D1433" s="53" t="s">
        <v>4327</v>
      </c>
      <c r="E1433" s="54"/>
      <c r="F1433" s="52" t="str">
        <f>IF(INDEX(I.Performance.EndRange,363)="","",INDEX(I.Performance.EndRange,363))</f>
        <v/>
      </c>
      <c r="G1433" s="54"/>
      <c r="H1433" s="52" t="str">
        <f>IF(AND(I.Compliance.FulfilledPerformance&gt;0,I.Performance.RangeCount&gt;=363,F1433=""),"Incomplete","Complete")</f>
        <v>Complete</v>
      </c>
      <c r="I1433" s="55" t="s">
        <v>1631</v>
      </c>
    </row>
    <row r="1434" spans="2:9" ht="15" customHeight="1" x14ac:dyDescent="0.25">
      <c r="B1434" s="51" t="s">
        <v>125</v>
      </c>
      <c r="C1434" s="52">
        <v>364</v>
      </c>
      <c r="D1434" s="53" t="s">
        <v>4327</v>
      </c>
      <c r="E1434" s="54"/>
      <c r="F1434" s="52" t="str">
        <f>IF(INDEX(I.Performance.EndRange,364)="","",INDEX(I.Performance.EndRange,364))</f>
        <v/>
      </c>
      <c r="G1434" s="54"/>
      <c r="H1434" s="52" t="str">
        <f>IF(AND(I.Compliance.FulfilledPerformance&gt;0,I.Performance.RangeCount&gt;=364,F1434=""),"Incomplete","Complete")</f>
        <v>Complete</v>
      </c>
      <c r="I1434" s="55" t="s">
        <v>1632</v>
      </c>
    </row>
    <row r="1435" spans="2:9" ht="15" customHeight="1" x14ac:dyDescent="0.25">
      <c r="B1435" s="51" t="s">
        <v>125</v>
      </c>
      <c r="C1435" s="52">
        <v>365</v>
      </c>
      <c r="D1435" s="53" t="s">
        <v>4327</v>
      </c>
      <c r="E1435" s="54"/>
      <c r="F1435" s="52" t="str">
        <f>IF(INDEX(I.Performance.EndRange,365)="","",INDEX(I.Performance.EndRange,365))</f>
        <v/>
      </c>
      <c r="G1435" s="54"/>
      <c r="H1435" s="52" t="str">
        <f>IF(AND(I.Compliance.FulfilledPerformance&gt;0,I.Performance.RangeCount&gt;=365,F1435=""),"Incomplete","Complete")</f>
        <v>Complete</v>
      </c>
      <c r="I1435" s="55" t="s">
        <v>1633</v>
      </c>
    </row>
    <row r="1436" spans="2:9" ht="15" customHeight="1" x14ac:dyDescent="0.25">
      <c r="B1436" s="51" t="s">
        <v>125</v>
      </c>
      <c r="C1436" s="52">
        <v>366</v>
      </c>
      <c r="D1436" s="53" t="s">
        <v>4327</v>
      </c>
      <c r="E1436" s="54"/>
      <c r="F1436" s="52" t="str">
        <f>IF(INDEX(I.Performance.EndRange,366)="","",INDEX(I.Performance.EndRange,366))</f>
        <v/>
      </c>
      <c r="G1436" s="54"/>
      <c r="H1436" s="52" t="str">
        <f>IF(AND(I.Compliance.FulfilledPerformance&gt;0,I.Performance.RangeCount&gt;=366,F1436=""),"Incomplete","Complete")</f>
        <v>Complete</v>
      </c>
      <c r="I1436" s="55" t="s">
        <v>1634</v>
      </c>
    </row>
    <row r="1437" spans="2:9" ht="15" customHeight="1" x14ac:dyDescent="0.25">
      <c r="B1437" s="51" t="s">
        <v>125</v>
      </c>
      <c r="C1437" s="52">
        <v>367</v>
      </c>
      <c r="D1437" s="53" t="s">
        <v>4327</v>
      </c>
      <c r="E1437" s="54"/>
      <c r="F1437" s="52" t="str">
        <f>IF(INDEX(I.Performance.EndRange,367)="","",INDEX(I.Performance.EndRange,367))</f>
        <v/>
      </c>
      <c r="G1437" s="54"/>
      <c r="H1437" s="52" t="str">
        <f>IF(AND(I.Compliance.FulfilledPerformance&gt;0,I.Performance.RangeCount&gt;=367,F1437=""),"Incomplete","Complete")</f>
        <v>Complete</v>
      </c>
      <c r="I1437" s="55" t="s">
        <v>1635</v>
      </c>
    </row>
    <row r="1438" spans="2:9" ht="15" customHeight="1" x14ac:dyDescent="0.25">
      <c r="B1438" s="51" t="s">
        <v>125</v>
      </c>
      <c r="C1438" s="52">
        <v>368</v>
      </c>
      <c r="D1438" s="53" t="s">
        <v>4327</v>
      </c>
      <c r="E1438" s="54"/>
      <c r="F1438" s="52" t="str">
        <f>IF(INDEX(I.Performance.EndRange,368)="","",INDEX(I.Performance.EndRange,368))</f>
        <v/>
      </c>
      <c r="G1438" s="54"/>
      <c r="H1438" s="52" t="str">
        <f>IF(AND(I.Compliance.FulfilledPerformance&gt;0,I.Performance.RangeCount&gt;=368,F1438=""),"Incomplete","Complete")</f>
        <v>Complete</v>
      </c>
      <c r="I1438" s="55" t="s">
        <v>1636</v>
      </c>
    </row>
    <row r="1439" spans="2:9" ht="15" customHeight="1" x14ac:dyDescent="0.25">
      <c r="B1439" s="51" t="s">
        <v>125</v>
      </c>
      <c r="C1439" s="52">
        <v>369</v>
      </c>
      <c r="D1439" s="53" t="s">
        <v>4327</v>
      </c>
      <c r="E1439" s="54"/>
      <c r="F1439" s="52" t="str">
        <f>IF(INDEX(I.Performance.EndRange,369)="","",INDEX(I.Performance.EndRange,369))</f>
        <v/>
      </c>
      <c r="G1439" s="54"/>
      <c r="H1439" s="52" t="str">
        <f>IF(AND(I.Compliance.FulfilledPerformance&gt;0,I.Performance.RangeCount&gt;=369,F1439=""),"Incomplete","Complete")</f>
        <v>Complete</v>
      </c>
      <c r="I1439" s="55" t="s">
        <v>1637</v>
      </c>
    </row>
    <row r="1440" spans="2:9" ht="15" customHeight="1" x14ac:dyDescent="0.25">
      <c r="B1440" s="51" t="s">
        <v>125</v>
      </c>
      <c r="C1440" s="52">
        <v>370</v>
      </c>
      <c r="D1440" s="53" t="s">
        <v>4327</v>
      </c>
      <c r="E1440" s="54"/>
      <c r="F1440" s="52" t="str">
        <f>IF(INDEX(I.Performance.EndRange,370)="","",INDEX(I.Performance.EndRange,370))</f>
        <v/>
      </c>
      <c r="G1440" s="54"/>
      <c r="H1440" s="52" t="str">
        <f>IF(AND(I.Compliance.FulfilledPerformance&gt;0,I.Performance.RangeCount&gt;=370,F1440=""),"Incomplete","Complete")</f>
        <v>Complete</v>
      </c>
      <c r="I1440" s="55" t="s">
        <v>1638</v>
      </c>
    </row>
    <row r="1441" spans="2:9" ht="15" customHeight="1" x14ac:dyDescent="0.25">
      <c r="B1441" s="51" t="s">
        <v>125</v>
      </c>
      <c r="C1441" s="52">
        <v>371</v>
      </c>
      <c r="D1441" s="53" t="s">
        <v>4327</v>
      </c>
      <c r="E1441" s="54"/>
      <c r="F1441" s="52" t="str">
        <f>IF(INDEX(I.Performance.EndRange,371)="","",INDEX(I.Performance.EndRange,371))</f>
        <v/>
      </c>
      <c r="G1441" s="54"/>
      <c r="H1441" s="52" t="str">
        <f>IF(AND(I.Compliance.FulfilledPerformance&gt;0,I.Performance.RangeCount&gt;=371,F1441=""),"Incomplete","Complete")</f>
        <v>Complete</v>
      </c>
      <c r="I1441" s="55" t="s">
        <v>1639</v>
      </c>
    </row>
    <row r="1442" spans="2:9" ht="15" customHeight="1" x14ac:dyDescent="0.25">
      <c r="B1442" s="51" t="s">
        <v>125</v>
      </c>
      <c r="C1442" s="52">
        <v>372</v>
      </c>
      <c r="D1442" s="53" t="s">
        <v>4327</v>
      </c>
      <c r="E1442" s="54"/>
      <c r="F1442" s="52" t="str">
        <f>IF(INDEX(I.Performance.EndRange,372)="","",INDEX(I.Performance.EndRange,372))</f>
        <v/>
      </c>
      <c r="G1442" s="54"/>
      <c r="H1442" s="52" t="str">
        <f>IF(AND(I.Compliance.FulfilledPerformance&gt;0,I.Performance.RangeCount&gt;=372,F1442=""),"Incomplete","Complete")</f>
        <v>Complete</v>
      </c>
      <c r="I1442" s="55" t="s">
        <v>1640</v>
      </c>
    </row>
    <row r="1443" spans="2:9" ht="15" customHeight="1" x14ac:dyDescent="0.25">
      <c r="B1443" s="51" t="s">
        <v>125</v>
      </c>
      <c r="C1443" s="52">
        <v>373</v>
      </c>
      <c r="D1443" s="53" t="s">
        <v>4327</v>
      </c>
      <c r="E1443" s="54"/>
      <c r="F1443" s="52" t="str">
        <f>IF(INDEX(I.Performance.EndRange,373)="","",INDEX(I.Performance.EndRange,373))</f>
        <v/>
      </c>
      <c r="G1443" s="54"/>
      <c r="H1443" s="52" t="str">
        <f>IF(AND(I.Compliance.FulfilledPerformance&gt;0,I.Performance.RangeCount&gt;=373,F1443=""),"Incomplete","Complete")</f>
        <v>Complete</v>
      </c>
      <c r="I1443" s="55" t="s">
        <v>1641</v>
      </c>
    </row>
    <row r="1444" spans="2:9" ht="15" customHeight="1" x14ac:dyDescent="0.25">
      <c r="B1444" s="51" t="s">
        <v>125</v>
      </c>
      <c r="C1444" s="52">
        <v>374</v>
      </c>
      <c r="D1444" s="53" t="s">
        <v>4327</v>
      </c>
      <c r="E1444" s="54"/>
      <c r="F1444" s="52" t="str">
        <f>IF(INDEX(I.Performance.EndRange,374)="","",INDEX(I.Performance.EndRange,374))</f>
        <v/>
      </c>
      <c r="G1444" s="54"/>
      <c r="H1444" s="52" t="str">
        <f>IF(AND(I.Compliance.FulfilledPerformance&gt;0,I.Performance.RangeCount&gt;=374,F1444=""),"Incomplete","Complete")</f>
        <v>Complete</v>
      </c>
      <c r="I1444" s="55" t="s">
        <v>1642</v>
      </c>
    </row>
    <row r="1445" spans="2:9" ht="15" customHeight="1" x14ac:dyDescent="0.25">
      <c r="B1445" s="51" t="s">
        <v>125</v>
      </c>
      <c r="C1445" s="52">
        <v>375</v>
      </c>
      <c r="D1445" s="53" t="s">
        <v>4327</v>
      </c>
      <c r="E1445" s="54"/>
      <c r="F1445" s="52" t="str">
        <f>IF(INDEX(I.Performance.EndRange,375)="","",INDEX(I.Performance.EndRange,375))</f>
        <v/>
      </c>
      <c r="G1445" s="54"/>
      <c r="H1445" s="52" t="str">
        <f>IF(AND(I.Compliance.FulfilledPerformance&gt;0,I.Performance.RangeCount&gt;=375,F1445=""),"Incomplete","Complete")</f>
        <v>Complete</v>
      </c>
      <c r="I1445" s="55" t="s">
        <v>1643</v>
      </c>
    </row>
    <row r="1446" spans="2:9" ht="15" customHeight="1" x14ac:dyDescent="0.25">
      <c r="B1446" s="51" t="s">
        <v>125</v>
      </c>
      <c r="C1446" s="52">
        <v>376</v>
      </c>
      <c r="D1446" s="53" t="s">
        <v>4327</v>
      </c>
      <c r="E1446" s="54"/>
      <c r="F1446" s="52" t="str">
        <f>IF(INDEX(I.Performance.EndRange,376)="","",INDEX(I.Performance.EndRange,376))</f>
        <v/>
      </c>
      <c r="G1446" s="54"/>
      <c r="H1446" s="52" t="str">
        <f>IF(AND(I.Compliance.FulfilledPerformance&gt;0,I.Performance.RangeCount&gt;=376,F1446=""),"Incomplete","Complete")</f>
        <v>Complete</v>
      </c>
      <c r="I1446" s="55" t="s">
        <v>1644</v>
      </c>
    </row>
    <row r="1447" spans="2:9" ht="15" customHeight="1" x14ac:dyDescent="0.25">
      <c r="B1447" s="51" t="s">
        <v>125</v>
      </c>
      <c r="C1447" s="52">
        <v>377</v>
      </c>
      <c r="D1447" s="53" t="s">
        <v>4327</v>
      </c>
      <c r="E1447" s="54"/>
      <c r="F1447" s="52" t="str">
        <f>IF(INDEX(I.Performance.EndRange,377)="","",INDEX(I.Performance.EndRange,377))</f>
        <v/>
      </c>
      <c r="G1447" s="54"/>
      <c r="H1447" s="52" t="str">
        <f>IF(AND(I.Compliance.FulfilledPerformance&gt;0,I.Performance.RangeCount&gt;=377,F1447=""),"Incomplete","Complete")</f>
        <v>Complete</v>
      </c>
      <c r="I1447" s="55" t="s">
        <v>1645</v>
      </c>
    </row>
    <row r="1448" spans="2:9" ht="15" customHeight="1" x14ac:dyDescent="0.25">
      <c r="B1448" s="51" t="s">
        <v>125</v>
      </c>
      <c r="C1448" s="52">
        <v>378</v>
      </c>
      <c r="D1448" s="53" t="s">
        <v>4327</v>
      </c>
      <c r="E1448" s="54"/>
      <c r="F1448" s="52" t="str">
        <f>IF(INDEX(I.Performance.EndRange,378)="","",INDEX(I.Performance.EndRange,378))</f>
        <v/>
      </c>
      <c r="G1448" s="54"/>
      <c r="H1448" s="52" t="str">
        <f>IF(AND(I.Compliance.FulfilledPerformance&gt;0,I.Performance.RangeCount&gt;=378,F1448=""),"Incomplete","Complete")</f>
        <v>Complete</v>
      </c>
      <c r="I1448" s="55" t="s">
        <v>1646</v>
      </c>
    </row>
    <row r="1449" spans="2:9" ht="15" customHeight="1" x14ac:dyDescent="0.25">
      <c r="B1449" s="51" t="s">
        <v>125</v>
      </c>
      <c r="C1449" s="52">
        <v>379</v>
      </c>
      <c r="D1449" s="53" t="s">
        <v>4327</v>
      </c>
      <c r="E1449" s="54"/>
      <c r="F1449" s="52" t="str">
        <f>IF(INDEX(I.Performance.EndRange,379)="","",INDEX(I.Performance.EndRange,379))</f>
        <v/>
      </c>
      <c r="G1449" s="54"/>
      <c r="H1449" s="52" t="str">
        <f>IF(AND(I.Compliance.FulfilledPerformance&gt;0,I.Performance.RangeCount&gt;=379,F1449=""),"Incomplete","Complete")</f>
        <v>Complete</v>
      </c>
      <c r="I1449" s="55" t="s">
        <v>1647</v>
      </c>
    </row>
    <row r="1450" spans="2:9" ht="15" customHeight="1" x14ac:dyDescent="0.25">
      <c r="B1450" s="51" t="s">
        <v>125</v>
      </c>
      <c r="C1450" s="52">
        <v>380</v>
      </c>
      <c r="D1450" s="53" t="s">
        <v>4327</v>
      </c>
      <c r="E1450" s="54"/>
      <c r="F1450" s="52" t="str">
        <f>IF(INDEX(I.Performance.EndRange,380)="","",INDEX(I.Performance.EndRange,380))</f>
        <v/>
      </c>
      <c r="G1450" s="54"/>
      <c r="H1450" s="52" t="str">
        <f>IF(AND(I.Compliance.FulfilledPerformance&gt;0,I.Performance.RangeCount&gt;=380,F1450=""),"Incomplete","Complete")</f>
        <v>Complete</v>
      </c>
      <c r="I1450" s="55" t="s">
        <v>1648</v>
      </c>
    </row>
    <row r="1451" spans="2:9" ht="15" customHeight="1" x14ac:dyDescent="0.25">
      <c r="B1451" s="51" t="s">
        <v>125</v>
      </c>
      <c r="C1451" s="52">
        <v>381</v>
      </c>
      <c r="D1451" s="53" t="s">
        <v>4327</v>
      </c>
      <c r="E1451" s="54"/>
      <c r="F1451" s="52" t="str">
        <f>IF(INDEX(I.Performance.EndRange,381)="","",INDEX(I.Performance.EndRange,381))</f>
        <v/>
      </c>
      <c r="G1451" s="54"/>
      <c r="H1451" s="52" t="str">
        <f>IF(AND(I.Compliance.FulfilledPerformance&gt;0,I.Performance.RangeCount&gt;=381,F1451=""),"Incomplete","Complete")</f>
        <v>Complete</v>
      </c>
      <c r="I1451" s="55" t="s">
        <v>1649</v>
      </c>
    </row>
    <row r="1452" spans="2:9" ht="15" customHeight="1" x14ac:dyDescent="0.25">
      <c r="B1452" s="51" t="s">
        <v>125</v>
      </c>
      <c r="C1452" s="52">
        <v>382</v>
      </c>
      <c r="D1452" s="53" t="s">
        <v>4327</v>
      </c>
      <c r="E1452" s="54"/>
      <c r="F1452" s="52" t="str">
        <f>IF(INDEX(I.Performance.EndRange,382)="","",INDEX(I.Performance.EndRange,382))</f>
        <v/>
      </c>
      <c r="G1452" s="54"/>
      <c r="H1452" s="52" t="str">
        <f>IF(AND(I.Compliance.FulfilledPerformance&gt;0,I.Performance.RangeCount&gt;=382,F1452=""),"Incomplete","Complete")</f>
        <v>Complete</v>
      </c>
      <c r="I1452" s="55" t="s">
        <v>1650</v>
      </c>
    </row>
    <row r="1453" spans="2:9" ht="15" customHeight="1" x14ac:dyDescent="0.25">
      <c r="B1453" s="51" t="s">
        <v>125</v>
      </c>
      <c r="C1453" s="52">
        <v>383</v>
      </c>
      <c r="D1453" s="53" t="s">
        <v>4327</v>
      </c>
      <c r="E1453" s="54"/>
      <c r="F1453" s="52" t="str">
        <f>IF(INDEX(I.Performance.EndRange,383)="","",INDEX(I.Performance.EndRange,383))</f>
        <v/>
      </c>
      <c r="G1453" s="54"/>
      <c r="H1453" s="52" t="str">
        <f>IF(AND(I.Compliance.FulfilledPerformance&gt;0,I.Performance.RangeCount&gt;=383,F1453=""),"Incomplete","Complete")</f>
        <v>Complete</v>
      </c>
      <c r="I1453" s="55" t="s">
        <v>1651</v>
      </c>
    </row>
    <row r="1454" spans="2:9" ht="15" customHeight="1" x14ac:dyDescent="0.25">
      <c r="B1454" s="51" t="s">
        <v>125</v>
      </c>
      <c r="C1454" s="52">
        <v>384</v>
      </c>
      <c r="D1454" s="53" t="s">
        <v>4327</v>
      </c>
      <c r="E1454" s="54"/>
      <c r="F1454" s="52" t="str">
        <f>IF(INDEX(I.Performance.EndRange,384)="","",INDEX(I.Performance.EndRange,384))</f>
        <v/>
      </c>
      <c r="G1454" s="54"/>
      <c r="H1454" s="52" t="str">
        <f>IF(AND(I.Compliance.FulfilledPerformance&gt;0,I.Performance.RangeCount&gt;=384,F1454=""),"Incomplete","Complete")</f>
        <v>Complete</v>
      </c>
      <c r="I1454" s="55" t="s">
        <v>1652</v>
      </c>
    </row>
    <row r="1455" spans="2:9" ht="15" customHeight="1" x14ac:dyDescent="0.25">
      <c r="B1455" s="51" t="s">
        <v>125</v>
      </c>
      <c r="C1455" s="52">
        <v>385</v>
      </c>
      <c r="D1455" s="53" t="s">
        <v>4327</v>
      </c>
      <c r="E1455" s="54"/>
      <c r="F1455" s="52" t="str">
        <f>IF(INDEX(I.Performance.EndRange,385)="","",INDEX(I.Performance.EndRange,385))</f>
        <v/>
      </c>
      <c r="G1455" s="54"/>
      <c r="H1455" s="52" t="str">
        <f>IF(AND(I.Compliance.FulfilledPerformance&gt;0,I.Performance.RangeCount&gt;=385,F1455=""),"Incomplete","Complete")</f>
        <v>Complete</v>
      </c>
      <c r="I1455" s="55" t="s">
        <v>1653</v>
      </c>
    </row>
    <row r="1456" spans="2:9" ht="15" customHeight="1" x14ac:dyDescent="0.25">
      <c r="B1456" s="51" t="s">
        <v>125</v>
      </c>
      <c r="C1456" s="52">
        <v>386</v>
      </c>
      <c r="D1456" s="53" t="s">
        <v>4327</v>
      </c>
      <c r="E1456" s="54"/>
      <c r="F1456" s="52" t="str">
        <f>IF(INDEX(I.Performance.EndRange,386)="","",INDEX(I.Performance.EndRange,386))</f>
        <v/>
      </c>
      <c r="G1456" s="54"/>
      <c r="H1456" s="52" t="str">
        <f>IF(AND(I.Compliance.FulfilledPerformance&gt;0,I.Performance.RangeCount&gt;=386,F1456=""),"Incomplete","Complete")</f>
        <v>Complete</v>
      </c>
      <c r="I1456" s="55" t="s">
        <v>1654</v>
      </c>
    </row>
    <row r="1457" spans="2:9" ht="15" customHeight="1" x14ac:dyDescent="0.25">
      <c r="B1457" s="51" t="s">
        <v>125</v>
      </c>
      <c r="C1457" s="52">
        <v>387</v>
      </c>
      <c r="D1457" s="53" t="s">
        <v>4327</v>
      </c>
      <c r="E1457" s="54"/>
      <c r="F1457" s="52" t="str">
        <f>IF(INDEX(I.Performance.EndRange,387)="","",INDEX(I.Performance.EndRange,387))</f>
        <v/>
      </c>
      <c r="G1457" s="54"/>
      <c r="H1457" s="52" t="str">
        <f>IF(AND(I.Compliance.FulfilledPerformance&gt;0,I.Performance.RangeCount&gt;=387,F1457=""),"Incomplete","Complete")</f>
        <v>Complete</v>
      </c>
      <c r="I1457" s="55" t="s">
        <v>1655</v>
      </c>
    </row>
    <row r="1458" spans="2:9" ht="15" customHeight="1" x14ac:dyDescent="0.25">
      <c r="B1458" s="51" t="s">
        <v>125</v>
      </c>
      <c r="C1458" s="52">
        <v>388</v>
      </c>
      <c r="D1458" s="53" t="s">
        <v>4327</v>
      </c>
      <c r="E1458" s="54"/>
      <c r="F1458" s="52" t="str">
        <f>IF(INDEX(I.Performance.EndRange,388)="","",INDEX(I.Performance.EndRange,388))</f>
        <v/>
      </c>
      <c r="G1458" s="54"/>
      <c r="H1458" s="52" t="str">
        <f>IF(AND(I.Compliance.FulfilledPerformance&gt;0,I.Performance.RangeCount&gt;=388,F1458=""),"Incomplete","Complete")</f>
        <v>Complete</v>
      </c>
      <c r="I1458" s="55" t="s">
        <v>1656</v>
      </c>
    </row>
    <row r="1459" spans="2:9" ht="15" customHeight="1" x14ac:dyDescent="0.25">
      <c r="B1459" s="51" t="s">
        <v>125</v>
      </c>
      <c r="C1459" s="52">
        <v>389</v>
      </c>
      <c r="D1459" s="53" t="s">
        <v>4327</v>
      </c>
      <c r="E1459" s="54"/>
      <c r="F1459" s="52" t="str">
        <f>IF(INDEX(I.Performance.EndRange,389)="","",INDEX(I.Performance.EndRange,389))</f>
        <v/>
      </c>
      <c r="G1459" s="54"/>
      <c r="H1459" s="52" t="str">
        <f>IF(AND(I.Compliance.FulfilledPerformance&gt;0,I.Performance.RangeCount&gt;=389,F1459=""),"Incomplete","Complete")</f>
        <v>Complete</v>
      </c>
      <c r="I1459" s="55" t="s">
        <v>1657</v>
      </c>
    </row>
    <row r="1460" spans="2:9" ht="15" customHeight="1" x14ac:dyDescent="0.25">
      <c r="B1460" s="51" t="s">
        <v>125</v>
      </c>
      <c r="C1460" s="52">
        <v>390</v>
      </c>
      <c r="D1460" s="53" t="s">
        <v>4327</v>
      </c>
      <c r="E1460" s="54"/>
      <c r="F1460" s="52" t="str">
        <f>IF(INDEX(I.Performance.EndRange,390)="","",INDEX(I.Performance.EndRange,390))</f>
        <v/>
      </c>
      <c r="G1460" s="54"/>
      <c r="H1460" s="52" t="str">
        <f>IF(AND(I.Compliance.FulfilledPerformance&gt;0,I.Performance.RangeCount&gt;=390,F1460=""),"Incomplete","Complete")</f>
        <v>Complete</v>
      </c>
      <c r="I1460" s="55" t="s">
        <v>1658</v>
      </c>
    </row>
    <row r="1461" spans="2:9" ht="15" customHeight="1" x14ac:dyDescent="0.25">
      <c r="B1461" s="51" t="s">
        <v>125</v>
      </c>
      <c r="C1461" s="52">
        <v>391</v>
      </c>
      <c r="D1461" s="53" t="s">
        <v>4327</v>
      </c>
      <c r="E1461" s="54"/>
      <c r="F1461" s="52" t="str">
        <f>IF(INDEX(I.Performance.EndRange,391)="","",INDEX(I.Performance.EndRange,391))</f>
        <v/>
      </c>
      <c r="G1461" s="54"/>
      <c r="H1461" s="52" t="str">
        <f>IF(AND(I.Compliance.FulfilledPerformance&gt;0,I.Performance.RangeCount&gt;=391,F1461=""),"Incomplete","Complete")</f>
        <v>Complete</v>
      </c>
      <c r="I1461" s="55" t="s">
        <v>1659</v>
      </c>
    </row>
    <row r="1462" spans="2:9" ht="15" customHeight="1" x14ac:dyDescent="0.25">
      <c r="B1462" s="51" t="s">
        <v>125</v>
      </c>
      <c r="C1462" s="52">
        <v>392</v>
      </c>
      <c r="D1462" s="53" t="s">
        <v>4327</v>
      </c>
      <c r="E1462" s="54"/>
      <c r="F1462" s="52" t="str">
        <f>IF(INDEX(I.Performance.EndRange,392)="","",INDEX(I.Performance.EndRange,392))</f>
        <v/>
      </c>
      <c r="G1462" s="54"/>
      <c r="H1462" s="52" t="str">
        <f>IF(AND(I.Compliance.FulfilledPerformance&gt;0,I.Performance.RangeCount&gt;=392,F1462=""),"Incomplete","Complete")</f>
        <v>Complete</v>
      </c>
      <c r="I1462" s="55" t="s">
        <v>1660</v>
      </c>
    </row>
    <row r="1463" spans="2:9" ht="15" customHeight="1" x14ac:dyDescent="0.25">
      <c r="B1463" s="51" t="s">
        <v>125</v>
      </c>
      <c r="C1463" s="52">
        <v>393</v>
      </c>
      <c r="D1463" s="53" t="s">
        <v>4327</v>
      </c>
      <c r="E1463" s="54"/>
      <c r="F1463" s="52" t="str">
        <f>IF(INDEX(I.Performance.EndRange,393)="","",INDEX(I.Performance.EndRange,393))</f>
        <v/>
      </c>
      <c r="G1463" s="54"/>
      <c r="H1463" s="52" t="str">
        <f>IF(AND(I.Compliance.FulfilledPerformance&gt;0,I.Performance.RangeCount&gt;=393,F1463=""),"Incomplete","Complete")</f>
        <v>Complete</v>
      </c>
      <c r="I1463" s="55" t="s">
        <v>1661</v>
      </c>
    </row>
    <row r="1464" spans="2:9" ht="15" customHeight="1" x14ac:dyDescent="0.25">
      <c r="B1464" s="51" t="s">
        <v>125</v>
      </c>
      <c r="C1464" s="52">
        <v>394</v>
      </c>
      <c r="D1464" s="53" t="s">
        <v>4327</v>
      </c>
      <c r="E1464" s="54"/>
      <c r="F1464" s="52" t="str">
        <f>IF(INDEX(I.Performance.EndRange,394)="","",INDEX(I.Performance.EndRange,394))</f>
        <v/>
      </c>
      <c r="G1464" s="54"/>
      <c r="H1464" s="52" t="str">
        <f>IF(AND(I.Compliance.FulfilledPerformance&gt;0,I.Performance.RangeCount&gt;=394,F1464=""),"Incomplete","Complete")</f>
        <v>Complete</v>
      </c>
      <c r="I1464" s="55" t="s">
        <v>1662</v>
      </c>
    </row>
    <row r="1465" spans="2:9" ht="15" customHeight="1" x14ac:dyDescent="0.25">
      <c r="B1465" s="51" t="s">
        <v>125</v>
      </c>
      <c r="C1465" s="52">
        <v>395</v>
      </c>
      <c r="D1465" s="53" t="s">
        <v>4327</v>
      </c>
      <c r="E1465" s="54"/>
      <c r="F1465" s="52" t="str">
        <f>IF(INDEX(I.Performance.EndRange,395)="","",INDEX(I.Performance.EndRange,395))</f>
        <v/>
      </c>
      <c r="G1465" s="54"/>
      <c r="H1465" s="52" t="str">
        <f>IF(AND(I.Compliance.FulfilledPerformance&gt;0,I.Performance.RangeCount&gt;=395,F1465=""),"Incomplete","Complete")</f>
        <v>Complete</v>
      </c>
      <c r="I1465" s="55" t="s">
        <v>1663</v>
      </c>
    </row>
    <row r="1466" spans="2:9" ht="15" customHeight="1" x14ac:dyDescent="0.25">
      <c r="B1466" s="51" t="s">
        <v>125</v>
      </c>
      <c r="C1466" s="52">
        <v>396</v>
      </c>
      <c r="D1466" s="53" t="s">
        <v>4327</v>
      </c>
      <c r="E1466" s="54"/>
      <c r="F1466" s="52" t="str">
        <f>IF(INDEX(I.Performance.EndRange,396)="","",INDEX(I.Performance.EndRange,396))</f>
        <v/>
      </c>
      <c r="G1466" s="54"/>
      <c r="H1466" s="52" t="str">
        <f>IF(AND(I.Compliance.FulfilledPerformance&gt;0,I.Performance.RangeCount&gt;=396,F1466=""),"Incomplete","Complete")</f>
        <v>Complete</v>
      </c>
      <c r="I1466" s="55" t="s">
        <v>1664</v>
      </c>
    </row>
    <row r="1467" spans="2:9" ht="15" customHeight="1" x14ac:dyDescent="0.25">
      <c r="B1467" s="51" t="s">
        <v>125</v>
      </c>
      <c r="C1467" s="52">
        <v>397</v>
      </c>
      <c r="D1467" s="53" t="s">
        <v>4327</v>
      </c>
      <c r="E1467" s="54"/>
      <c r="F1467" s="52" t="str">
        <f>IF(INDEX(I.Performance.EndRange,397)="","",INDEX(I.Performance.EndRange,397))</f>
        <v/>
      </c>
      <c r="G1467" s="54"/>
      <c r="H1467" s="52" t="str">
        <f>IF(AND(I.Compliance.FulfilledPerformance&gt;0,I.Performance.RangeCount&gt;=397,F1467=""),"Incomplete","Complete")</f>
        <v>Complete</v>
      </c>
      <c r="I1467" s="55" t="s">
        <v>1665</v>
      </c>
    </row>
    <row r="1468" spans="2:9" ht="15" customHeight="1" x14ac:dyDescent="0.25">
      <c r="B1468" s="51" t="s">
        <v>125</v>
      </c>
      <c r="C1468" s="52">
        <v>398</v>
      </c>
      <c r="D1468" s="53" t="s">
        <v>4327</v>
      </c>
      <c r="E1468" s="54"/>
      <c r="F1468" s="52" t="str">
        <f>IF(INDEX(I.Performance.EndRange,398)="","",INDEX(I.Performance.EndRange,398))</f>
        <v/>
      </c>
      <c r="G1468" s="54"/>
      <c r="H1468" s="52" t="str">
        <f>IF(AND(I.Compliance.FulfilledPerformance&gt;0,I.Performance.RangeCount&gt;=398,F1468=""),"Incomplete","Complete")</f>
        <v>Complete</v>
      </c>
      <c r="I1468" s="55" t="s">
        <v>1666</v>
      </c>
    </row>
    <row r="1469" spans="2:9" ht="15" customHeight="1" x14ac:dyDescent="0.25">
      <c r="B1469" s="51" t="s">
        <v>125</v>
      </c>
      <c r="C1469" s="52">
        <v>399</v>
      </c>
      <c r="D1469" s="53" t="s">
        <v>4327</v>
      </c>
      <c r="E1469" s="54"/>
      <c r="F1469" s="52" t="str">
        <f>IF(INDEX(I.Performance.EndRange,399)="","",INDEX(I.Performance.EndRange,399))</f>
        <v/>
      </c>
      <c r="G1469" s="54"/>
      <c r="H1469" s="52" t="str">
        <f>IF(AND(I.Compliance.FulfilledPerformance&gt;0,I.Performance.RangeCount&gt;=399,F1469=""),"Incomplete","Complete")</f>
        <v>Complete</v>
      </c>
      <c r="I1469" s="55" t="s">
        <v>1667</v>
      </c>
    </row>
    <row r="1470" spans="2:9" ht="15" customHeight="1" x14ac:dyDescent="0.25">
      <c r="B1470" s="51" t="s">
        <v>125</v>
      </c>
      <c r="C1470" s="52">
        <v>400</v>
      </c>
      <c r="D1470" s="53" t="s">
        <v>4327</v>
      </c>
      <c r="E1470" s="54"/>
      <c r="F1470" s="52" t="str">
        <f>IF(INDEX(I.Performance.EndRange,400)="","",INDEX(I.Performance.EndRange,400))</f>
        <v/>
      </c>
      <c r="G1470" s="54"/>
      <c r="H1470" s="52" t="str">
        <f>IF(AND(I.Compliance.FulfilledPerformance&gt;0,I.Performance.RangeCount&gt;=400,F1470=""),"Incomplete","Complete")</f>
        <v>Complete</v>
      </c>
      <c r="I1470" s="55" t="s">
        <v>1668</v>
      </c>
    </row>
    <row r="1471" spans="2:9" ht="15" customHeight="1" x14ac:dyDescent="0.25">
      <c r="B1471" s="51" t="s">
        <v>125</v>
      </c>
      <c r="C1471" s="52">
        <v>401</v>
      </c>
      <c r="D1471" s="53" t="s">
        <v>4327</v>
      </c>
      <c r="E1471" s="54"/>
      <c r="F1471" s="52" t="str">
        <f>IF(INDEX(I.Performance.EndRange,401)="","",INDEX(I.Performance.EndRange,401))</f>
        <v/>
      </c>
      <c r="G1471" s="54"/>
      <c r="H1471" s="52" t="str">
        <f>IF(AND(I.Compliance.FulfilledPerformance&gt;0,I.Performance.RangeCount&gt;=401,F1471=""),"Incomplete","Complete")</f>
        <v>Complete</v>
      </c>
      <c r="I1471" s="55" t="s">
        <v>1669</v>
      </c>
    </row>
    <row r="1472" spans="2:9" ht="15" customHeight="1" x14ac:dyDescent="0.25">
      <c r="B1472" s="51" t="s">
        <v>125</v>
      </c>
      <c r="C1472" s="52">
        <v>402</v>
      </c>
      <c r="D1472" s="53" t="s">
        <v>4327</v>
      </c>
      <c r="E1472" s="54"/>
      <c r="F1472" s="52" t="str">
        <f>IF(INDEX(I.Performance.EndRange,402)="","",INDEX(I.Performance.EndRange,402))</f>
        <v/>
      </c>
      <c r="G1472" s="54"/>
      <c r="H1472" s="52" t="str">
        <f>IF(AND(I.Compliance.FulfilledPerformance&gt;0,I.Performance.RangeCount&gt;=402,F1472=""),"Incomplete","Complete")</f>
        <v>Complete</v>
      </c>
      <c r="I1472" s="55" t="s">
        <v>1670</v>
      </c>
    </row>
    <row r="1473" spans="2:9" ht="15" customHeight="1" x14ac:dyDescent="0.25">
      <c r="B1473" s="51" t="s">
        <v>125</v>
      </c>
      <c r="C1473" s="52">
        <v>403</v>
      </c>
      <c r="D1473" s="53" t="s">
        <v>4327</v>
      </c>
      <c r="E1473" s="54"/>
      <c r="F1473" s="52" t="str">
        <f>IF(INDEX(I.Performance.EndRange,403)="","",INDEX(I.Performance.EndRange,403))</f>
        <v/>
      </c>
      <c r="G1473" s="54"/>
      <c r="H1473" s="52" t="str">
        <f>IF(AND(I.Compliance.FulfilledPerformance&gt;0,I.Performance.RangeCount&gt;=403,F1473=""),"Incomplete","Complete")</f>
        <v>Complete</v>
      </c>
      <c r="I1473" s="55" t="s">
        <v>1671</v>
      </c>
    </row>
    <row r="1474" spans="2:9" ht="15" customHeight="1" x14ac:dyDescent="0.25">
      <c r="B1474" s="51" t="s">
        <v>125</v>
      </c>
      <c r="C1474" s="52">
        <v>404</v>
      </c>
      <c r="D1474" s="53" t="s">
        <v>4327</v>
      </c>
      <c r="E1474" s="54"/>
      <c r="F1474" s="52" t="str">
        <f>IF(INDEX(I.Performance.EndRange,404)="","",INDEX(I.Performance.EndRange,404))</f>
        <v/>
      </c>
      <c r="G1474" s="54"/>
      <c r="H1474" s="52" t="str">
        <f>IF(AND(I.Compliance.FulfilledPerformance&gt;0,I.Performance.RangeCount&gt;=404,F1474=""),"Incomplete","Complete")</f>
        <v>Complete</v>
      </c>
      <c r="I1474" s="55" t="s">
        <v>1672</v>
      </c>
    </row>
    <row r="1475" spans="2:9" ht="15" customHeight="1" x14ac:dyDescent="0.25">
      <c r="B1475" s="51" t="s">
        <v>125</v>
      </c>
      <c r="C1475" s="52">
        <v>405</v>
      </c>
      <c r="D1475" s="53" t="s">
        <v>4327</v>
      </c>
      <c r="E1475" s="54"/>
      <c r="F1475" s="52" t="str">
        <f>IF(INDEX(I.Performance.EndRange,405)="","",INDEX(I.Performance.EndRange,405))</f>
        <v/>
      </c>
      <c r="G1475" s="54"/>
      <c r="H1475" s="52" t="str">
        <f>IF(AND(I.Compliance.FulfilledPerformance&gt;0,I.Performance.RangeCount&gt;=405,F1475=""),"Incomplete","Complete")</f>
        <v>Complete</v>
      </c>
      <c r="I1475" s="55" t="s">
        <v>1673</v>
      </c>
    </row>
    <row r="1476" spans="2:9" ht="15" customHeight="1" x14ac:dyDescent="0.25">
      <c r="B1476" s="51" t="s">
        <v>125</v>
      </c>
      <c r="C1476" s="52">
        <v>406</v>
      </c>
      <c r="D1476" s="53" t="s">
        <v>4327</v>
      </c>
      <c r="E1476" s="54"/>
      <c r="F1476" s="52" t="str">
        <f>IF(INDEX(I.Performance.EndRange,406)="","",INDEX(I.Performance.EndRange,406))</f>
        <v/>
      </c>
      <c r="G1476" s="54"/>
      <c r="H1476" s="52" t="str">
        <f>IF(AND(I.Compliance.FulfilledPerformance&gt;0,I.Performance.RangeCount&gt;=406,F1476=""),"Incomplete","Complete")</f>
        <v>Complete</v>
      </c>
      <c r="I1476" s="55" t="s">
        <v>1674</v>
      </c>
    </row>
    <row r="1477" spans="2:9" ht="15" customHeight="1" x14ac:dyDescent="0.25">
      <c r="B1477" s="51" t="s">
        <v>125</v>
      </c>
      <c r="C1477" s="52">
        <v>407</v>
      </c>
      <c r="D1477" s="53" t="s">
        <v>4327</v>
      </c>
      <c r="E1477" s="54"/>
      <c r="F1477" s="52" t="str">
        <f>IF(INDEX(I.Performance.EndRange,407)="","",INDEX(I.Performance.EndRange,407))</f>
        <v/>
      </c>
      <c r="G1477" s="54"/>
      <c r="H1477" s="52" t="str">
        <f>IF(AND(I.Compliance.FulfilledPerformance&gt;0,I.Performance.RangeCount&gt;=407,F1477=""),"Incomplete","Complete")</f>
        <v>Complete</v>
      </c>
      <c r="I1477" s="55" t="s">
        <v>1675</v>
      </c>
    </row>
    <row r="1478" spans="2:9" ht="15" customHeight="1" x14ac:dyDescent="0.25">
      <c r="B1478" s="51" t="s">
        <v>125</v>
      </c>
      <c r="C1478" s="52">
        <v>408</v>
      </c>
      <c r="D1478" s="53" t="s">
        <v>4327</v>
      </c>
      <c r="E1478" s="54"/>
      <c r="F1478" s="52" t="str">
        <f>IF(INDEX(I.Performance.EndRange,408)="","",INDEX(I.Performance.EndRange,408))</f>
        <v/>
      </c>
      <c r="G1478" s="54"/>
      <c r="H1478" s="52" t="str">
        <f>IF(AND(I.Compliance.FulfilledPerformance&gt;0,I.Performance.RangeCount&gt;=408,F1478=""),"Incomplete","Complete")</f>
        <v>Complete</v>
      </c>
      <c r="I1478" s="55" t="s">
        <v>1676</v>
      </c>
    </row>
    <row r="1479" spans="2:9" ht="15" customHeight="1" x14ac:dyDescent="0.25">
      <c r="B1479" s="51" t="s">
        <v>125</v>
      </c>
      <c r="C1479" s="52">
        <v>409</v>
      </c>
      <c r="D1479" s="53" t="s">
        <v>4327</v>
      </c>
      <c r="E1479" s="54"/>
      <c r="F1479" s="52" t="str">
        <f>IF(INDEX(I.Performance.EndRange,409)="","",INDEX(I.Performance.EndRange,409))</f>
        <v/>
      </c>
      <c r="G1479" s="54"/>
      <c r="H1479" s="52" t="str">
        <f>IF(AND(I.Compliance.FulfilledPerformance&gt;0,I.Performance.RangeCount&gt;=409,F1479=""),"Incomplete","Complete")</f>
        <v>Complete</v>
      </c>
      <c r="I1479" s="55" t="s">
        <v>1677</v>
      </c>
    </row>
    <row r="1480" spans="2:9" ht="15" customHeight="1" x14ac:dyDescent="0.25">
      <c r="B1480" s="51" t="s">
        <v>125</v>
      </c>
      <c r="C1480" s="52">
        <v>410</v>
      </c>
      <c r="D1480" s="53" t="s">
        <v>4327</v>
      </c>
      <c r="E1480" s="54"/>
      <c r="F1480" s="52" t="str">
        <f>IF(INDEX(I.Performance.EndRange,410)="","",INDEX(I.Performance.EndRange,410))</f>
        <v/>
      </c>
      <c r="G1480" s="54"/>
      <c r="H1480" s="52" t="str">
        <f>IF(AND(I.Compliance.FulfilledPerformance&gt;0,I.Performance.RangeCount&gt;=410,F1480=""),"Incomplete","Complete")</f>
        <v>Complete</v>
      </c>
      <c r="I1480" s="55" t="s">
        <v>1678</v>
      </c>
    </row>
    <row r="1481" spans="2:9" ht="15" customHeight="1" x14ac:dyDescent="0.25">
      <c r="B1481" s="51" t="s">
        <v>125</v>
      </c>
      <c r="C1481" s="52">
        <v>411</v>
      </c>
      <c r="D1481" s="53" t="s">
        <v>4327</v>
      </c>
      <c r="E1481" s="54"/>
      <c r="F1481" s="52" t="str">
        <f>IF(INDEX(I.Performance.EndRange,411)="","",INDEX(I.Performance.EndRange,411))</f>
        <v/>
      </c>
      <c r="G1481" s="54"/>
      <c r="H1481" s="52" t="str">
        <f>IF(AND(I.Compliance.FulfilledPerformance&gt;0,I.Performance.RangeCount&gt;=411,F1481=""),"Incomplete","Complete")</f>
        <v>Complete</v>
      </c>
      <c r="I1481" s="55" t="s">
        <v>1679</v>
      </c>
    </row>
    <row r="1482" spans="2:9" ht="15" customHeight="1" x14ac:dyDescent="0.25">
      <c r="B1482" s="51" t="s">
        <v>125</v>
      </c>
      <c r="C1482" s="52">
        <v>412</v>
      </c>
      <c r="D1482" s="53" t="s">
        <v>4327</v>
      </c>
      <c r="E1482" s="54"/>
      <c r="F1482" s="52" t="str">
        <f>IF(INDEX(I.Performance.EndRange,412)="","",INDEX(I.Performance.EndRange,412))</f>
        <v/>
      </c>
      <c r="G1482" s="54"/>
      <c r="H1482" s="52" t="str">
        <f>IF(AND(I.Compliance.FulfilledPerformance&gt;0,I.Performance.RangeCount&gt;=412,F1482=""),"Incomplete","Complete")</f>
        <v>Complete</v>
      </c>
      <c r="I1482" s="55" t="s">
        <v>1680</v>
      </c>
    </row>
    <row r="1483" spans="2:9" ht="15" customHeight="1" x14ac:dyDescent="0.25">
      <c r="B1483" s="51" t="s">
        <v>125</v>
      </c>
      <c r="C1483" s="52">
        <v>413</v>
      </c>
      <c r="D1483" s="53" t="s">
        <v>4327</v>
      </c>
      <c r="E1483" s="54"/>
      <c r="F1483" s="52" t="str">
        <f>IF(INDEX(I.Performance.EndRange,413)="","",INDEX(I.Performance.EndRange,413))</f>
        <v/>
      </c>
      <c r="G1483" s="54"/>
      <c r="H1483" s="52" t="str">
        <f>IF(AND(I.Compliance.FulfilledPerformance&gt;0,I.Performance.RangeCount&gt;=413,F1483=""),"Incomplete","Complete")</f>
        <v>Complete</v>
      </c>
      <c r="I1483" s="55" t="s">
        <v>1681</v>
      </c>
    </row>
    <row r="1484" spans="2:9" ht="15" customHeight="1" x14ac:dyDescent="0.25">
      <c r="B1484" s="51" t="s">
        <v>125</v>
      </c>
      <c r="C1484" s="52">
        <v>414</v>
      </c>
      <c r="D1484" s="53" t="s">
        <v>4327</v>
      </c>
      <c r="E1484" s="54"/>
      <c r="F1484" s="52" t="str">
        <f>IF(INDEX(I.Performance.EndRange,414)="","",INDEX(I.Performance.EndRange,414))</f>
        <v/>
      </c>
      <c r="G1484" s="54"/>
      <c r="H1484" s="52" t="str">
        <f>IF(AND(I.Compliance.FulfilledPerformance&gt;0,I.Performance.RangeCount&gt;=414,F1484=""),"Incomplete","Complete")</f>
        <v>Complete</v>
      </c>
      <c r="I1484" s="55" t="s">
        <v>1682</v>
      </c>
    </row>
    <row r="1485" spans="2:9" ht="15" customHeight="1" x14ac:dyDescent="0.25">
      <c r="B1485" s="51" t="s">
        <v>125</v>
      </c>
      <c r="C1485" s="52">
        <v>415</v>
      </c>
      <c r="D1485" s="53" t="s">
        <v>4327</v>
      </c>
      <c r="E1485" s="54"/>
      <c r="F1485" s="52" t="str">
        <f>IF(INDEX(I.Performance.EndRange,415)="","",INDEX(I.Performance.EndRange,415))</f>
        <v/>
      </c>
      <c r="G1485" s="54"/>
      <c r="H1485" s="52" t="str">
        <f>IF(AND(I.Compliance.FulfilledPerformance&gt;0,I.Performance.RangeCount&gt;=415,F1485=""),"Incomplete","Complete")</f>
        <v>Complete</v>
      </c>
      <c r="I1485" s="55" t="s">
        <v>1683</v>
      </c>
    </row>
    <row r="1486" spans="2:9" ht="15" customHeight="1" x14ac:dyDescent="0.25">
      <c r="B1486" s="51" t="s">
        <v>125</v>
      </c>
      <c r="C1486" s="52">
        <v>416</v>
      </c>
      <c r="D1486" s="53" t="s">
        <v>4327</v>
      </c>
      <c r="E1486" s="54"/>
      <c r="F1486" s="52" t="str">
        <f>IF(INDEX(I.Performance.EndRange,416)="","",INDEX(I.Performance.EndRange,416))</f>
        <v/>
      </c>
      <c r="G1486" s="54"/>
      <c r="H1486" s="52" t="str">
        <f>IF(AND(I.Compliance.FulfilledPerformance&gt;0,I.Performance.RangeCount&gt;=416,F1486=""),"Incomplete","Complete")</f>
        <v>Complete</v>
      </c>
      <c r="I1486" s="55" t="s">
        <v>1684</v>
      </c>
    </row>
    <row r="1487" spans="2:9" ht="15" customHeight="1" x14ac:dyDescent="0.25">
      <c r="B1487" s="51" t="s">
        <v>125</v>
      </c>
      <c r="C1487" s="52">
        <v>417</v>
      </c>
      <c r="D1487" s="53" t="s">
        <v>4327</v>
      </c>
      <c r="E1487" s="54"/>
      <c r="F1487" s="52" t="str">
        <f>IF(INDEX(I.Performance.EndRange,417)="","",INDEX(I.Performance.EndRange,417))</f>
        <v/>
      </c>
      <c r="G1487" s="54"/>
      <c r="H1487" s="52" t="str">
        <f>IF(AND(I.Compliance.FulfilledPerformance&gt;0,I.Performance.RangeCount&gt;=417,F1487=""),"Incomplete","Complete")</f>
        <v>Complete</v>
      </c>
      <c r="I1487" s="55" t="s">
        <v>1685</v>
      </c>
    </row>
    <row r="1488" spans="2:9" ht="15" customHeight="1" x14ac:dyDescent="0.25">
      <c r="B1488" s="51" t="s">
        <v>125</v>
      </c>
      <c r="C1488" s="52">
        <v>418</v>
      </c>
      <c r="D1488" s="53" t="s">
        <v>4327</v>
      </c>
      <c r="E1488" s="54"/>
      <c r="F1488" s="52" t="str">
        <f>IF(INDEX(I.Performance.EndRange,418)="","",INDEX(I.Performance.EndRange,418))</f>
        <v/>
      </c>
      <c r="G1488" s="54"/>
      <c r="H1488" s="52" t="str">
        <f>IF(AND(I.Compliance.FulfilledPerformance&gt;0,I.Performance.RangeCount&gt;=418,F1488=""),"Incomplete","Complete")</f>
        <v>Complete</v>
      </c>
      <c r="I1488" s="55" t="s">
        <v>1686</v>
      </c>
    </row>
    <row r="1489" spans="2:9" ht="15" customHeight="1" x14ac:dyDescent="0.25">
      <c r="B1489" s="51" t="s">
        <v>125</v>
      </c>
      <c r="C1489" s="52">
        <v>419</v>
      </c>
      <c r="D1489" s="53" t="s">
        <v>4327</v>
      </c>
      <c r="E1489" s="54"/>
      <c r="F1489" s="52" t="str">
        <f>IF(INDEX(I.Performance.EndRange,419)="","",INDEX(I.Performance.EndRange,419))</f>
        <v/>
      </c>
      <c r="G1489" s="54"/>
      <c r="H1489" s="52" t="str">
        <f>IF(AND(I.Compliance.FulfilledPerformance&gt;0,I.Performance.RangeCount&gt;=419,F1489=""),"Incomplete","Complete")</f>
        <v>Complete</v>
      </c>
      <c r="I1489" s="55" t="s">
        <v>1687</v>
      </c>
    </row>
    <row r="1490" spans="2:9" ht="15" customHeight="1" x14ac:dyDescent="0.25">
      <c r="B1490" s="51" t="s">
        <v>125</v>
      </c>
      <c r="C1490" s="52">
        <v>420</v>
      </c>
      <c r="D1490" s="53" t="s">
        <v>4327</v>
      </c>
      <c r="E1490" s="54"/>
      <c r="F1490" s="52" t="str">
        <f>IF(INDEX(I.Performance.EndRange,420)="","",INDEX(I.Performance.EndRange,420))</f>
        <v/>
      </c>
      <c r="G1490" s="54"/>
      <c r="H1490" s="52" t="str">
        <f>IF(AND(I.Compliance.FulfilledPerformance&gt;0,I.Performance.RangeCount&gt;=420,F1490=""),"Incomplete","Complete")</f>
        <v>Complete</v>
      </c>
      <c r="I1490" s="55" t="s">
        <v>1688</v>
      </c>
    </row>
    <row r="1491" spans="2:9" ht="15" customHeight="1" x14ac:dyDescent="0.25">
      <c r="B1491" s="51" t="s">
        <v>125</v>
      </c>
      <c r="C1491" s="52">
        <v>421</v>
      </c>
      <c r="D1491" s="53" t="s">
        <v>4327</v>
      </c>
      <c r="E1491" s="54"/>
      <c r="F1491" s="52" t="str">
        <f>IF(INDEX(I.Performance.EndRange,421)="","",INDEX(I.Performance.EndRange,421))</f>
        <v/>
      </c>
      <c r="G1491" s="54"/>
      <c r="H1491" s="52" t="str">
        <f>IF(AND(I.Compliance.FulfilledPerformance&gt;0,I.Performance.RangeCount&gt;=421,F1491=""),"Incomplete","Complete")</f>
        <v>Complete</v>
      </c>
      <c r="I1491" s="55" t="s">
        <v>1689</v>
      </c>
    </row>
    <row r="1492" spans="2:9" ht="15" customHeight="1" x14ac:dyDescent="0.25">
      <c r="B1492" s="51" t="s">
        <v>125</v>
      </c>
      <c r="C1492" s="52">
        <v>422</v>
      </c>
      <c r="D1492" s="53" t="s">
        <v>4327</v>
      </c>
      <c r="E1492" s="54"/>
      <c r="F1492" s="52" t="str">
        <f>IF(INDEX(I.Performance.EndRange,422)="","",INDEX(I.Performance.EndRange,422))</f>
        <v/>
      </c>
      <c r="G1492" s="54"/>
      <c r="H1492" s="52" t="str">
        <f>IF(AND(I.Compliance.FulfilledPerformance&gt;0,I.Performance.RangeCount&gt;=422,F1492=""),"Incomplete","Complete")</f>
        <v>Complete</v>
      </c>
      <c r="I1492" s="55" t="s">
        <v>1690</v>
      </c>
    </row>
    <row r="1493" spans="2:9" ht="15" customHeight="1" x14ac:dyDescent="0.25">
      <c r="B1493" s="51" t="s">
        <v>125</v>
      </c>
      <c r="C1493" s="52">
        <v>423</v>
      </c>
      <c r="D1493" s="53" t="s">
        <v>4327</v>
      </c>
      <c r="E1493" s="54"/>
      <c r="F1493" s="52" t="str">
        <f>IF(INDEX(I.Performance.EndRange,423)="","",INDEX(I.Performance.EndRange,423))</f>
        <v/>
      </c>
      <c r="G1493" s="54"/>
      <c r="H1493" s="52" t="str">
        <f>IF(AND(I.Compliance.FulfilledPerformance&gt;0,I.Performance.RangeCount&gt;=423,F1493=""),"Incomplete","Complete")</f>
        <v>Complete</v>
      </c>
      <c r="I1493" s="55" t="s">
        <v>1691</v>
      </c>
    </row>
    <row r="1494" spans="2:9" ht="15" customHeight="1" x14ac:dyDescent="0.25">
      <c r="B1494" s="51" t="s">
        <v>125</v>
      </c>
      <c r="C1494" s="52">
        <v>424</v>
      </c>
      <c r="D1494" s="53" t="s">
        <v>4327</v>
      </c>
      <c r="E1494" s="54"/>
      <c r="F1494" s="52" t="str">
        <f>IF(INDEX(I.Performance.EndRange,424)="","",INDEX(I.Performance.EndRange,424))</f>
        <v/>
      </c>
      <c r="G1494" s="54"/>
      <c r="H1494" s="52" t="str">
        <f>IF(AND(I.Compliance.FulfilledPerformance&gt;0,I.Performance.RangeCount&gt;=424,F1494=""),"Incomplete","Complete")</f>
        <v>Complete</v>
      </c>
      <c r="I1494" s="55" t="s">
        <v>1692</v>
      </c>
    </row>
    <row r="1495" spans="2:9" ht="15" customHeight="1" x14ac:dyDescent="0.25">
      <c r="B1495" s="51" t="s">
        <v>125</v>
      </c>
      <c r="C1495" s="52">
        <v>425</v>
      </c>
      <c r="D1495" s="53" t="s">
        <v>4327</v>
      </c>
      <c r="E1495" s="54"/>
      <c r="F1495" s="52" t="str">
        <f>IF(INDEX(I.Performance.EndRange,425)="","",INDEX(I.Performance.EndRange,425))</f>
        <v/>
      </c>
      <c r="G1495" s="54"/>
      <c r="H1495" s="52" t="str">
        <f>IF(AND(I.Compliance.FulfilledPerformance&gt;0,I.Performance.RangeCount&gt;=425,F1495=""),"Incomplete","Complete")</f>
        <v>Complete</v>
      </c>
      <c r="I1495" s="55" t="s">
        <v>1693</v>
      </c>
    </row>
    <row r="1496" spans="2:9" ht="15" customHeight="1" x14ac:dyDescent="0.25">
      <c r="B1496" s="51" t="s">
        <v>125</v>
      </c>
      <c r="C1496" s="52">
        <v>426</v>
      </c>
      <c r="D1496" s="53" t="s">
        <v>4327</v>
      </c>
      <c r="E1496" s="54"/>
      <c r="F1496" s="52" t="str">
        <f>IF(INDEX(I.Performance.EndRange,426)="","",INDEX(I.Performance.EndRange,426))</f>
        <v/>
      </c>
      <c r="G1496" s="54"/>
      <c r="H1496" s="52" t="str">
        <f>IF(AND(I.Compliance.FulfilledPerformance&gt;0,I.Performance.RangeCount&gt;=426,F1496=""),"Incomplete","Complete")</f>
        <v>Complete</v>
      </c>
      <c r="I1496" s="55" t="s">
        <v>1694</v>
      </c>
    </row>
    <row r="1497" spans="2:9" ht="15" customHeight="1" x14ac:dyDescent="0.25">
      <c r="B1497" s="51" t="s">
        <v>125</v>
      </c>
      <c r="C1497" s="52">
        <v>427</v>
      </c>
      <c r="D1497" s="53" t="s">
        <v>4327</v>
      </c>
      <c r="E1497" s="54"/>
      <c r="F1497" s="52" t="str">
        <f>IF(INDEX(I.Performance.EndRange,427)="","",INDEX(I.Performance.EndRange,427))</f>
        <v/>
      </c>
      <c r="G1497" s="54"/>
      <c r="H1497" s="52" t="str">
        <f>IF(AND(I.Compliance.FulfilledPerformance&gt;0,I.Performance.RangeCount&gt;=427,F1497=""),"Incomplete","Complete")</f>
        <v>Complete</v>
      </c>
      <c r="I1497" s="55" t="s">
        <v>1695</v>
      </c>
    </row>
    <row r="1498" spans="2:9" ht="15" customHeight="1" x14ac:dyDescent="0.25">
      <c r="B1498" s="51" t="s">
        <v>125</v>
      </c>
      <c r="C1498" s="52">
        <v>428</v>
      </c>
      <c r="D1498" s="53" t="s">
        <v>4327</v>
      </c>
      <c r="E1498" s="54"/>
      <c r="F1498" s="52" t="str">
        <f>IF(INDEX(I.Performance.EndRange,428)="","",INDEX(I.Performance.EndRange,428))</f>
        <v/>
      </c>
      <c r="G1498" s="54"/>
      <c r="H1498" s="52" t="str">
        <f>IF(AND(I.Compliance.FulfilledPerformance&gt;0,I.Performance.RangeCount&gt;=428,F1498=""),"Incomplete","Complete")</f>
        <v>Complete</v>
      </c>
      <c r="I1498" s="55" t="s">
        <v>1696</v>
      </c>
    </row>
    <row r="1499" spans="2:9" ht="15" customHeight="1" x14ac:dyDescent="0.25">
      <c r="B1499" s="51" t="s">
        <v>125</v>
      </c>
      <c r="C1499" s="52">
        <v>429</v>
      </c>
      <c r="D1499" s="53" t="s">
        <v>4327</v>
      </c>
      <c r="E1499" s="54"/>
      <c r="F1499" s="52" t="str">
        <f>IF(INDEX(I.Performance.EndRange,429)="","",INDEX(I.Performance.EndRange,429))</f>
        <v/>
      </c>
      <c r="G1499" s="54"/>
      <c r="H1499" s="52" t="str">
        <f>IF(AND(I.Compliance.FulfilledPerformance&gt;0,I.Performance.RangeCount&gt;=429,F1499=""),"Incomplete","Complete")</f>
        <v>Complete</v>
      </c>
      <c r="I1499" s="55" t="s">
        <v>1697</v>
      </c>
    </row>
    <row r="1500" spans="2:9" ht="15" customHeight="1" x14ac:dyDescent="0.25">
      <c r="B1500" s="51" t="s">
        <v>125</v>
      </c>
      <c r="C1500" s="52">
        <v>430</v>
      </c>
      <c r="D1500" s="53" t="s">
        <v>4327</v>
      </c>
      <c r="E1500" s="54"/>
      <c r="F1500" s="52" t="str">
        <f>IF(INDEX(I.Performance.EndRange,430)="","",INDEX(I.Performance.EndRange,430))</f>
        <v/>
      </c>
      <c r="G1500" s="54"/>
      <c r="H1500" s="52" t="str">
        <f>IF(AND(I.Compliance.FulfilledPerformance&gt;0,I.Performance.RangeCount&gt;=430,F1500=""),"Incomplete","Complete")</f>
        <v>Complete</v>
      </c>
      <c r="I1500" s="55" t="s">
        <v>1698</v>
      </c>
    </row>
    <row r="1501" spans="2:9" ht="15" customHeight="1" x14ac:dyDescent="0.25">
      <c r="B1501" s="51" t="s">
        <v>125</v>
      </c>
      <c r="C1501" s="52">
        <v>431</v>
      </c>
      <c r="D1501" s="53" t="s">
        <v>4327</v>
      </c>
      <c r="E1501" s="54"/>
      <c r="F1501" s="52" t="str">
        <f>IF(INDEX(I.Performance.EndRange,431)="","",INDEX(I.Performance.EndRange,431))</f>
        <v/>
      </c>
      <c r="G1501" s="54"/>
      <c r="H1501" s="52" t="str">
        <f>IF(AND(I.Compliance.FulfilledPerformance&gt;0,I.Performance.RangeCount&gt;=431,F1501=""),"Incomplete","Complete")</f>
        <v>Complete</v>
      </c>
      <c r="I1501" s="55" t="s">
        <v>1699</v>
      </c>
    </row>
    <row r="1502" spans="2:9" ht="15" customHeight="1" x14ac:dyDescent="0.25">
      <c r="B1502" s="51" t="s">
        <v>125</v>
      </c>
      <c r="C1502" s="52">
        <v>432</v>
      </c>
      <c r="D1502" s="53" t="s">
        <v>4327</v>
      </c>
      <c r="E1502" s="54"/>
      <c r="F1502" s="52" t="str">
        <f>IF(INDEX(I.Performance.EndRange,432)="","",INDEX(I.Performance.EndRange,432))</f>
        <v/>
      </c>
      <c r="G1502" s="54"/>
      <c r="H1502" s="52" t="str">
        <f>IF(AND(I.Compliance.FulfilledPerformance&gt;0,I.Performance.RangeCount&gt;=432,F1502=""),"Incomplete","Complete")</f>
        <v>Complete</v>
      </c>
      <c r="I1502" s="55" t="s">
        <v>1700</v>
      </c>
    </row>
    <row r="1503" spans="2:9" ht="15" customHeight="1" x14ac:dyDescent="0.25">
      <c r="B1503" s="51" t="s">
        <v>125</v>
      </c>
      <c r="C1503" s="52">
        <v>433</v>
      </c>
      <c r="D1503" s="53" t="s">
        <v>4327</v>
      </c>
      <c r="E1503" s="54"/>
      <c r="F1503" s="52" t="str">
        <f>IF(INDEX(I.Performance.EndRange,433)="","",INDEX(I.Performance.EndRange,433))</f>
        <v/>
      </c>
      <c r="G1503" s="54"/>
      <c r="H1503" s="52" t="str">
        <f>IF(AND(I.Compliance.FulfilledPerformance&gt;0,I.Performance.RangeCount&gt;=433,F1503=""),"Incomplete","Complete")</f>
        <v>Complete</v>
      </c>
      <c r="I1503" s="55" t="s">
        <v>1701</v>
      </c>
    </row>
    <row r="1504" spans="2:9" ht="15" customHeight="1" x14ac:dyDescent="0.25">
      <c r="B1504" s="51" t="s">
        <v>125</v>
      </c>
      <c r="C1504" s="52">
        <v>434</v>
      </c>
      <c r="D1504" s="53" t="s">
        <v>4327</v>
      </c>
      <c r="E1504" s="54"/>
      <c r="F1504" s="52" t="str">
        <f>IF(INDEX(I.Performance.EndRange,434)="","",INDEX(I.Performance.EndRange,434))</f>
        <v/>
      </c>
      <c r="G1504" s="54"/>
      <c r="H1504" s="52" t="str">
        <f>IF(AND(I.Compliance.FulfilledPerformance&gt;0,I.Performance.RangeCount&gt;=434,F1504=""),"Incomplete","Complete")</f>
        <v>Complete</v>
      </c>
      <c r="I1504" s="55" t="s">
        <v>1702</v>
      </c>
    </row>
    <row r="1505" spans="2:9" ht="15" customHeight="1" x14ac:dyDescent="0.25">
      <c r="B1505" s="51" t="s">
        <v>125</v>
      </c>
      <c r="C1505" s="52">
        <v>435</v>
      </c>
      <c r="D1505" s="53" t="s">
        <v>4327</v>
      </c>
      <c r="E1505" s="54"/>
      <c r="F1505" s="52" t="str">
        <f>IF(INDEX(I.Performance.EndRange,435)="","",INDEX(I.Performance.EndRange,435))</f>
        <v/>
      </c>
      <c r="G1505" s="54"/>
      <c r="H1505" s="52" t="str">
        <f>IF(AND(I.Compliance.FulfilledPerformance&gt;0,I.Performance.RangeCount&gt;=435,F1505=""),"Incomplete","Complete")</f>
        <v>Complete</v>
      </c>
      <c r="I1505" s="55" t="s">
        <v>1703</v>
      </c>
    </row>
    <row r="1506" spans="2:9" ht="15" customHeight="1" x14ac:dyDescent="0.25">
      <c r="B1506" s="51" t="s">
        <v>125</v>
      </c>
      <c r="C1506" s="52">
        <v>436</v>
      </c>
      <c r="D1506" s="53" t="s">
        <v>4327</v>
      </c>
      <c r="E1506" s="54"/>
      <c r="F1506" s="52" t="str">
        <f>IF(INDEX(I.Performance.EndRange,436)="","",INDEX(I.Performance.EndRange,436))</f>
        <v/>
      </c>
      <c r="G1506" s="54"/>
      <c r="H1506" s="52" t="str">
        <f>IF(AND(I.Compliance.FulfilledPerformance&gt;0,I.Performance.RangeCount&gt;=436,F1506=""),"Incomplete","Complete")</f>
        <v>Complete</v>
      </c>
      <c r="I1506" s="55" t="s">
        <v>1704</v>
      </c>
    </row>
    <row r="1507" spans="2:9" ht="15" customHeight="1" x14ac:dyDescent="0.25">
      <c r="B1507" s="51" t="s">
        <v>125</v>
      </c>
      <c r="C1507" s="52">
        <v>437</v>
      </c>
      <c r="D1507" s="53" t="s">
        <v>4327</v>
      </c>
      <c r="E1507" s="54"/>
      <c r="F1507" s="52" t="str">
        <f>IF(INDEX(I.Performance.EndRange,437)="","",INDEX(I.Performance.EndRange,437))</f>
        <v/>
      </c>
      <c r="G1507" s="54"/>
      <c r="H1507" s="52" t="str">
        <f>IF(AND(I.Compliance.FulfilledPerformance&gt;0,I.Performance.RangeCount&gt;=437,F1507=""),"Incomplete","Complete")</f>
        <v>Complete</v>
      </c>
      <c r="I1507" s="55" t="s">
        <v>1705</v>
      </c>
    </row>
    <row r="1508" spans="2:9" ht="15" customHeight="1" x14ac:dyDescent="0.25">
      <c r="B1508" s="51" t="s">
        <v>125</v>
      </c>
      <c r="C1508" s="52">
        <v>438</v>
      </c>
      <c r="D1508" s="53" t="s">
        <v>4327</v>
      </c>
      <c r="E1508" s="54"/>
      <c r="F1508" s="52" t="str">
        <f>IF(INDEX(I.Performance.EndRange,438)="","",INDEX(I.Performance.EndRange,438))</f>
        <v/>
      </c>
      <c r="G1508" s="54"/>
      <c r="H1508" s="52" t="str">
        <f>IF(AND(I.Compliance.FulfilledPerformance&gt;0,I.Performance.RangeCount&gt;=438,F1508=""),"Incomplete","Complete")</f>
        <v>Complete</v>
      </c>
      <c r="I1508" s="55" t="s">
        <v>1706</v>
      </c>
    </row>
    <row r="1509" spans="2:9" ht="15" customHeight="1" x14ac:dyDescent="0.25">
      <c r="B1509" s="51" t="s">
        <v>125</v>
      </c>
      <c r="C1509" s="52">
        <v>439</v>
      </c>
      <c r="D1509" s="53" t="s">
        <v>4327</v>
      </c>
      <c r="E1509" s="54"/>
      <c r="F1509" s="52" t="str">
        <f>IF(INDEX(I.Performance.EndRange,439)="","",INDEX(I.Performance.EndRange,439))</f>
        <v/>
      </c>
      <c r="G1509" s="54"/>
      <c r="H1509" s="52" t="str">
        <f>IF(AND(I.Compliance.FulfilledPerformance&gt;0,I.Performance.RangeCount&gt;=439,F1509=""),"Incomplete","Complete")</f>
        <v>Complete</v>
      </c>
      <c r="I1509" s="55" t="s">
        <v>1707</v>
      </c>
    </row>
    <row r="1510" spans="2:9" ht="15" customHeight="1" x14ac:dyDescent="0.25">
      <c r="B1510" s="51" t="s">
        <v>125</v>
      </c>
      <c r="C1510" s="52">
        <v>440</v>
      </c>
      <c r="D1510" s="53" t="s">
        <v>4327</v>
      </c>
      <c r="E1510" s="54"/>
      <c r="F1510" s="52" t="str">
        <f>IF(INDEX(I.Performance.EndRange,440)="","",INDEX(I.Performance.EndRange,440))</f>
        <v/>
      </c>
      <c r="G1510" s="54"/>
      <c r="H1510" s="52" t="str">
        <f>IF(AND(I.Compliance.FulfilledPerformance&gt;0,I.Performance.RangeCount&gt;=440,F1510=""),"Incomplete","Complete")</f>
        <v>Complete</v>
      </c>
      <c r="I1510" s="55" t="s">
        <v>1708</v>
      </c>
    </row>
    <row r="1511" spans="2:9" ht="15" customHeight="1" x14ac:dyDescent="0.25">
      <c r="B1511" s="51" t="s">
        <v>125</v>
      </c>
      <c r="C1511" s="52">
        <v>441</v>
      </c>
      <c r="D1511" s="53" t="s">
        <v>4327</v>
      </c>
      <c r="E1511" s="54"/>
      <c r="F1511" s="52" t="str">
        <f>IF(INDEX(I.Performance.EndRange,441)="","",INDEX(I.Performance.EndRange,441))</f>
        <v/>
      </c>
      <c r="G1511" s="54"/>
      <c r="H1511" s="52" t="str">
        <f>IF(AND(I.Compliance.FulfilledPerformance&gt;0,I.Performance.RangeCount&gt;=441,F1511=""),"Incomplete","Complete")</f>
        <v>Complete</v>
      </c>
      <c r="I1511" s="55" t="s">
        <v>1709</v>
      </c>
    </row>
    <row r="1512" spans="2:9" ht="15" customHeight="1" x14ac:dyDescent="0.25">
      <c r="B1512" s="51" t="s">
        <v>125</v>
      </c>
      <c r="C1512" s="52">
        <v>442</v>
      </c>
      <c r="D1512" s="53" t="s">
        <v>4327</v>
      </c>
      <c r="E1512" s="54"/>
      <c r="F1512" s="52" t="str">
        <f>IF(INDEX(I.Performance.EndRange,442)="","",INDEX(I.Performance.EndRange,442))</f>
        <v/>
      </c>
      <c r="G1512" s="54"/>
      <c r="H1512" s="52" t="str">
        <f>IF(AND(I.Compliance.FulfilledPerformance&gt;0,I.Performance.RangeCount&gt;=442,F1512=""),"Incomplete","Complete")</f>
        <v>Complete</v>
      </c>
      <c r="I1512" s="55" t="s">
        <v>1710</v>
      </c>
    </row>
    <row r="1513" spans="2:9" ht="15" customHeight="1" x14ac:dyDescent="0.25">
      <c r="B1513" s="51" t="s">
        <v>125</v>
      </c>
      <c r="C1513" s="52">
        <v>443</v>
      </c>
      <c r="D1513" s="53" t="s">
        <v>4327</v>
      </c>
      <c r="E1513" s="54"/>
      <c r="F1513" s="52" t="str">
        <f>IF(INDEX(I.Performance.EndRange,443)="","",INDEX(I.Performance.EndRange,443))</f>
        <v/>
      </c>
      <c r="G1513" s="54"/>
      <c r="H1513" s="52" t="str">
        <f>IF(AND(I.Compliance.FulfilledPerformance&gt;0,I.Performance.RangeCount&gt;=443,F1513=""),"Incomplete","Complete")</f>
        <v>Complete</v>
      </c>
      <c r="I1513" s="55" t="s">
        <v>1711</v>
      </c>
    </row>
    <row r="1514" spans="2:9" ht="15" customHeight="1" x14ac:dyDescent="0.25">
      <c r="B1514" s="51" t="s">
        <v>125</v>
      </c>
      <c r="C1514" s="52">
        <v>444</v>
      </c>
      <c r="D1514" s="53" t="s">
        <v>4327</v>
      </c>
      <c r="E1514" s="54"/>
      <c r="F1514" s="52" t="str">
        <f>IF(INDEX(I.Performance.EndRange,444)="","",INDEX(I.Performance.EndRange,444))</f>
        <v/>
      </c>
      <c r="G1514" s="54"/>
      <c r="H1514" s="52" t="str">
        <f>IF(AND(I.Compliance.FulfilledPerformance&gt;0,I.Performance.RangeCount&gt;=444,F1514=""),"Incomplete","Complete")</f>
        <v>Complete</v>
      </c>
      <c r="I1514" s="55" t="s">
        <v>1712</v>
      </c>
    </row>
    <row r="1515" spans="2:9" ht="15" customHeight="1" x14ac:dyDescent="0.25">
      <c r="B1515" s="51" t="s">
        <v>125</v>
      </c>
      <c r="C1515" s="52">
        <v>445</v>
      </c>
      <c r="D1515" s="53" t="s">
        <v>4327</v>
      </c>
      <c r="E1515" s="54"/>
      <c r="F1515" s="52" t="str">
        <f>IF(INDEX(I.Performance.EndRange,445)="","",INDEX(I.Performance.EndRange,445))</f>
        <v/>
      </c>
      <c r="G1515" s="54"/>
      <c r="H1515" s="52" t="str">
        <f>IF(AND(I.Compliance.FulfilledPerformance&gt;0,I.Performance.RangeCount&gt;=445,F1515=""),"Incomplete","Complete")</f>
        <v>Complete</v>
      </c>
      <c r="I1515" s="55" t="s">
        <v>1713</v>
      </c>
    </row>
    <row r="1516" spans="2:9" ht="15" customHeight="1" x14ac:dyDescent="0.25">
      <c r="B1516" s="51" t="s">
        <v>125</v>
      </c>
      <c r="C1516" s="52">
        <v>446</v>
      </c>
      <c r="D1516" s="53" t="s">
        <v>4327</v>
      </c>
      <c r="E1516" s="54"/>
      <c r="F1516" s="52" t="str">
        <f>IF(INDEX(I.Performance.EndRange,446)="","",INDEX(I.Performance.EndRange,446))</f>
        <v/>
      </c>
      <c r="G1516" s="54"/>
      <c r="H1516" s="52" t="str">
        <f>IF(AND(I.Compliance.FulfilledPerformance&gt;0,I.Performance.RangeCount&gt;=446,F1516=""),"Incomplete","Complete")</f>
        <v>Complete</v>
      </c>
      <c r="I1516" s="55" t="s">
        <v>1714</v>
      </c>
    </row>
    <row r="1517" spans="2:9" ht="15" customHeight="1" x14ac:dyDescent="0.25">
      <c r="B1517" s="51" t="s">
        <v>125</v>
      </c>
      <c r="C1517" s="52">
        <v>447</v>
      </c>
      <c r="D1517" s="53" t="s">
        <v>4327</v>
      </c>
      <c r="E1517" s="54"/>
      <c r="F1517" s="52" t="str">
        <f>IF(INDEX(I.Performance.EndRange,447)="","",INDEX(I.Performance.EndRange,447))</f>
        <v/>
      </c>
      <c r="G1517" s="54"/>
      <c r="H1517" s="52" t="str">
        <f>IF(AND(I.Compliance.FulfilledPerformance&gt;0,I.Performance.RangeCount&gt;=447,F1517=""),"Incomplete","Complete")</f>
        <v>Complete</v>
      </c>
      <c r="I1517" s="55" t="s">
        <v>1715</v>
      </c>
    </row>
    <row r="1518" spans="2:9" ht="15" customHeight="1" x14ac:dyDescent="0.25">
      <c r="B1518" s="51" t="s">
        <v>125</v>
      </c>
      <c r="C1518" s="52">
        <v>448</v>
      </c>
      <c r="D1518" s="53" t="s">
        <v>4327</v>
      </c>
      <c r="E1518" s="54"/>
      <c r="F1518" s="52" t="str">
        <f>IF(INDEX(I.Performance.EndRange,448)="","",INDEX(I.Performance.EndRange,448))</f>
        <v/>
      </c>
      <c r="G1518" s="54"/>
      <c r="H1518" s="52" t="str">
        <f>IF(AND(I.Compliance.FulfilledPerformance&gt;0,I.Performance.RangeCount&gt;=448,F1518=""),"Incomplete","Complete")</f>
        <v>Complete</v>
      </c>
      <c r="I1518" s="55" t="s">
        <v>1716</v>
      </c>
    </row>
    <row r="1519" spans="2:9" ht="15" customHeight="1" x14ac:dyDescent="0.25">
      <c r="B1519" s="51" t="s">
        <v>125</v>
      </c>
      <c r="C1519" s="52">
        <v>449</v>
      </c>
      <c r="D1519" s="53" t="s">
        <v>4327</v>
      </c>
      <c r="E1519" s="54"/>
      <c r="F1519" s="52" t="str">
        <f>IF(INDEX(I.Performance.EndRange,449)="","",INDEX(I.Performance.EndRange,449))</f>
        <v/>
      </c>
      <c r="G1519" s="54"/>
      <c r="H1519" s="52" t="str">
        <f>IF(AND(I.Compliance.FulfilledPerformance&gt;0,I.Performance.RangeCount&gt;=449,F1519=""),"Incomplete","Complete")</f>
        <v>Complete</v>
      </c>
      <c r="I1519" s="55" t="s">
        <v>1717</v>
      </c>
    </row>
    <row r="1520" spans="2:9" ht="15" customHeight="1" x14ac:dyDescent="0.25">
      <c r="B1520" s="51" t="s">
        <v>125</v>
      </c>
      <c r="C1520" s="52">
        <v>450</v>
      </c>
      <c r="D1520" s="53" t="s">
        <v>4327</v>
      </c>
      <c r="E1520" s="54"/>
      <c r="F1520" s="52" t="str">
        <f>IF(INDEX(I.Performance.EndRange,450)="","",INDEX(I.Performance.EndRange,450))</f>
        <v/>
      </c>
      <c r="G1520" s="54"/>
      <c r="H1520" s="52" t="str">
        <f>IF(AND(I.Compliance.FulfilledPerformance&gt;0,I.Performance.RangeCount&gt;=450,F1520=""),"Incomplete","Complete")</f>
        <v>Complete</v>
      </c>
      <c r="I1520" s="55" t="s">
        <v>1718</v>
      </c>
    </row>
    <row r="1521" spans="2:9" ht="15" customHeight="1" x14ac:dyDescent="0.25">
      <c r="B1521" s="51" t="s">
        <v>125</v>
      </c>
      <c r="C1521" s="52">
        <v>451</v>
      </c>
      <c r="D1521" s="53" t="s">
        <v>4327</v>
      </c>
      <c r="E1521" s="54"/>
      <c r="F1521" s="52" t="str">
        <f>IF(INDEX(I.Performance.EndRange,451)="","",INDEX(I.Performance.EndRange,451))</f>
        <v/>
      </c>
      <c r="G1521" s="54"/>
      <c r="H1521" s="52" t="str">
        <f>IF(AND(I.Compliance.FulfilledPerformance&gt;0,I.Performance.RangeCount&gt;=451,F1521=""),"Incomplete","Complete")</f>
        <v>Complete</v>
      </c>
      <c r="I1521" s="55" t="s">
        <v>1719</v>
      </c>
    </row>
    <row r="1522" spans="2:9" ht="15" customHeight="1" x14ac:dyDescent="0.25">
      <c r="B1522" s="51" t="s">
        <v>125</v>
      </c>
      <c r="C1522" s="52">
        <v>452</v>
      </c>
      <c r="D1522" s="53" t="s">
        <v>4327</v>
      </c>
      <c r="E1522" s="54"/>
      <c r="F1522" s="52" t="str">
        <f>IF(INDEX(I.Performance.EndRange,452)="","",INDEX(I.Performance.EndRange,452))</f>
        <v/>
      </c>
      <c r="G1522" s="54"/>
      <c r="H1522" s="52" t="str">
        <f>IF(AND(I.Compliance.FulfilledPerformance&gt;0,I.Performance.RangeCount&gt;=452,F1522=""),"Incomplete","Complete")</f>
        <v>Complete</v>
      </c>
      <c r="I1522" s="55" t="s">
        <v>1720</v>
      </c>
    </row>
    <row r="1523" spans="2:9" ht="15" customHeight="1" x14ac:dyDescent="0.25">
      <c r="B1523" s="51" t="s">
        <v>125</v>
      </c>
      <c r="C1523" s="52">
        <v>453</v>
      </c>
      <c r="D1523" s="53" t="s">
        <v>4327</v>
      </c>
      <c r="E1523" s="54"/>
      <c r="F1523" s="52" t="str">
        <f>IF(INDEX(I.Performance.EndRange,453)="","",INDEX(I.Performance.EndRange,453))</f>
        <v/>
      </c>
      <c r="G1523" s="54"/>
      <c r="H1523" s="52" t="str">
        <f>IF(AND(I.Compliance.FulfilledPerformance&gt;0,I.Performance.RangeCount&gt;=453,F1523=""),"Incomplete","Complete")</f>
        <v>Complete</v>
      </c>
      <c r="I1523" s="55" t="s">
        <v>1721</v>
      </c>
    </row>
    <row r="1524" spans="2:9" ht="15" customHeight="1" x14ac:dyDescent="0.25">
      <c r="B1524" s="51" t="s">
        <v>125</v>
      </c>
      <c r="C1524" s="52">
        <v>454</v>
      </c>
      <c r="D1524" s="53" t="s">
        <v>4327</v>
      </c>
      <c r="E1524" s="54"/>
      <c r="F1524" s="52" t="str">
        <f>IF(INDEX(I.Performance.EndRange,454)="","",INDEX(I.Performance.EndRange,454))</f>
        <v/>
      </c>
      <c r="G1524" s="54"/>
      <c r="H1524" s="52" t="str">
        <f>IF(AND(I.Compliance.FulfilledPerformance&gt;0,I.Performance.RangeCount&gt;=454,F1524=""),"Incomplete","Complete")</f>
        <v>Complete</v>
      </c>
      <c r="I1524" s="55" t="s">
        <v>1722</v>
      </c>
    </row>
    <row r="1525" spans="2:9" ht="15" customHeight="1" x14ac:dyDescent="0.25">
      <c r="B1525" s="51" t="s">
        <v>125</v>
      </c>
      <c r="C1525" s="52">
        <v>455</v>
      </c>
      <c r="D1525" s="53" t="s">
        <v>4327</v>
      </c>
      <c r="E1525" s="54"/>
      <c r="F1525" s="52" t="str">
        <f>IF(INDEX(I.Performance.EndRange,455)="","",INDEX(I.Performance.EndRange,455))</f>
        <v/>
      </c>
      <c r="G1525" s="54"/>
      <c r="H1525" s="52" t="str">
        <f>IF(AND(I.Compliance.FulfilledPerformance&gt;0,I.Performance.RangeCount&gt;=455,F1525=""),"Incomplete","Complete")</f>
        <v>Complete</v>
      </c>
      <c r="I1525" s="55" t="s">
        <v>1723</v>
      </c>
    </row>
    <row r="1526" spans="2:9" ht="15" customHeight="1" x14ac:dyDescent="0.25">
      <c r="B1526" s="51" t="s">
        <v>125</v>
      </c>
      <c r="C1526" s="52">
        <v>456</v>
      </c>
      <c r="D1526" s="53" t="s">
        <v>4327</v>
      </c>
      <c r="E1526" s="54"/>
      <c r="F1526" s="52" t="str">
        <f>IF(INDEX(I.Performance.EndRange,456)="","",INDEX(I.Performance.EndRange,456))</f>
        <v/>
      </c>
      <c r="G1526" s="54"/>
      <c r="H1526" s="52" t="str">
        <f>IF(AND(I.Compliance.FulfilledPerformance&gt;0,I.Performance.RangeCount&gt;=456,F1526=""),"Incomplete","Complete")</f>
        <v>Complete</v>
      </c>
      <c r="I1526" s="55" t="s">
        <v>1724</v>
      </c>
    </row>
    <row r="1527" spans="2:9" ht="15" customHeight="1" x14ac:dyDescent="0.25">
      <c r="B1527" s="51" t="s">
        <v>125</v>
      </c>
      <c r="C1527" s="52">
        <v>457</v>
      </c>
      <c r="D1527" s="53" t="s">
        <v>4327</v>
      </c>
      <c r="E1527" s="54"/>
      <c r="F1527" s="52" t="str">
        <f>IF(INDEX(I.Performance.EndRange,457)="","",INDEX(I.Performance.EndRange,457))</f>
        <v/>
      </c>
      <c r="G1527" s="54"/>
      <c r="H1527" s="52" t="str">
        <f>IF(AND(I.Compliance.FulfilledPerformance&gt;0,I.Performance.RangeCount&gt;=457,F1527=""),"Incomplete","Complete")</f>
        <v>Complete</v>
      </c>
      <c r="I1527" s="55" t="s">
        <v>1725</v>
      </c>
    </row>
    <row r="1528" spans="2:9" ht="15" customHeight="1" x14ac:dyDescent="0.25">
      <c r="B1528" s="51" t="s">
        <v>125</v>
      </c>
      <c r="C1528" s="52">
        <v>458</v>
      </c>
      <c r="D1528" s="53" t="s">
        <v>4327</v>
      </c>
      <c r="E1528" s="54"/>
      <c r="F1528" s="52" t="str">
        <f>IF(INDEX(I.Performance.EndRange,458)="","",INDEX(I.Performance.EndRange,458))</f>
        <v/>
      </c>
      <c r="G1528" s="54"/>
      <c r="H1528" s="52" t="str">
        <f>IF(AND(I.Compliance.FulfilledPerformance&gt;0,I.Performance.RangeCount&gt;=458,F1528=""),"Incomplete","Complete")</f>
        <v>Complete</v>
      </c>
      <c r="I1528" s="55" t="s">
        <v>1726</v>
      </c>
    </row>
    <row r="1529" spans="2:9" ht="15" customHeight="1" x14ac:dyDescent="0.25">
      <c r="B1529" s="51" t="s">
        <v>125</v>
      </c>
      <c r="C1529" s="52">
        <v>459</v>
      </c>
      <c r="D1529" s="53" t="s">
        <v>4327</v>
      </c>
      <c r="E1529" s="54"/>
      <c r="F1529" s="52" t="str">
        <f>IF(INDEX(I.Performance.EndRange,459)="","",INDEX(I.Performance.EndRange,459))</f>
        <v/>
      </c>
      <c r="G1529" s="54"/>
      <c r="H1529" s="52" t="str">
        <f>IF(AND(I.Compliance.FulfilledPerformance&gt;0,I.Performance.RangeCount&gt;=459,F1529=""),"Incomplete","Complete")</f>
        <v>Complete</v>
      </c>
      <c r="I1529" s="55" t="s">
        <v>1727</v>
      </c>
    </row>
    <row r="1530" spans="2:9" ht="15" customHeight="1" x14ac:dyDescent="0.25">
      <c r="B1530" s="51" t="s">
        <v>125</v>
      </c>
      <c r="C1530" s="52">
        <v>460</v>
      </c>
      <c r="D1530" s="53" t="s">
        <v>4327</v>
      </c>
      <c r="E1530" s="54"/>
      <c r="F1530" s="52" t="str">
        <f>IF(INDEX(I.Performance.EndRange,460)="","",INDEX(I.Performance.EndRange,460))</f>
        <v/>
      </c>
      <c r="G1530" s="54"/>
      <c r="H1530" s="52" t="str">
        <f>IF(AND(I.Compliance.FulfilledPerformance&gt;0,I.Performance.RangeCount&gt;=460,F1530=""),"Incomplete","Complete")</f>
        <v>Complete</v>
      </c>
      <c r="I1530" s="55" t="s">
        <v>1728</v>
      </c>
    </row>
    <row r="1531" spans="2:9" ht="15" customHeight="1" x14ac:dyDescent="0.25">
      <c r="B1531" s="51" t="s">
        <v>125</v>
      </c>
      <c r="C1531" s="52">
        <v>461</v>
      </c>
      <c r="D1531" s="53" t="s">
        <v>4327</v>
      </c>
      <c r="E1531" s="54"/>
      <c r="F1531" s="52" t="str">
        <f>IF(INDEX(I.Performance.EndRange,461)="","",INDEX(I.Performance.EndRange,461))</f>
        <v/>
      </c>
      <c r="G1531" s="54"/>
      <c r="H1531" s="52" t="str">
        <f>IF(AND(I.Compliance.FulfilledPerformance&gt;0,I.Performance.RangeCount&gt;=461,F1531=""),"Incomplete","Complete")</f>
        <v>Complete</v>
      </c>
      <c r="I1531" s="55" t="s">
        <v>1729</v>
      </c>
    </row>
    <row r="1532" spans="2:9" ht="15" customHeight="1" x14ac:dyDescent="0.25">
      <c r="B1532" s="51" t="s">
        <v>125</v>
      </c>
      <c r="C1532" s="52">
        <v>462</v>
      </c>
      <c r="D1532" s="53" t="s">
        <v>4327</v>
      </c>
      <c r="E1532" s="54"/>
      <c r="F1532" s="52" t="str">
        <f>IF(INDEX(I.Performance.EndRange,462)="","",INDEX(I.Performance.EndRange,462))</f>
        <v/>
      </c>
      <c r="G1532" s="54"/>
      <c r="H1532" s="52" t="str">
        <f>IF(AND(I.Compliance.FulfilledPerformance&gt;0,I.Performance.RangeCount&gt;=462,F1532=""),"Incomplete","Complete")</f>
        <v>Complete</v>
      </c>
      <c r="I1532" s="55" t="s">
        <v>1730</v>
      </c>
    </row>
    <row r="1533" spans="2:9" ht="15" customHeight="1" x14ac:dyDescent="0.25">
      <c r="B1533" s="51" t="s">
        <v>125</v>
      </c>
      <c r="C1533" s="52">
        <v>463</v>
      </c>
      <c r="D1533" s="53" t="s">
        <v>4327</v>
      </c>
      <c r="E1533" s="54"/>
      <c r="F1533" s="52" t="str">
        <f>IF(INDEX(I.Performance.EndRange,463)="","",INDEX(I.Performance.EndRange,463))</f>
        <v/>
      </c>
      <c r="G1533" s="54"/>
      <c r="H1533" s="52" t="str">
        <f>IF(AND(I.Compliance.FulfilledPerformance&gt;0,I.Performance.RangeCount&gt;=463,F1533=""),"Incomplete","Complete")</f>
        <v>Complete</v>
      </c>
      <c r="I1533" s="55" t="s">
        <v>1731</v>
      </c>
    </row>
    <row r="1534" spans="2:9" ht="15" customHeight="1" x14ac:dyDescent="0.25">
      <c r="B1534" s="51" t="s">
        <v>125</v>
      </c>
      <c r="C1534" s="52">
        <v>464</v>
      </c>
      <c r="D1534" s="53" t="s">
        <v>4327</v>
      </c>
      <c r="E1534" s="54"/>
      <c r="F1534" s="52" t="str">
        <f>IF(INDEX(I.Performance.EndRange,464)="","",INDEX(I.Performance.EndRange,464))</f>
        <v/>
      </c>
      <c r="G1534" s="54"/>
      <c r="H1534" s="52" t="str">
        <f>IF(AND(I.Compliance.FulfilledPerformance&gt;0,I.Performance.RangeCount&gt;=464,F1534=""),"Incomplete","Complete")</f>
        <v>Complete</v>
      </c>
      <c r="I1534" s="55" t="s">
        <v>1732</v>
      </c>
    </row>
    <row r="1535" spans="2:9" ht="15" customHeight="1" x14ac:dyDescent="0.25">
      <c r="B1535" s="51" t="s">
        <v>125</v>
      </c>
      <c r="C1535" s="52">
        <v>465</v>
      </c>
      <c r="D1535" s="53" t="s">
        <v>4327</v>
      </c>
      <c r="E1535" s="54"/>
      <c r="F1535" s="52" t="str">
        <f>IF(INDEX(I.Performance.EndRange,465)="","",INDEX(I.Performance.EndRange,465))</f>
        <v/>
      </c>
      <c r="G1535" s="54"/>
      <c r="H1535" s="52" t="str">
        <f>IF(AND(I.Compliance.FulfilledPerformance&gt;0,I.Performance.RangeCount&gt;=465,F1535=""),"Incomplete","Complete")</f>
        <v>Complete</v>
      </c>
      <c r="I1535" s="55" t="s">
        <v>1733</v>
      </c>
    </row>
    <row r="1536" spans="2:9" ht="15" customHeight="1" x14ac:dyDescent="0.25">
      <c r="B1536" s="51" t="s">
        <v>125</v>
      </c>
      <c r="C1536" s="52">
        <v>466</v>
      </c>
      <c r="D1536" s="53" t="s">
        <v>4327</v>
      </c>
      <c r="E1536" s="54"/>
      <c r="F1536" s="52" t="str">
        <f>IF(INDEX(I.Performance.EndRange,466)="","",INDEX(I.Performance.EndRange,466))</f>
        <v/>
      </c>
      <c r="G1536" s="54"/>
      <c r="H1536" s="52" t="str">
        <f>IF(AND(I.Compliance.FulfilledPerformance&gt;0,I.Performance.RangeCount&gt;=466,F1536=""),"Incomplete","Complete")</f>
        <v>Complete</v>
      </c>
      <c r="I1536" s="55" t="s">
        <v>1734</v>
      </c>
    </row>
    <row r="1537" spans="2:9" ht="15" customHeight="1" x14ac:dyDescent="0.25">
      <c r="B1537" s="51" t="s">
        <v>125</v>
      </c>
      <c r="C1537" s="52">
        <v>467</v>
      </c>
      <c r="D1537" s="53" t="s">
        <v>4327</v>
      </c>
      <c r="E1537" s="54"/>
      <c r="F1537" s="52" t="str">
        <f>IF(INDEX(I.Performance.EndRange,467)="","",INDEX(I.Performance.EndRange,467))</f>
        <v/>
      </c>
      <c r="G1537" s="54"/>
      <c r="H1537" s="52" t="str">
        <f>IF(AND(I.Compliance.FulfilledPerformance&gt;0,I.Performance.RangeCount&gt;=467,F1537=""),"Incomplete","Complete")</f>
        <v>Complete</v>
      </c>
      <c r="I1537" s="55" t="s">
        <v>1735</v>
      </c>
    </row>
    <row r="1538" spans="2:9" ht="15" customHeight="1" x14ac:dyDescent="0.25">
      <c r="B1538" s="51" t="s">
        <v>125</v>
      </c>
      <c r="C1538" s="52">
        <v>468</v>
      </c>
      <c r="D1538" s="53" t="s">
        <v>4327</v>
      </c>
      <c r="E1538" s="54"/>
      <c r="F1538" s="52" t="str">
        <f>IF(INDEX(I.Performance.EndRange,468)="","",INDEX(I.Performance.EndRange,468))</f>
        <v/>
      </c>
      <c r="G1538" s="54"/>
      <c r="H1538" s="52" t="str">
        <f>IF(AND(I.Compliance.FulfilledPerformance&gt;0,I.Performance.RangeCount&gt;=468,F1538=""),"Incomplete","Complete")</f>
        <v>Complete</v>
      </c>
      <c r="I1538" s="55" t="s">
        <v>1736</v>
      </c>
    </row>
    <row r="1539" spans="2:9" ht="15" customHeight="1" x14ac:dyDescent="0.25">
      <c r="B1539" s="51" t="s">
        <v>125</v>
      </c>
      <c r="C1539" s="52">
        <v>469</v>
      </c>
      <c r="D1539" s="53" t="s">
        <v>4327</v>
      </c>
      <c r="E1539" s="54"/>
      <c r="F1539" s="52" t="str">
        <f>IF(INDEX(I.Performance.EndRange,469)="","",INDEX(I.Performance.EndRange,469))</f>
        <v/>
      </c>
      <c r="G1539" s="54"/>
      <c r="H1539" s="52" t="str">
        <f>IF(AND(I.Compliance.FulfilledPerformance&gt;0,I.Performance.RangeCount&gt;=469,F1539=""),"Incomplete","Complete")</f>
        <v>Complete</v>
      </c>
      <c r="I1539" s="55" t="s">
        <v>1737</v>
      </c>
    </row>
    <row r="1540" spans="2:9" ht="15" customHeight="1" x14ac:dyDescent="0.25">
      <c r="B1540" s="51" t="s">
        <v>125</v>
      </c>
      <c r="C1540" s="52">
        <v>470</v>
      </c>
      <c r="D1540" s="53" t="s">
        <v>4327</v>
      </c>
      <c r="E1540" s="54"/>
      <c r="F1540" s="52" t="str">
        <f>IF(INDEX(I.Performance.EndRange,470)="","",INDEX(I.Performance.EndRange,470))</f>
        <v/>
      </c>
      <c r="G1540" s="54"/>
      <c r="H1540" s="52" t="str">
        <f>IF(AND(I.Compliance.FulfilledPerformance&gt;0,I.Performance.RangeCount&gt;=470,F1540=""),"Incomplete","Complete")</f>
        <v>Complete</v>
      </c>
      <c r="I1540" s="55" t="s">
        <v>1738</v>
      </c>
    </row>
    <row r="1541" spans="2:9" ht="15" customHeight="1" x14ac:dyDescent="0.25">
      <c r="B1541" s="51" t="s">
        <v>125</v>
      </c>
      <c r="C1541" s="52">
        <v>471</v>
      </c>
      <c r="D1541" s="53" t="s">
        <v>4327</v>
      </c>
      <c r="E1541" s="54"/>
      <c r="F1541" s="52" t="str">
        <f>IF(INDEX(I.Performance.EndRange,471)="","",INDEX(I.Performance.EndRange,471))</f>
        <v/>
      </c>
      <c r="G1541" s="54"/>
      <c r="H1541" s="52" t="str">
        <f>IF(AND(I.Compliance.FulfilledPerformance&gt;0,I.Performance.RangeCount&gt;=471,F1541=""),"Incomplete","Complete")</f>
        <v>Complete</v>
      </c>
      <c r="I1541" s="55" t="s">
        <v>1739</v>
      </c>
    </row>
    <row r="1542" spans="2:9" ht="15" customHeight="1" x14ac:dyDescent="0.25">
      <c r="B1542" s="51" t="s">
        <v>125</v>
      </c>
      <c r="C1542" s="52">
        <v>472</v>
      </c>
      <c r="D1542" s="53" t="s">
        <v>4327</v>
      </c>
      <c r="E1542" s="54"/>
      <c r="F1542" s="52" t="str">
        <f>IF(INDEX(I.Performance.EndRange,472)="","",INDEX(I.Performance.EndRange,472))</f>
        <v/>
      </c>
      <c r="G1542" s="54"/>
      <c r="H1542" s="52" t="str">
        <f>IF(AND(I.Compliance.FulfilledPerformance&gt;0,I.Performance.RangeCount&gt;=472,F1542=""),"Incomplete","Complete")</f>
        <v>Complete</v>
      </c>
      <c r="I1542" s="55" t="s">
        <v>1740</v>
      </c>
    </row>
    <row r="1543" spans="2:9" ht="15" customHeight="1" x14ac:dyDescent="0.25">
      <c r="B1543" s="51" t="s">
        <v>125</v>
      </c>
      <c r="C1543" s="52">
        <v>473</v>
      </c>
      <c r="D1543" s="53" t="s">
        <v>4327</v>
      </c>
      <c r="E1543" s="54"/>
      <c r="F1543" s="52" t="str">
        <f>IF(INDEX(I.Performance.EndRange,473)="","",INDEX(I.Performance.EndRange,473))</f>
        <v/>
      </c>
      <c r="G1543" s="54"/>
      <c r="H1543" s="52" t="str">
        <f>IF(AND(I.Compliance.FulfilledPerformance&gt;0,I.Performance.RangeCount&gt;=473,F1543=""),"Incomplete","Complete")</f>
        <v>Complete</v>
      </c>
      <c r="I1543" s="55" t="s">
        <v>1741</v>
      </c>
    </row>
    <row r="1544" spans="2:9" ht="15" customHeight="1" x14ac:dyDescent="0.25">
      <c r="B1544" s="51" t="s">
        <v>125</v>
      </c>
      <c r="C1544" s="52">
        <v>474</v>
      </c>
      <c r="D1544" s="53" t="s">
        <v>4327</v>
      </c>
      <c r="E1544" s="54"/>
      <c r="F1544" s="52" t="str">
        <f>IF(INDEX(I.Performance.EndRange,474)="","",INDEX(I.Performance.EndRange,474))</f>
        <v/>
      </c>
      <c r="G1544" s="54"/>
      <c r="H1544" s="52" t="str">
        <f>IF(AND(I.Compliance.FulfilledPerformance&gt;0,I.Performance.RangeCount&gt;=474,F1544=""),"Incomplete","Complete")</f>
        <v>Complete</v>
      </c>
      <c r="I1544" s="55" t="s">
        <v>1742</v>
      </c>
    </row>
    <row r="1545" spans="2:9" ht="15" customHeight="1" x14ac:dyDescent="0.25">
      <c r="B1545" s="51" t="s">
        <v>125</v>
      </c>
      <c r="C1545" s="52">
        <v>475</v>
      </c>
      <c r="D1545" s="53" t="s">
        <v>4327</v>
      </c>
      <c r="E1545" s="54"/>
      <c r="F1545" s="52" t="str">
        <f>IF(INDEX(I.Performance.EndRange,475)="","",INDEX(I.Performance.EndRange,475))</f>
        <v/>
      </c>
      <c r="G1545" s="54"/>
      <c r="H1545" s="52" t="str">
        <f>IF(AND(I.Compliance.FulfilledPerformance&gt;0,I.Performance.RangeCount&gt;=475,F1545=""),"Incomplete","Complete")</f>
        <v>Complete</v>
      </c>
      <c r="I1545" s="55" t="s">
        <v>1743</v>
      </c>
    </row>
    <row r="1546" spans="2:9" ht="15" customHeight="1" x14ac:dyDescent="0.25">
      <c r="B1546" s="51" t="s">
        <v>125</v>
      </c>
      <c r="C1546" s="52">
        <v>476</v>
      </c>
      <c r="D1546" s="53" t="s">
        <v>4327</v>
      </c>
      <c r="E1546" s="54"/>
      <c r="F1546" s="52" t="str">
        <f>IF(INDEX(I.Performance.EndRange,476)="","",INDEX(I.Performance.EndRange,476))</f>
        <v/>
      </c>
      <c r="G1546" s="54"/>
      <c r="H1546" s="52" t="str">
        <f>IF(AND(I.Compliance.FulfilledPerformance&gt;0,I.Performance.RangeCount&gt;=476,F1546=""),"Incomplete","Complete")</f>
        <v>Complete</v>
      </c>
      <c r="I1546" s="55" t="s">
        <v>1744</v>
      </c>
    </row>
    <row r="1547" spans="2:9" ht="15" customHeight="1" x14ac:dyDescent="0.25">
      <c r="B1547" s="51" t="s">
        <v>125</v>
      </c>
      <c r="C1547" s="52">
        <v>477</v>
      </c>
      <c r="D1547" s="53" t="s">
        <v>4327</v>
      </c>
      <c r="E1547" s="54"/>
      <c r="F1547" s="52" t="str">
        <f>IF(INDEX(I.Performance.EndRange,477)="","",INDEX(I.Performance.EndRange,477))</f>
        <v/>
      </c>
      <c r="G1547" s="54"/>
      <c r="H1547" s="52" t="str">
        <f>IF(AND(I.Compliance.FulfilledPerformance&gt;0,I.Performance.RangeCount&gt;=477,F1547=""),"Incomplete","Complete")</f>
        <v>Complete</v>
      </c>
      <c r="I1547" s="55" t="s">
        <v>1745</v>
      </c>
    </row>
    <row r="1548" spans="2:9" ht="15" customHeight="1" x14ac:dyDescent="0.25">
      <c r="B1548" s="51" t="s">
        <v>125</v>
      </c>
      <c r="C1548" s="52">
        <v>478</v>
      </c>
      <c r="D1548" s="53" t="s">
        <v>4327</v>
      </c>
      <c r="E1548" s="54"/>
      <c r="F1548" s="52" t="str">
        <f>IF(INDEX(I.Performance.EndRange,478)="","",INDEX(I.Performance.EndRange,478))</f>
        <v/>
      </c>
      <c r="G1548" s="54"/>
      <c r="H1548" s="52" t="str">
        <f>IF(AND(I.Compliance.FulfilledPerformance&gt;0,I.Performance.RangeCount&gt;=478,F1548=""),"Incomplete","Complete")</f>
        <v>Complete</v>
      </c>
      <c r="I1548" s="55" t="s">
        <v>1746</v>
      </c>
    </row>
    <row r="1549" spans="2:9" ht="15" customHeight="1" x14ac:dyDescent="0.25">
      <c r="B1549" s="51" t="s">
        <v>125</v>
      </c>
      <c r="C1549" s="52">
        <v>479</v>
      </c>
      <c r="D1549" s="53" t="s">
        <v>4327</v>
      </c>
      <c r="E1549" s="54"/>
      <c r="F1549" s="52" t="str">
        <f>IF(INDEX(I.Performance.EndRange,479)="","",INDEX(I.Performance.EndRange,479))</f>
        <v/>
      </c>
      <c r="G1549" s="54"/>
      <c r="H1549" s="52" t="str">
        <f>IF(AND(I.Compliance.FulfilledPerformance&gt;0,I.Performance.RangeCount&gt;=479,F1549=""),"Incomplete","Complete")</f>
        <v>Complete</v>
      </c>
      <c r="I1549" s="55" t="s">
        <v>1747</v>
      </c>
    </row>
    <row r="1550" spans="2:9" ht="15" customHeight="1" x14ac:dyDescent="0.25">
      <c r="B1550" s="51" t="s">
        <v>125</v>
      </c>
      <c r="C1550" s="52">
        <v>480</v>
      </c>
      <c r="D1550" s="53" t="s">
        <v>4327</v>
      </c>
      <c r="E1550" s="54"/>
      <c r="F1550" s="52" t="str">
        <f>IF(INDEX(I.Performance.EndRange,480)="","",INDEX(I.Performance.EndRange,480))</f>
        <v/>
      </c>
      <c r="G1550" s="54"/>
      <c r="H1550" s="52" t="str">
        <f>IF(AND(I.Compliance.FulfilledPerformance&gt;0,I.Performance.RangeCount&gt;=480,F1550=""),"Incomplete","Complete")</f>
        <v>Complete</v>
      </c>
      <c r="I1550" s="55" t="s">
        <v>1748</v>
      </c>
    </row>
    <row r="1551" spans="2:9" ht="15" customHeight="1" x14ac:dyDescent="0.25">
      <c r="B1551" s="51" t="s">
        <v>125</v>
      </c>
      <c r="C1551" s="52">
        <v>481</v>
      </c>
      <c r="D1551" s="53" t="s">
        <v>4327</v>
      </c>
      <c r="E1551" s="54"/>
      <c r="F1551" s="52" t="str">
        <f>IF(INDEX(I.Performance.EndRange,481)="","",INDEX(I.Performance.EndRange,481))</f>
        <v/>
      </c>
      <c r="G1551" s="54"/>
      <c r="H1551" s="52" t="str">
        <f>IF(AND(I.Compliance.FulfilledPerformance&gt;0,I.Performance.RangeCount&gt;=481,F1551=""),"Incomplete","Complete")</f>
        <v>Complete</v>
      </c>
      <c r="I1551" s="55" t="s">
        <v>1749</v>
      </c>
    </row>
    <row r="1552" spans="2:9" ht="15" customHeight="1" x14ac:dyDescent="0.25">
      <c r="B1552" s="51" t="s">
        <v>125</v>
      </c>
      <c r="C1552" s="52">
        <v>482</v>
      </c>
      <c r="D1552" s="53" t="s">
        <v>4327</v>
      </c>
      <c r="E1552" s="54"/>
      <c r="F1552" s="52" t="str">
        <f>IF(INDEX(I.Performance.EndRange,482)="","",INDEX(I.Performance.EndRange,482))</f>
        <v/>
      </c>
      <c r="G1552" s="54"/>
      <c r="H1552" s="52" t="str">
        <f>IF(AND(I.Compliance.FulfilledPerformance&gt;0,I.Performance.RangeCount&gt;=482,F1552=""),"Incomplete","Complete")</f>
        <v>Complete</v>
      </c>
      <c r="I1552" s="55" t="s">
        <v>1750</v>
      </c>
    </row>
    <row r="1553" spans="2:9" ht="15" customHeight="1" x14ac:dyDescent="0.25">
      <c r="B1553" s="51" t="s">
        <v>125</v>
      </c>
      <c r="C1553" s="52">
        <v>483</v>
      </c>
      <c r="D1553" s="53" t="s">
        <v>4327</v>
      </c>
      <c r="E1553" s="54"/>
      <c r="F1553" s="52" t="str">
        <f>IF(INDEX(I.Performance.EndRange,483)="","",INDEX(I.Performance.EndRange,483))</f>
        <v/>
      </c>
      <c r="G1553" s="54"/>
      <c r="H1553" s="52" t="str">
        <f>IF(AND(I.Compliance.FulfilledPerformance&gt;0,I.Performance.RangeCount&gt;=483,F1553=""),"Incomplete","Complete")</f>
        <v>Complete</v>
      </c>
      <c r="I1553" s="55" t="s">
        <v>1751</v>
      </c>
    </row>
    <row r="1554" spans="2:9" ht="15" customHeight="1" x14ac:dyDescent="0.25">
      <c r="B1554" s="51" t="s">
        <v>125</v>
      </c>
      <c r="C1554" s="52">
        <v>484</v>
      </c>
      <c r="D1554" s="53" t="s">
        <v>4327</v>
      </c>
      <c r="E1554" s="54"/>
      <c r="F1554" s="52" t="str">
        <f>IF(INDEX(I.Performance.EndRange,484)="","",INDEX(I.Performance.EndRange,484))</f>
        <v/>
      </c>
      <c r="G1554" s="54"/>
      <c r="H1554" s="52" t="str">
        <f>IF(AND(I.Compliance.FulfilledPerformance&gt;0,I.Performance.RangeCount&gt;=484,F1554=""),"Incomplete","Complete")</f>
        <v>Complete</v>
      </c>
      <c r="I1554" s="55" t="s">
        <v>1752</v>
      </c>
    </row>
    <row r="1555" spans="2:9" ht="15" customHeight="1" x14ac:dyDescent="0.25">
      <c r="B1555" s="51" t="s">
        <v>125</v>
      </c>
      <c r="C1555" s="52">
        <v>485</v>
      </c>
      <c r="D1555" s="53" t="s">
        <v>4327</v>
      </c>
      <c r="E1555" s="54"/>
      <c r="F1555" s="52" t="str">
        <f>IF(INDEX(I.Performance.EndRange,485)="","",INDEX(I.Performance.EndRange,485))</f>
        <v/>
      </c>
      <c r="G1555" s="54"/>
      <c r="H1555" s="52" t="str">
        <f>IF(AND(I.Compliance.FulfilledPerformance&gt;0,I.Performance.RangeCount&gt;=485,F1555=""),"Incomplete","Complete")</f>
        <v>Complete</v>
      </c>
      <c r="I1555" s="55" t="s">
        <v>1753</v>
      </c>
    </row>
    <row r="1556" spans="2:9" ht="15" customHeight="1" x14ac:dyDescent="0.25">
      <c r="B1556" s="51" t="s">
        <v>125</v>
      </c>
      <c r="C1556" s="52">
        <v>486</v>
      </c>
      <c r="D1556" s="53" t="s">
        <v>4327</v>
      </c>
      <c r="E1556" s="54"/>
      <c r="F1556" s="52" t="str">
        <f>IF(INDEX(I.Performance.EndRange,486)="","",INDEX(I.Performance.EndRange,486))</f>
        <v/>
      </c>
      <c r="G1556" s="54"/>
      <c r="H1556" s="52" t="str">
        <f>IF(AND(I.Compliance.FulfilledPerformance&gt;0,I.Performance.RangeCount&gt;=486,F1556=""),"Incomplete","Complete")</f>
        <v>Complete</v>
      </c>
      <c r="I1556" s="55" t="s">
        <v>1754</v>
      </c>
    </row>
    <row r="1557" spans="2:9" ht="15" customHeight="1" x14ac:dyDescent="0.25">
      <c r="B1557" s="51" t="s">
        <v>125</v>
      </c>
      <c r="C1557" s="52">
        <v>487</v>
      </c>
      <c r="D1557" s="53" t="s">
        <v>4327</v>
      </c>
      <c r="E1557" s="54"/>
      <c r="F1557" s="52" t="str">
        <f>IF(INDEX(I.Performance.EndRange,487)="","",INDEX(I.Performance.EndRange,487))</f>
        <v/>
      </c>
      <c r="G1557" s="54"/>
      <c r="H1557" s="52" t="str">
        <f>IF(AND(I.Compliance.FulfilledPerformance&gt;0,I.Performance.RangeCount&gt;=487,F1557=""),"Incomplete","Complete")</f>
        <v>Complete</v>
      </c>
      <c r="I1557" s="55" t="s">
        <v>1755</v>
      </c>
    </row>
    <row r="1558" spans="2:9" ht="15" customHeight="1" x14ac:dyDescent="0.25">
      <c r="B1558" s="51" t="s">
        <v>125</v>
      </c>
      <c r="C1558" s="52">
        <v>488</v>
      </c>
      <c r="D1558" s="53" t="s">
        <v>4327</v>
      </c>
      <c r="E1558" s="54"/>
      <c r="F1558" s="52" t="str">
        <f>IF(INDEX(I.Performance.EndRange,488)="","",INDEX(I.Performance.EndRange,488))</f>
        <v/>
      </c>
      <c r="G1558" s="54"/>
      <c r="H1558" s="52" t="str">
        <f>IF(AND(I.Compliance.FulfilledPerformance&gt;0,I.Performance.RangeCount&gt;=488,F1558=""),"Incomplete","Complete")</f>
        <v>Complete</v>
      </c>
      <c r="I1558" s="55" t="s">
        <v>1756</v>
      </c>
    </row>
    <row r="1559" spans="2:9" ht="15" customHeight="1" x14ac:dyDescent="0.25">
      <c r="B1559" s="51" t="s">
        <v>125</v>
      </c>
      <c r="C1559" s="52">
        <v>489</v>
      </c>
      <c r="D1559" s="53" t="s">
        <v>4327</v>
      </c>
      <c r="E1559" s="54"/>
      <c r="F1559" s="52" t="str">
        <f>IF(INDEX(I.Performance.EndRange,489)="","",INDEX(I.Performance.EndRange,489))</f>
        <v/>
      </c>
      <c r="G1559" s="54"/>
      <c r="H1559" s="52" t="str">
        <f>IF(AND(I.Compliance.FulfilledPerformance&gt;0,I.Performance.RangeCount&gt;=489,F1559=""),"Incomplete","Complete")</f>
        <v>Complete</v>
      </c>
      <c r="I1559" s="55" t="s">
        <v>1757</v>
      </c>
    </row>
    <row r="1560" spans="2:9" ht="15" customHeight="1" x14ac:dyDescent="0.25">
      <c r="B1560" s="51" t="s">
        <v>125</v>
      </c>
      <c r="C1560" s="52">
        <v>490</v>
      </c>
      <c r="D1560" s="53" t="s">
        <v>4327</v>
      </c>
      <c r="E1560" s="54"/>
      <c r="F1560" s="52" t="str">
        <f>IF(INDEX(I.Performance.EndRange,490)="","",INDEX(I.Performance.EndRange,490))</f>
        <v/>
      </c>
      <c r="G1560" s="54"/>
      <c r="H1560" s="52" t="str">
        <f>IF(AND(I.Compliance.FulfilledPerformance&gt;0,I.Performance.RangeCount&gt;=490,F1560=""),"Incomplete","Complete")</f>
        <v>Complete</v>
      </c>
      <c r="I1560" s="55" t="s">
        <v>1758</v>
      </c>
    </row>
    <row r="1561" spans="2:9" ht="15" customHeight="1" x14ac:dyDescent="0.25">
      <c r="B1561" s="51" t="s">
        <v>125</v>
      </c>
      <c r="C1561" s="52">
        <v>491</v>
      </c>
      <c r="D1561" s="53" t="s">
        <v>4327</v>
      </c>
      <c r="E1561" s="54"/>
      <c r="F1561" s="52" t="str">
        <f>IF(INDEX(I.Performance.EndRange,491)="","",INDEX(I.Performance.EndRange,491))</f>
        <v/>
      </c>
      <c r="G1561" s="54"/>
      <c r="H1561" s="52" t="str">
        <f>IF(AND(I.Compliance.FulfilledPerformance&gt;0,I.Performance.RangeCount&gt;=491,F1561=""),"Incomplete","Complete")</f>
        <v>Complete</v>
      </c>
      <c r="I1561" s="55" t="s">
        <v>1759</v>
      </c>
    </row>
    <row r="1562" spans="2:9" ht="15" customHeight="1" x14ac:dyDescent="0.25">
      <c r="B1562" s="51" t="s">
        <v>125</v>
      </c>
      <c r="C1562" s="52">
        <v>492</v>
      </c>
      <c r="D1562" s="53" t="s">
        <v>4327</v>
      </c>
      <c r="E1562" s="54"/>
      <c r="F1562" s="52" t="str">
        <f>IF(INDEX(I.Performance.EndRange,492)="","",INDEX(I.Performance.EndRange,492))</f>
        <v/>
      </c>
      <c r="G1562" s="54"/>
      <c r="H1562" s="52" t="str">
        <f>IF(AND(I.Compliance.FulfilledPerformance&gt;0,I.Performance.RangeCount&gt;=492,F1562=""),"Incomplete","Complete")</f>
        <v>Complete</v>
      </c>
      <c r="I1562" s="55" t="s">
        <v>1760</v>
      </c>
    </row>
    <row r="1563" spans="2:9" ht="15" customHeight="1" x14ac:dyDescent="0.25">
      <c r="B1563" s="51" t="s">
        <v>125</v>
      </c>
      <c r="C1563" s="52">
        <v>493</v>
      </c>
      <c r="D1563" s="53" t="s">
        <v>4327</v>
      </c>
      <c r="E1563" s="54"/>
      <c r="F1563" s="52" t="str">
        <f>IF(INDEX(I.Performance.EndRange,493)="","",INDEX(I.Performance.EndRange,493))</f>
        <v/>
      </c>
      <c r="G1563" s="54"/>
      <c r="H1563" s="52" t="str">
        <f>IF(AND(I.Compliance.FulfilledPerformance&gt;0,I.Performance.RangeCount&gt;=493,F1563=""),"Incomplete","Complete")</f>
        <v>Complete</v>
      </c>
      <c r="I1563" s="55" t="s">
        <v>1761</v>
      </c>
    </row>
    <row r="1564" spans="2:9" ht="15" customHeight="1" x14ac:dyDescent="0.25">
      <c r="B1564" s="51" t="s">
        <v>125</v>
      </c>
      <c r="C1564" s="52">
        <v>494</v>
      </c>
      <c r="D1564" s="53" t="s">
        <v>4327</v>
      </c>
      <c r="E1564" s="54"/>
      <c r="F1564" s="52" t="str">
        <f>IF(INDEX(I.Performance.EndRange,494)="","",INDEX(I.Performance.EndRange,494))</f>
        <v/>
      </c>
      <c r="G1564" s="54"/>
      <c r="H1564" s="52" t="str">
        <f>IF(AND(I.Compliance.FulfilledPerformance&gt;0,I.Performance.RangeCount&gt;=494,F1564=""),"Incomplete","Complete")</f>
        <v>Complete</v>
      </c>
      <c r="I1564" s="55" t="s">
        <v>1762</v>
      </c>
    </row>
    <row r="1565" spans="2:9" ht="15" customHeight="1" x14ac:dyDescent="0.25">
      <c r="B1565" s="51" t="s">
        <v>125</v>
      </c>
      <c r="C1565" s="52">
        <v>495</v>
      </c>
      <c r="D1565" s="53" t="s">
        <v>4327</v>
      </c>
      <c r="E1565" s="54"/>
      <c r="F1565" s="52" t="str">
        <f>IF(INDEX(I.Performance.EndRange,495)="","",INDEX(I.Performance.EndRange,495))</f>
        <v/>
      </c>
      <c r="G1565" s="54"/>
      <c r="H1565" s="52" t="str">
        <f>IF(AND(I.Compliance.FulfilledPerformance&gt;0,I.Performance.RangeCount&gt;=495,F1565=""),"Incomplete","Complete")</f>
        <v>Complete</v>
      </c>
      <c r="I1565" s="55" t="s">
        <v>1763</v>
      </c>
    </row>
    <row r="1566" spans="2:9" ht="15" customHeight="1" x14ac:dyDescent="0.25">
      <c r="B1566" s="51" t="s">
        <v>125</v>
      </c>
      <c r="C1566" s="52">
        <v>496</v>
      </c>
      <c r="D1566" s="53" t="s">
        <v>4327</v>
      </c>
      <c r="E1566" s="54"/>
      <c r="F1566" s="52" t="str">
        <f>IF(INDEX(I.Performance.EndRange,496)="","",INDEX(I.Performance.EndRange,496))</f>
        <v/>
      </c>
      <c r="G1566" s="54"/>
      <c r="H1566" s="52" t="str">
        <f>IF(AND(I.Compliance.FulfilledPerformance&gt;0,I.Performance.RangeCount&gt;=496,F1566=""),"Incomplete","Complete")</f>
        <v>Complete</v>
      </c>
      <c r="I1566" s="55" t="s">
        <v>1764</v>
      </c>
    </row>
    <row r="1567" spans="2:9" ht="15" customHeight="1" x14ac:dyDescent="0.25">
      <c r="B1567" s="51" t="s">
        <v>125</v>
      </c>
      <c r="C1567" s="52">
        <v>497</v>
      </c>
      <c r="D1567" s="53" t="s">
        <v>4327</v>
      </c>
      <c r="E1567" s="54"/>
      <c r="F1567" s="52" t="str">
        <f>IF(INDEX(I.Performance.EndRange,497)="","",INDEX(I.Performance.EndRange,497))</f>
        <v/>
      </c>
      <c r="G1567" s="54"/>
      <c r="H1567" s="52" t="str">
        <f>IF(AND(I.Compliance.FulfilledPerformance&gt;0,I.Performance.RangeCount&gt;=497,F1567=""),"Incomplete","Complete")</f>
        <v>Complete</v>
      </c>
      <c r="I1567" s="55" t="s">
        <v>1765</v>
      </c>
    </row>
    <row r="1568" spans="2:9" ht="15" customHeight="1" x14ac:dyDescent="0.25">
      <c r="B1568" s="51" t="s">
        <v>125</v>
      </c>
      <c r="C1568" s="52">
        <v>498</v>
      </c>
      <c r="D1568" s="53" t="s">
        <v>4327</v>
      </c>
      <c r="E1568" s="54"/>
      <c r="F1568" s="52" t="str">
        <f>IF(INDEX(I.Performance.EndRange,498)="","",INDEX(I.Performance.EndRange,498))</f>
        <v/>
      </c>
      <c r="G1568" s="54"/>
      <c r="H1568" s="52" t="str">
        <f>IF(AND(I.Compliance.FulfilledPerformance&gt;0,I.Performance.RangeCount&gt;=498,F1568=""),"Incomplete","Complete")</f>
        <v>Complete</v>
      </c>
      <c r="I1568" s="55" t="s">
        <v>1766</v>
      </c>
    </row>
    <row r="1569" spans="2:9" ht="15" customHeight="1" x14ac:dyDescent="0.25">
      <c r="B1569" s="51" t="s">
        <v>125</v>
      </c>
      <c r="C1569" s="52">
        <v>499</v>
      </c>
      <c r="D1569" s="53" t="s">
        <v>4327</v>
      </c>
      <c r="E1569" s="54"/>
      <c r="F1569" s="52" t="str">
        <f>IF(INDEX(I.Performance.EndRange,499)="","",INDEX(I.Performance.EndRange,499))</f>
        <v/>
      </c>
      <c r="G1569" s="54"/>
      <c r="H1569" s="52" t="str">
        <f>IF(AND(I.Compliance.FulfilledPerformance&gt;0,I.Performance.RangeCount&gt;=499,F1569=""),"Incomplete","Complete")</f>
        <v>Complete</v>
      </c>
      <c r="I1569" s="55" t="s">
        <v>1767</v>
      </c>
    </row>
    <row r="1570" spans="2:9" ht="15" customHeight="1" x14ac:dyDescent="0.25">
      <c r="B1570" s="51" t="s">
        <v>125</v>
      </c>
      <c r="C1570" s="52">
        <v>500</v>
      </c>
      <c r="D1570" s="53" t="s">
        <v>4327</v>
      </c>
      <c r="E1570" s="54"/>
      <c r="F1570" s="52" t="str">
        <f>IF(INDEX(I.Performance.EndRange,500)="","",INDEX(I.Performance.EndRange,500))</f>
        <v/>
      </c>
      <c r="G1570" s="54"/>
      <c r="H1570" s="52" t="str">
        <f>IF(AND(I.Compliance.FulfilledPerformance&gt;0,I.Performance.RangeCount&gt;=500,F1570=""),"Incomplete","Complete")</f>
        <v>Complete</v>
      </c>
      <c r="I1570" s="55" t="s">
        <v>1768</v>
      </c>
    </row>
    <row r="1571" spans="2:9" ht="15" customHeight="1" x14ac:dyDescent="0.25">
      <c r="B1571" s="51" t="s">
        <v>125</v>
      </c>
      <c r="C1571" s="52">
        <v>501</v>
      </c>
      <c r="D1571" s="53" t="s">
        <v>4327</v>
      </c>
      <c r="E1571" s="54"/>
      <c r="F1571" s="52" t="str">
        <f>IF(INDEX(I.Performance.EndRange,501)="","",INDEX(I.Performance.EndRange,501))</f>
        <v/>
      </c>
      <c r="G1571" s="54"/>
      <c r="H1571" s="52" t="str">
        <f>IF(AND(I.Compliance.FulfilledPerformance&gt;0,I.Performance.RangeCount&gt;=501,F1571=""),"Incomplete","Complete")</f>
        <v>Complete</v>
      </c>
      <c r="I1571" s="55" t="s">
        <v>1769</v>
      </c>
    </row>
    <row r="1572" spans="2:9" ht="15" customHeight="1" x14ac:dyDescent="0.25">
      <c r="B1572" s="51" t="s">
        <v>125</v>
      </c>
      <c r="C1572" s="52">
        <v>502</v>
      </c>
      <c r="D1572" s="53" t="s">
        <v>4327</v>
      </c>
      <c r="E1572" s="54"/>
      <c r="F1572" s="52" t="str">
        <f>IF(INDEX(I.Performance.EndRange,502)="","",INDEX(I.Performance.EndRange,502))</f>
        <v/>
      </c>
      <c r="G1572" s="54"/>
      <c r="H1572" s="52" t="str">
        <f>IF(AND(I.Compliance.FulfilledPerformance&gt;0,I.Performance.RangeCount&gt;=502,F1572=""),"Incomplete","Complete")</f>
        <v>Complete</v>
      </c>
      <c r="I1572" s="55" t="s">
        <v>1770</v>
      </c>
    </row>
    <row r="1573" spans="2:9" ht="15" customHeight="1" x14ac:dyDescent="0.25">
      <c r="B1573" s="51" t="s">
        <v>125</v>
      </c>
      <c r="C1573" s="52">
        <v>503</v>
      </c>
      <c r="D1573" s="53" t="s">
        <v>4327</v>
      </c>
      <c r="E1573" s="54"/>
      <c r="F1573" s="52" t="str">
        <f>IF(INDEX(I.Performance.EndRange,503)="","",INDEX(I.Performance.EndRange,503))</f>
        <v/>
      </c>
      <c r="G1573" s="54"/>
      <c r="H1573" s="52" t="str">
        <f>IF(AND(I.Compliance.FulfilledPerformance&gt;0,I.Performance.RangeCount&gt;=503,F1573=""),"Incomplete","Complete")</f>
        <v>Complete</v>
      </c>
      <c r="I1573" s="55" t="s">
        <v>1771</v>
      </c>
    </row>
    <row r="1574" spans="2:9" ht="15" customHeight="1" x14ac:dyDescent="0.25">
      <c r="B1574" s="51" t="s">
        <v>125</v>
      </c>
      <c r="C1574" s="52">
        <v>504</v>
      </c>
      <c r="D1574" s="53" t="s">
        <v>4327</v>
      </c>
      <c r="E1574" s="54"/>
      <c r="F1574" s="52" t="str">
        <f>IF(INDEX(I.Performance.EndRange,504)="","",INDEX(I.Performance.EndRange,504))</f>
        <v/>
      </c>
      <c r="G1574" s="54"/>
      <c r="H1574" s="52" t="str">
        <f>IF(AND(I.Compliance.FulfilledPerformance&gt;0,I.Performance.RangeCount&gt;=504,F1574=""),"Incomplete","Complete")</f>
        <v>Complete</v>
      </c>
      <c r="I1574" s="55" t="s">
        <v>1772</v>
      </c>
    </row>
    <row r="1575" spans="2:9" ht="15" customHeight="1" x14ac:dyDescent="0.25">
      <c r="B1575" s="51" t="s">
        <v>125</v>
      </c>
      <c r="C1575" s="52">
        <v>505</v>
      </c>
      <c r="D1575" s="53" t="s">
        <v>4327</v>
      </c>
      <c r="E1575" s="54"/>
      <c r="F1575" s="52" t="str">
        <f>IF(INDEX(I.Performance.EndRange,505)="","",INDEX(I.Performance.EndRange,505))</f>
        <v/>
      </c>
      <c r="G1575" s="54"/>
      <c r="H1575" s="52" t="str">
        <f>IF(AND(I.Compliance.FulfilledPerformance&gt;0,I.Performance.RangeCount&gt;=505,F1575=""),"Incomplete","Complete")</f>
        <v>Complete</v>
      </c>
      <c r="I1575" s="55" t="s">
        <v>1773</v>
      </c>
    </row>
    <row r="1576" spans="2:9" ht="15" customHeight="1" x14ac:dyDescent="0.25">
      <c r="B1576" s="51" t="s">
        <v>125</v>
      </c>
      <c r="C1576" s="52">
        <v>506</v>
      </c>
      <c r="D1576" s="53" t="s">
        <v>4327</v>
      </c>
      <c r="E1576" s="54"/>
      <c r="F1576" s="52" t="str">
        <f>IF(INDEX(I.Performance.EndRange,506)="","",INDEX(I.Performance.EndRange,506))</f>
        <v/>
      </c>
      <c r="G1576" s="54"/>
      <c r="H1576" s="52" t="str">
        <f>IF(AND(I.Compliance.FulfilledPerformance&gt;0,I.Performance.RangeCount&gt;=506,F1576=""),"Incomplete","Complete")</f>
        <v>Complete</v>
      </c>
      <c r="I1576" s="55" t="s">
        <v>1774</v>
      </c>
    </row>
    <row r="1577" spans="2:9" ht="15" customHeight="1" x14ac:dyDescent="0.25">
      <c r="B1577" s="51" t="s">
        <v>125</v>
      </c>
      <c r="C1577" s="52">
        <v>507</v>
      </c>
      <c r="D1577" s="53" t="s">
        <v>4327</v>
      </c>
      <c r="E1577" s="54"/>
      <c r="F1577" s="52" t="str">
        <f>IF(INDEX(I.Performance.EndRange,507)="","",INDEX(I.Performance.EndRange,507))</f>
        <v/>
      </c>
      <c r="G1577" s="54"/>
      <c r="H1577" s="52" t="str">
        <f>IF(AND(I.Compliance.FulfilledPerformance&gt;0,I.Performance.RangeCount&gt;=507,F1577=""),"Incomplete","Complete")</f>
        <v>Complete</v>
      </c>
      <c r="I1577" s="55" t="s">
        <v>1775</v>
      </c>
    </row>
    <row r="1578" spans="2:9" ht="15" customHeight="1" x14ac:dyDescent="0.25">
      <c r="B1578" s="51" t="s">
        <v>125</v>
      </c>
      <c r="C1578" s="52">
        <v>508</v>
      </c>
      <c r="D1578" s="53" t="s">
        <v>4327</v>
      </c>
      <c r="E1578" s="54"/>
      <c r="F1578" s="52" t="str">
        <f>IF(INDEX(I.Performance.EndRange,508)="","",INDEX(I.Performance.EndRange,508))</f>
        <v/>
      </c>
      <c r="G1578" s="54"/>
      <c r="H1578" s="52" t="str">
        <f>IF(AND(I.Compliance.FulfilledPerformance&gt;0,I.Performance.RangeCount&gt;=508,F1578=""),"Incomplete","Complete")</f>
        <v>Complete</v>
      </c>
      <c r="I1578" s="55" t="s">
        <v>1776</v>
      </c>
    </row>
    <row r="1579" spans="2:9" ht="15" customHeight="1" x14ac:dyDescent="0.25">
      <c r="B1579" s="51" t="s">
        <v>125</v>
      </c>
      <c r="C1579" s="52">
        <v>509</v>
      </c>
      <c r="D1579" s="53" t="s">
        <v>4327</v>
      </c>
      <c r="E1579" s="54"/>
      <c r="F1579" s="52" t="str">
        <f>IF(INDEX(I.Performance.EndRange,509)="","",INDEX(I.Performance.EndRange,509))</f>
        <v/>
      </c>
      <c r="G1579" s="54"/>
      <c r="H1579" s="52" t="str">
        <f>IF(AND(I.Compliance.FulfilledPerformance&gt;0,I.Performance.RangeCount&gt;=509,F1579=""),"Incomplete","Complete")</f>
        <v>Complete</v>
      </c>
      <c r="I1579" s="55" t="s">
        <v>1777</v>
      </c>
    </row>
    <row r="1580" spans="2:9" ht="15" customHeight="1" x14ac:dyDescent="0.25">
      <c r="B1580" s="51" t="s">
        <v>125</v>
      </c>
      <c r="C1580" s="52">
        <v>510</v>
      </c>
      <c r="D1580" s="53" t="s">
        <v>4327</v>
      </c>
      <c r="E1580" s="54"/>
      <c r="F1580" s="52" t="str">
        <f>IF(INDEX(I.Performance.EndRange,510)="","",INDEX(I.Performance.EndRange,510))</f>
        <v/>
      </c>
      <c r="G1580" s="54"/>
      <c r="H1580" s="52" t="str">
        <f>IF(AND(I.Compliance.FulfilledPerformance&gt;0,I.Performance.RangeCount&gt;=510,F1580=""),"Incomplete","Complete")</f>
        <v>Complete</v>
      </c>
      <c r="I1580" s="55" t="s">
        <v>1778</v>
      </c>
    </row>
    <row r="1581" spans="2:9" ht="15" customHeight="1" x14ac:dyDescent="0.25">
      <c r="B1581" s="51" t="s">
        <v>125</v>
      </c>
      <c r="C1581" s="52">
        <v>511</v>
      </c>
      <c r="D1581" s="53" t="s">
        <v>4327</v>
      </c>
      <c r="E1581" s="54"/>
      <c r="F1581" s="52" t="str">
        <f>IF(INDEX(I.Performance.EndRange,511)="","",INDEX(I.Performance.EndRange,511))</f>
        <v/>
      </c>
      <c r="G1581" s="54"/>
      <c r="H1581" s="52" t="str">
        <f>IF(AND(I.Compliance.FulfilledPerformance&gt;0,I.Performance.RangeCount&gt;=511,F1581=""),"Incomplete","Complete")</f>
        <v>Complete</v>
      </c>
      <c r="I1581" s="55" t="s">
        <v>1779</v>
      </c>
    </row>
    <row r="1582" spans="2:9" ht="15" customHeight="1" x14ac:dyDescent="0.25">
      <c r="B1582" s="51" t="s">
        <v>125</v>
      </c>
      <c r="C1582" s="52">
        <v>512</v>
      </c>
      <c r="D1582" s="53" t="s">
        <v>4327</v>
      </c>
      <c r="E1582" s="54"/>
      <c r="F1582" s="52" t="str">
        <f>IF(INDEX(I.Performance.EndRange,512)="","",INDEX(I.Performance.EndRange,512))</f>
        <v/>
      </c>
      <c r="G1582" s="54"/>
      <c r="H1582" s="52" t="str">
        <f>IF(AND(I.Compliance.FulfilledPerformance&gt;0,I.Performance.RangeCount&gt;=512,F1582=""),"Incomplete","Complete")</f>
        <v>Complete</v>
      </c>
      <c r="I1582" s="55" t="s">
        <v>1780</v>
      </c>
    </row>
    <row r="1583" spans="2:9" ht="15" customHeight="1" x14ac:dyDescent="0.25">
      <c r="B1583" s="51" t="s">
        <v>125</v>
      </c>
      <c r="C1583" s="52">
        <v>513</v>
      </c>
      <c r="D1583" s="53" t="s">
        <v>4327</v>
      </c>
      <c r="E1583" s="54"/>
      <c r="F1583" s="52" t="str">
        <f>IF(INDEX(I.Performance.EndRange,513)="","",INDEX(I.Performance.EndRange,513))</f>
        <v/>
      </c>
      <c r="G1583" s="54"/>
      <c r="H1583" s="52" t="str">
        <f>IF(AND(I.Compliance.FulfilledPerformance&gt;0,I.Performance.RangeCount&gt;=513,F1583=""),"Incomplete","Complete")</f>
        <v>Complete</v>
      </c>
      <c r="I1583" s="55" t="s">
        <v>1781</v>
      </c>
    </row>
    <row r="1584" spans="2:9" ht="15" customHeight="1" x14ac:dyDescent="0.25">
      <c r="B1584" s="51" t="s">
        <v>125</v>
      </c>
      <c r="C1584" s="52">
        <v>514</v>
      </c>
      <c r="D1584" s="53" t="s">
        <v>4327</v>
      </c>
      <c r="E1584" s="54"/>
      <c r="F1584" s="52" t="str">
        <f>IF(INDEX(I.Performance.EndRange,514)="","",INDEX(I.Performance.EndRange,514))</f>
        <v/>
      </c>
      <c r="G1584" s="54"/>
      <c r="H1584" s="52" t="str">
        <f>IF(AND(I.Compliance.FulfilledPerformance&gt;0,I.Performance.RangeCount&gt;=514,F1584=""),"Incomplete","Complete")</f>
        <v>Complete</v>
      </c>
      <c r="I1584" s="55" t="s">
        <v>1782</v>
      </c>
    </row>
    <row r="1585" spans="2:9" ht="15" customHeight="1" x14ac:dyDescent="0.25">
      <c r="B1585" s="51" t="s">
        <v>125</v>
      </c>
      <c r="C1585" s="52">
        <v>515</v>
      </c>
      <c r="D1585" s="53" t="s">
        <v>4327</v>
      </c>
      <c r="E1585" s="54"/>
      <c r="F1585" s="52" t="str">
        <f>IF(INDEX(I.Performance.EndRange,515)="","",INDEX(I.Performance.EndRange,515))</f>
        <v/>
      </c>
      <c r="G1585" s="54"/>
      <c r="H1585" s="52" t="str">
        <f>IF(AND(I.Compliance.FulfilledPerformance&gt;0,I.Performance.RangeCount&gt;=515,F1585=""),"Incomplete","Complete")</f>
        <v>Complete</v>
      </c>
      <c r="I1585" s="55" t="s">
        <v>1783</v>
      </c>
    </row>
    <row r="1586" spans="2:9" ht="15" customHeight="1" x14ac:dyDescent="0.25">
      <c r="B1586" s="51" t="s">
        <v>125</v>
      </c>
      <c r="C1586" s="52">
        <v>516</v>
      </c>
      <c r="D1586" s="53" t="s">
        <v>4327</v>
      </c>
      <c r="E1586" s="54"/>
      <c r="F1586" s="52" t="str">
        <f>IF(INDEX(I.Performance.EndRange,516)="","",INDEX(I.Performance.EndRange,516))</f>
        <v/>
      </c>
      <c r="G1586" s="54"/>
      <c r="H1586" s="52" t="str">
        <f>IF(AND(I.Compliance.FulfilledPerformance&gt;0,I.Performance.RangeCount&gt;=516,F1586=""),"Incomplete","Complete")</f>
        <v>Complete</v>
      </c>
      <c r="I1586" s="55" t="s">
        <v>1784</v>
      </c>
    </row>
    <row r="1587" spans="2:9" ht="15" customHeight="1" x14ac:dyDescent="0.25">
      <c r="B1587" s="51" t="s">
        <v>125</v>
      </c>
      <c r="C1587" s="52">
        <v>517</v>
      </c>
      <c r="D1587" s="53" t="s">
        <v>4327</v>
      </c>
      <c r="E1587" s="54"/>
      <c r="F1587" s="52" t="str">
        <f>IF(INDEX(I.Performance.EndRange,517)="","",INDEX(I.Performance.EndRange,517))</f>
        <v/>
      </c>
      <c r="G1587" s="54"/>
      <c r="H1587" s="52" t="str">
        <f>IF(AND(I.Compliance.FulfilledPerformance&gt;0,I.Performance.RangeCount&gt;=517,F1587=""),"Incomplete","Complete")</f>
        <v>Complete</v>
      </c>
      <c r="I1587" s="55" t="s">
        <v>1785</v>
      </c>
    </row>
    <row r="1588" spans="2:9" ht="15" customHeight="1" x14ac:dyDescent="0.25">
      <c r="B1588" s="51" t="s">
        <v>125</v>
      </c>
      <c r="C1588" s="52">
        <v>518</v>
      </c>
      <c r="D1588" s="53" t="s">
        <v>4327</v>
      </c>
      <c r="E1588" s="54"/>
      <c r="F1588" s="52" t="str">
        <f>IF(INDEX(I.Performance.EndRange,518)="","",INDEX(I.Performance.EndRange,518))</f>
        <v/>
      </c>
      <c r="G1588" s="54"/>
      <c r="H1588" s="52" t="str">
        <f>IF(AND(I.Compliance.FulfilledPerformance&gt;0,I.Performance.RangeCount&gt;=518,F1588=""),"Incomplete","Complete")</f>
        <v>Complete</v>
      </c>
      <c r="I1588" s="55" t="s">
        <v>1786</v>
      </c>
    </row>
    <row r="1589" spans="2:9" ht="15" customHeight="1" x14ac:dyDescent="0.25">
      <c r="B1589" s="51" t="s">
        <v>125</v>
      </c>
      <c r="C1589" s="52">
        <v>519</v>
      </c>
      <c r="D1589" s="53" t="s">
        <v>4327</v>
      </c>
      <c r="E1589" s="54"/>
      <c r="F1589" s="52" t="str">
        <f>IF(INDEX(I.Performance.EndRange,519)="","",INDEX(I.Performance.EndRange,519))</f>
        <v/>
      </c>
      <c r="G1589" s="54"/>
      <c r="H1589" s="52" t="str">
        <f>IF(AND(I.Compliance.FulfilledPerformance&gt;0,I.Performance.RangeCount&gt;=519,F1589=""),"Incomplete","Complete")</f>
        <v>Complete</v>
      </c>
      <c r="I1589" s="55" t="s">
        <v>1787</v>
      </c>
    </row>
    <row r="1590" spans="2:9" ht="15" customHeight="1" x14ac:dyDescent="0.25">
      <c r="B1590" s="51" t="s">
        <v>125</v>
      </c>
      <c r="C1590" s="52">
        <v>520</v>
      </c>
      <c r="D1590" s="53" t="s">
        <v>4327</v>
      </c>
      <c r="E1590" s="54"/>
      <c r="F1590" s="52" t="str">
        <f>IF(INDEX(I.Performance.EndRange,520)="","",INDEX(I.Performance.EndRange,520))</f>
        <v/>
      </c>
      <c r="G1590" s="54"/>
      <c r="H1590" s="52" t="str">
        <f>IF(AND(I.Compliance.FulfilledPerformance&gt;0,I.Performance.RangeCount&gt;=520,F1590=""),"Incomplete","Complete")</f>
        <v>Complete</v>
      </c>
      <c r="I1590" s="55" t="s">
        <v>1788</v>
      </c>
    </row>
    <row r="1591" spans="2:9" ht="15" customHeight="1" x14ac:dyDescent="0.25">
      <c r="B1591" s="51" t="s">
        <v>125</v>
      </c>
      <c r="C1591" s="52">
        <v>521</v>
      </c>
      <c r="D1591" s="53" t="s">
        <v>4327</v>
      </c>
      <c r="E1591" s="54"/>
      <c r="F1591" s="52" t="str">
        <f>IF(INDEX(I.Performance.EndRange,521)="","",INDEX(I.Performance.EndRange,521))</f>
        <v/>
      </c>
      <c r="G1591" s="54"/>
      <c r="H1591" s="52" t="str">
        <f>IF(AND(I.Compliance.FulfilledPerformance&gt;0,I.Performance.RangeCount&gt;=521,F1591=""),"Incomplete","Complete")</f>
        <v>Complete</v>
      </c>
      <c r="I1591" s="55" t="s">
        <v>1789</v>
      </c>
    </row>
    <row r="1592" spans="2:9" ht="15" customHeight="1" x14ac:dyDescent="0.25">
      <c r="B1592" s="51" t="s">
        <v>125</v>
      </c>
      <c r="C1592" s="52">
        <v>522</v>
      </c>
      <c r="D1592" s="53" t="s">
        <v>4327</v>
      </c>
      <c r="E1592" s="54"/>
      <c r="F1592" s="52" t="str">
        <f>IF(INDEX(I.Performance.EndRange,522)="","",INDEX(I.Performance.EndRange,522))</f>
        <v/>
      </c>
      <c r="G1592" s="54"/>
      <c r="H1592" s="52" t="str">
        <f>IF(AND(I.Compliance.FulfilledPerformance&gt;0,I.Performance.RangeCount&gt;=522,F1592=""),"Incomplete","Complete")</f>
        <v>Complete</v>
      </c>
      <c r="I1592" s="55" t="s">
        <v>1790</v>
      </c>
    </row>
    <row r="1593" spans="2:9" ht="15" customHeight="1" x14ac:dyDescent="0.25">
      <c r="B1593" s="51" t="s">
        <v>125</v>
      </c>
      <c r="C1593" s="52">
        <v>523</v>
      </c>
      <c r="D1593" s="53" t="s">
        <v>4327</v>
      </c>
      <c r="E1593" s="54"/>
      <c r="F1593" s="52" t="str">
        <f>IF(INDEX(I.Performance.EndRange,523)="","",INDEX(I.Performance.EndRange,523))</f>
        <v/>
      </c>
      <c r="G1593" s="54"/>
      <c r="H1593" s="52" t="str">
        <f>IF(AND(I.Compliance.FulfilledPerformance&gt;0,I.Performance.RangeCount&gt;=523,F1593=""),"Incomplete","Complete")</f>
        <v>Complete</v>
      </c>
      <c r="I1593" s="55" t="s">
        <v>1791</v>
      </c>
    </row>
    <row r="1594" spans="2:9" ht="15" customHeight="1" x14ac:dyDescent="0.25">
      <c r="B1594" s="51" t="s">
        <v>125</v>
      </c>
      <c r="C1594" s="52">
        <v>524</v>
      </c>
      <c r="D1594" s="53" t="s">
        <v>4327</v>
      </c>
      <c r="E1594" s="54"/>
      <c r="F1594" s="52" t="str">
        <f>IF(INDEX(I.Performance.EndRange,524)="","",INDEX(I.Performance.EndRange,524))</f>
        <v/>
      </c>
      <c r="G1594" s="54"/>
      <c r="H1594" s="52" t="str">
        <f>IF(AND(I.Compliance.FulfilledPerformance&gt;0,I.Performance.RangeCount&gt;=524,F1594=""),"Incomplete","Complete")</f>
        <v>Complete</v>
      </c>
      <c r="I1594" s="55" t="s">
        <v>1792</v>
      </c>
    </row>
    <row r="1595" spans="2:9" ht="15" customHeight="1" x14ac:dyDescent="0.25">
      <c r="B1595" s="51" t="s">
        <v>125</v>
      </c>
      <c r="C1595" s="52">
        <v>525</v>
      </c>
      <c r="D1595" s="53" t="s">
        <v>4327</v>
      </c>
      <c r="E1595" s="54"/>
      <c r="F1595" s="52" t="str">
        <f>IF(INDEX(I.Performance.EndRange,525)="","",INDEX(I.Performance.EndRange,525))</f>
        <v/>
      </c>
      <c r="G1595" s="54"/>
      <c r="H1595" s="52" t="str">
        <f>IF(AND(I.Compliance.FulfilledPerformance&gt;0,I.Performance.RangeCount&gt;=525,F1595=""),"Incomplete","Complete")</f>
        <v>Complete</v>
      </c>
      <c r="I1595" s="55" t="s">
        <v>1793</v>
      </c>
    </row>
    <row r="1596" spans="2:9" ht="15" customHeight="1" x14ac:dyDescent="0.25">
      <c r="B1596" s="51" t="s">
        <v>125</v>
      </c>
      <c r="C1596" s="52">
        <v>526</v>
      </c>
      <c r="D1596" s="53" t="s">
        <v>4327</v>
      </c>
      <c r="E1596" s="54"/>
      <c r="F1596" s="52" t="str">
        <f>IF(INDEX(I.Performance.EndRange,526)="","",INDEX(I.Performance.EndRange,526))</f>
        <v/>
      </c>
      <c r="G1596" s="54"/>
      <c r="H1596" s="52" t="str">
        <f>IF(AND(I.Compliance.FulfilledPerformance&gt;0,I.Performance.RangeCount&gt;=526,F1596=""),"Incomplete","Complete")</f>
        <v>Complete</v>
      </c>
      <c r="I1596" s="55" t="s">
        <v>1794</v>
      </c>
    </row>
    <row r="1597" spans="2:9" ht="15" customHeight="1" x14ac:dyDescent="0.25">
      <c r="B1597" s="51" t="s">
        <v>125</v>
      </c>
      <c r="C1597" s="52">
        <v>527</v>
      </c>
      <c r="D1597" s="53" t="s">
        <v>4327</v>
      </c>
      <c r="E1597" s="54"/>
      <c r="F1597" s="52" t="str">
        <f>IF(INDEX(I.Performance.EndRange,527)="","",INDEX(I.Performance.EndRange,527))</f>
        <v/>
      </c>
      <c r="G1597" s="54"/>
      <c r="H1597" s="52" t="str">
        <f>IF(AND(I.Compliance.FulfilledPerformance&gt;0,I.Performance.RangeCount&gt;=527,F1597=""),"Incomplete","Complete")</f>
        <v>Complete</v>
      </c>
      <c r="I1597" s="55" t="s">
        <v>1795</v>
      </c>
    </row>
    <row r="1598" spans="2:9" ht="15" customHeight="1" x14ac:dyDescent="0.25">
      <c r="B1598" s="51" t="s">
        <v>125</v>
      </c>
      <c r="C1598" s="52">
        <v>528</v>
      </c>
      <c r="D1598" s="53" t="s">
        <v>4327</v>
      </c>
      <c r="E1598" s="54"/>
      <c r="F1598" s="52" t="str">
        <f>IF(INDEX(I.Performance.EndRange,528)="","",INDEX(I.Performance.EndRange,528))</f>
        <v/>
      </c>
      <c r="G1598" s="54"/>
      <c r="H1598" s="52" t="str">
        <f>IF(AND(I.Compliance.FulfilledPerformance&gt;0,I.Performance.RangeCount&gt;=528,F1598=""),"Incomplete","Complete")</f>
        <v>Complete</v>
      </c>
      <c r="I1598" s="55" t="s">
        <v>1796</v>
      </c>
    </row>
    <row r="1599" spans="2:9" ht="15" customHeight="1" x14ac:dyDescent="0.25">
      <c r="B1599" s="51" t="s">
        <v>125</v>
      </c>
      <c r="C1599" s="52">
        <v>529</v>
      </c>
      <c r="D1599" s="53" t="s">
        <v>4327</v>
      </c>
      <c r="E1599" s="54"/>
      <c r="F1599" s="52" t="str">
        <f>IF(INDEX(I.Performance.EndRange,529)="","",INDEX(I.Performance.EndRange,529))</f>
        <v/>
      </c>
      <c r="G1599" s="54"/>
      <c r="H1599" s="52" t="str">
        <f>IF(AND(I.Compliance.FulfilledPerformance&gt;0,I.Performance.RangeCount&gt;=529,F1599=""),"Incomplete","Complete")</f>
        <v>Complete</v>
      </c>
      <c r="I1599" s="55" t="s">
        <v>1797</v>
      </c>
    </row>
    <row r="1600" spans="2:9" ht="15" customHeight="1" x14ac:dyDescent="0.25">
      <c r="B1600" s="51" t="s">
        <v>125</v>
      </c>
      <c r="C1600" s="52">
        <v>530</v>
      </c>
      <c r="D1600" s="53" t="s">
        <v>4327</v>
      </c>
      <c r="E1600" s="54"/>
      <c r="F1600" s="52" t="str">
        <f>IF(INDEX(I.Performance.EndRange,530)="","",INDEX(I.Performance.EndRange,530))</f>
        <v/>
      </c>
      <c r="G1600" s="54"/>
      <c r="H1600" s="52" t="str">
        <f>IF(AND(I.Compliance.FulfilledPerformance&gt;0,I.Performance.RangeCount&gt;=530,F1600=""),"Incomplete","Complete")</f>
        <v>Complete</v>
      </c>
      <c r="I1600" s="55" t="s">
        <v>1798</v>
      </c>
    </row>
    <row r="1601" spans="2:9" ht="15" customHeight="1" x14ac:dyDescent="0.25">
      <c r="B1601" s="51" t="s">
        <v>125</v>
      </c>
      <c r="C1601" s="52">
        <v>531</v>
      </c>
      <c r="D1601" s="53" t="s">
        <v>4327</v>
      </c>
      <c r="E1601" s="54"/>
      <c r="F1601" s="52" t="str">
        <f>IF(INDEX(I.Performance.EndRange,531)="","",INDEX(I.Performance.EndRange,531))</f>
        <v/>
      </c>
      <c r="G1601" s="54"/>
      <c r="H1601" s="52" t="str">
        <f>IF(AND(I.Compliance.FulfilledPerformance&gt;0,I.Performance.RangeCount&gt;=531,F1601=""),"Incomplete","Complete")</f>
        <v>Complete</v>
      </c>
      <c r="I1601" s="55" t="s">
        <v>1799</v>
      </c>
    </row>
    <row r="1602" spans="2:9" ht="15" customHeight="1" x14ac:dyDescent="0.25">
      <c r="B1602" s="51" t="s">
        <v>125</v>
      </c>
      <c r="C1602" s="52">
        <v>532</v>
      </c>
      <c r="D1602" s="53" t="s">
        <v>4327</v>
      </c>
      <c r="E1602" s="54"/>
      <c r="F1602" s="52" t="str">
        <f>IF(INDEX(I.Performance.EndRange,532)="","",INDEX(I.Performance.EndRange,532))</f>
        <v/>
      </c>
      <c r="G1602" s="54"/>
      <c r="H1602" s="52" t="str">
        <f>IF(AND(I.Compliance.FulfilledPerformance&gt;0,I.Performance.RangeCount&gt;=532,F1602=""),"Incomplete","Complete")</f>
        <v>Complete</v>
      </c>
      <c r="I1602" s="55" t="s">
        <v>1800</v>
      </c>
    </row>
    <row r="1603" spans="2:9" ht="15" customHeight="1" x14ac:dyDescent="0.25">
      <c r="B1603" s="51" t="s">
        <v>125</v>
      </c>
      <c r="C1603" s="52">
        <v>533</v>
      </c>
      <c r="D1603" s="53" t="s">
        <v>4327</v>
      </c>
      <c r="E1603" s="54"/>
      <c r="F1603" s="52" t="str">
        <f>IF(INDEX(I.Performance.EndRange,533)="","",INDEX(I.Performance.EndRange,533))</f>
        <v/>
      </c>
      <c r="G1603" s="54"/>
      <c r="H1603" s="52" t="str">
        <f>IF(AND(I.Compliance.FulfilledPerformance&gt;0,I.Performance.RangeCount&gt;=533,F1603=""),"Incomplete","Complete")</f>
        <v>Complete</v>
      </c>
      <c r="I1603" s="55" t="s">
        <v>1801</v>
      </c>
    </row>
    <row r="1604" spans="2:9" ht="15" customHeight="1" x14ac:dyDescent="0.25">
      <c r="B1604" s="51" t="s">
        <v>125</v>
      </c>
      <c r="C1604" s="52">
        <v>534</v>
      </c>
      <c r="D1604" s="53" t="s">
        <v>4327</v>
      </c>
      <c r="E1604" s="54"/>
      <c r="F1604" s="52" t="str">
        <f>IF(INDEX(I.Performance.EndRange,534)="","",INDEX(I.Performance.EndRange,534))</f>
        <v/>
      </c>
      <c r="G1604" s="54"/>
      <c r="H1604" s="52" t="str">
        <f>IF(AND(I.Compliance.FulfilledPerformance&gt;0,I.Performance.RangeCount&gt;=534,F1604=""),"Incomplete","Complete")</f>
        <v>Complete</v>
      </c>
      <c r="I1604" s="55" t="s">
        <v>1802</v>
      </c>
    </row>
    <row r="1605" spans="2:9" ht="15" customHeight="1" x14ac:dyDescent="0.25">
      <c r="B1605" s="51" t="s">
        <v>125</v>
      </c>
      <c r="C1605" s="52">
        <v>535</v>
      </c>
      <c r="D1605" s="53" t="s">
        <v>4327</v>
      </c>
      <c r="E1605" s="54"/>
      <c r="F1605" s="52" t="str">
        <f>IF(INDEX(I.Performance.EndRange,535)="","",INDEX(I.Performance.EndRange,535))</f>
        <v/>
      </c>
      <c r="G1605" s="54"/>
      <c r="H1605" s="52" t="str">
        <f>IF(AND(I.Compliance.FulfilledPerformance&gt;0,I.Performance.RangeCount&gt;=535,F1605=""),"Incomplete","Complete")</f>
        <v>Complete</v>
      </c>
      <c r="I1605" s="55" t="s">
        <v>1803</v>
      </c>
    </row>
    <row r="1606" spans="2:9" ht="15" customHeight="1" x14ac:dyDescent="0.25">
      <c r="B1606" s="51" t="s">
        <v>125</v>
      </c>
      <c r="C1606" s="52">
        <v>536</v>
      </c>
      <c r="D1606" s="53" t="s">
        <v>4327</v>
      </c>
      <c r="E1606" s="54"/>
      <c r="F1606" s="52" t="str">
        <f>IF(INDEX(I.Performance.EndRange,536)="","",INDEX(I.Performance.EndRange,536))</f>
        <v/>
      </c>
      <c r="G1606" s="54"/>
      <c r="H1606" s="52" t="str">
        <f>IF(AND(I.Compliance.FulfilledPerformance&gt;0,I.Performance.RangeCount&gt;=536,F1606=""),"Incomplete","Complete")</f>
        <v>Complete</v>
      </c>
      <c r="I1606" s="55" t="s">
        <v>1804</v>
      </c>
    </row>
    <row r="1607" spans="2:9" ht="15" customHeight="1" x14ac:dyDescent="0.25">
      <c r="B1607" s="51" t="s">
        <v>125</v>
      </c>
      <c r="C1607" s="52">
        <v>537</v>
      </c>
      <c r="D1607" s="53" t="s">
        <v>4327</v>
      </c>
      <c r="E1607" s="54"/>
      <c r="F1607" s="52" t="str">
        <f>IF(INDEX(I.Performance.EndRange,537)="","",INDEX(I.Performance.EndRange,537))</f>
        <v/>
      </c>
      <c r="G1607" s="54"/>
      <c r="H1607" s="52" t="str">
        <f>IF(AND(I.Compliance.FulfilledPerformance&gt;0,I.Performance.RangeCount&gt;=537,F1607=""),"Incomplete","Complete")</f>
        <v>Complete</v>
      </c>
      <c r="I1607" s="55" t="s">
        <v>1805</v>
      </c>
    </row>
    <row r="1608" spans="2:9" ht="15" customHeight="1" x14ac:dyDescent="0.25">
      <c r="B1608" s="51" t="s">
        <v>125</v>
      </c>
      <c r="C1608" s="52">
        <v>538</v>
      </c>
      <c r="D1608" s="53" t="s">
        <v>4327</v>
      </c>
      <c r="E1608" s="54"/>
      <c r="F1608" s="52" t="str">
        <f>IF(INDEX(I.Performance.EndRange,538)="","",INDEX(I.Performance.EndRange,538))</f>
        <v/>
      </c>
      <c r="G1608" s="54"/>
      <c r="H1608" s="52" t="str">
        <f>IF(AND(I.Compliance.FulfilledPerformance&gt;0,I.Performance.RangeCount&gt;=538,F1608=""),"Incomplete","Complete")</f>
        <v>Complete</v>
      </c>
      <c r="I1608" s="55" t="s">
        <v>1806</v>
      </c>
    </row>
    <row r="1609" spans="2:9" ht="15" customHeight="1" x14ac:dyDescent="0.25">
      <c r="B1609" s="51" t="s">
        <v>125</v>
      </c>
      <c r="C1609" s="52">
        <v>539</v>
      </c>
      <c r="D1609" s="53" t="s">
        <v>4327</v>
      </c>
      <c r="E1609" s="54"/>
      <c r="F1609" s="52" t="str">
        <f>IF(INDEX(I.Performance.EndRange,539)="","",INDEX(I.Performance.EndRange,539))</f>
        <v/>
      </c>
      <c r="G1609" s="54"/>
      <c r="H1609" s="52" t="str">
        <f>IF(AND(I.Compliance.FulfilledPerformance&gt;0,I.Performance.RangeCount&gt;=539,F1609=""),"Incomplete","Complete")</f>
        <v>Complete</v>
      </c>
      <c r="I1609" s="55" t="s">
        <v>1807</v>
      </c>
    </row>
    <row r="1610" spans="2:9" ht="15" customHeight="1" x14ac:dyDescent="0.25">
      <c r="B1610" s="51" t="s">
        <v>125</v>
      </c>
      <c r="C1610" s="52">
        <v>540</v>
      </c>
      <c r="D1610" s="53" t="s">
        <v>4327</v>
      </c>
      <c r="E1610" s="54"/>
      <c r="F1610" s="52" t="str">
        <f>IF(INDEX(I.Performance.EndRange,540)="","",INDEX(I.Performance.EndRange,540))</f>
        <v/>
      </c>
      <c r="G1610" s="54"/>
      <c r="H1610" s="52" t="str">
        <f>IF(AND(I.Compliance.FulfilledPerformance&gt;0,I.Performance.RangeCount&gt;=540,F1610=""),"Incomplete","Complete")</f>
        <v>Complete</v>
      </c>
      <c r="I1610" s="55" t="s">
        <v>1808</v>
      </c>
    </row>
    <row r="1611" spans="2:9" ht="15" customHeight="1" x14ac:dyDescent="0.25">
      <c r="B1611" s="51" t="s">
        <v>125</v>
      </c>
      <c r="C1611" s="52">
        <v>541</v>
      </c>
      <c r="D1611" s="53" t="s">
        <v>4327</v>
      </c>
      <c r="E1611" s="54"/>
      <c r="F1611" s="52" t="str">
        <f>IF(INDEX(I.Performance.EndRange,541)="","",INDEX(I.Performance.EndRange,541))</f>
        <v/>
      </c>
      <c r="G1611" s="54"/>
      <c r="H1611" s="52" t="str">
        <f>IF(AND(I.Compliance.FulfilledPerformance&gt;0,I.Performance.RangeCount&gt;=541,F1611=""),"Incomplete","Complete")</f>
        <v>Complete</v>
      </c>
      <c r="I1611" s="55" t="s">
        <v>1809</v>
      </c>
    </row>
    <row r="1612" spans="2:9" ht="15" customHeight="1" x14ac:dyDescent="0.25">
      <c r="B1612" s="51" t="s">
        <v>125</v>
      </c>
      <c r="C1612" s="52">
        <v>542</v>
      </c>
      <c r="D1612" s="53" t="s">
        <v>4327</v>
      </c>
      <c r="E1612" s="54"/>
      <c r="F1612" s="52" t="str">
        <f>IF(INDEX(I.Performance.EndRange,542)="","",INDEX(I.Performance.EndRange,542))</f>
        <v/>
      </c>
      <c r="G1612" s="54"/>
      <c r="H1612" s="52" t="str">
        <f>IF(AND(I.Compliance.FulfilledPerformance&gt;0,I.Performance.RangeCount&gt;=542,F1612=""),"Incomplete","Complete")</f>
        <v>Complete</v>
      </c>
      <c r="I1612" s="55" t="s">
        <v>1810</v>
      </c>
    </row>
    <row r="1613" spans="2:9" ht="15" customHeight="1" x14ac:dyDescent="0.25">
      <c r="B1613" s="51" t="s">
        <v>125</v>
      </c>
      <c r="C1613" s="52">
        <v>543</v>
      </c>
      <c r="D1613" s="53" t="s">
        <v>4327</v>
      </c>
      <c r="E1613" s="54"/>
      <c r="F1613" s="52" t="str">
        <f>IF(INDEX(I.Performance.EndRange,543)="","",INDEX(I.Performance.EndRange,543))</f>
        <v/>
      </c>
      <c r="G1613" s="54"/>
      <c r="H1613" s="52" t="str">
        <f>IF(AND(I.Compliance.FulfilledPerformance&gt;0,I.Performance.RangeCount&gt;=543,F1613=""),"Incomplete","Complete")</f>
        <v>Complete</v>
      </c>
      <c r="I1613" s="55" t="s">
        <v>1811</v>
      </c>
    </row>
    <row r="1614" spans="2:9" ht="15" customHeight="1" x14ac:dyDescent="0.25">
      <c r="B1614" s="51" t="s">
        <v>125</v>
      </c>
      <c r="C1614" s="52">
        <v>544</v>
      </c>
      <c r="D1614" s="53" t="s">
        <v>4327</v>
      </c>
      <c r="E1614" s="54"/>
      <c r="F1614" s="52" t="str">
        <f>IF(INDEX(I.Performance.EndRange,544)="","",INDEX(I.Performance.EndRange,544))</f>
        <v/>
      </c>
      <c r="G1614" s="54"/>
      <c r="H1614" s="52" t="str">
        <f>IF(AND(I.Compliance.FulfilledPerformance&gt;0,I.Performance.RangeCount&gt;=544,F1614=""),"Incomplete","Complete")</f>
        <v>Complete</v>
      </c>
      <c r="I1614" s="55" t="s">
        <v>1812</v>
      </c>
    </row>
    <row r="1615" spans="2:9" ht="15" customHeight="1" x14ac:dyDescent="0.25">
      <c r="B1615" s="51" t="s">
        <v>125</v>
      </c>
      <c r="C1615" s="52">
        <v>545</v>
      </c>
      <c r="D1615" s="53" t="s">
        <v>4327</v>
      </c>
      <c r="E1615" s="54"/>
      <c r="F1615" s="52" t="str">
        <f>IF(INDEX(I.Performance.EndRange,545)="","",INDEX(I.Performance.EndRange,545))</f>
        <v/>
      </c>
      <c r="G1615" s="54"/>
      <c r="H1615" s="52" t="str">
        <f>IF(AND(I.Compliance.FulfilledPerformance&gt;0,I.Performance.RangeCount&gt;=545,F1615=""),"Incomplete","Complete")</f>
        <v>Complete</v>
      </c>
      <c r="I1615" s="55" t="s">
        <v>1813</v>
      </c>
    </row>
    <row r="1616" spans="2:9" ht="15" customHeight="1" x14ac:dyDescent="0.25">
      <c r="B1616" s="51" t="s">
        <v>125</v>
      </c>
      <c r="C1616" s="52">
        <v>546</v>
      </c>
      <c r="D1616" s="53" t="s">
        <v>4327</v>
      </c>
      <c r="E1616" s="54"/>
      <c r="F1616" s="52" t="str">
        <f>IF(INDEX(I.Performance.EndRange,546)="","",INDEX(I.Performance.EndRange,546))</f>
        <v/>
      </c>
      <c r="G1616" s="54"/>
      <c r="H1616" s="52" t="str">
        <f>IF(AND(I.Compliance.FulfilledPerformance&gt;0,I.Performance.RangeCount&gt;=546,F1616=""),"Incomplete","Complete")</f>
        <v>Complete</v>
      </c>
      <c r="I1616" s="55" t="s">
        <v>1814</v>
      </c>
    </row>
    <row r="1617" spans="2:9" ht="15" customHeight="1" x14ac:dyDescent="0.25">
      <c r="B1617" s="51" t="s">
        <v>125</v>
      </c>
      <c r="C1617" s="52">
        <v>547</v>
      </c>
      <c r="D1617" s="53" t="s">
        <v>4327</v>
      </c>
      <c r="E1617" s="54"/>
      <c r="F1617" s="52" t="str">
        <f>IF(INDEX(I.Performance.EndRange,547)="","",INDEX(I.Performance.EndRange,547))</f>
        <v/>
      </c>
      <c r="G1617" s="54"/>
      <c r="H1617" s="52" t="str">
        <f>IF(AND(I.Compliance.FulfilledPerformance&gt;0,I.Performance.RangeCount&gt;=547,F1617=""),"Incomplete","Complete")</f>
        <v>Complete</v>
      </c>
      <c r="I1617" s="55" t="s">
        <v>1815</v>
      </c>
    </row>
    <row r="1618" spans="2:9" ht="15" customHeight="1" x14ac:dyDescent="0.25">
      <c r="B1618" s="51" t="s">
        <v>125</v>
      </c>
      <c r="C1618" s="52">
        <v>548</v>
      </c>
      <c r="D1618" s="53" t="s">
        <v>4327</v>
      </c>
      <c r="E1618" s="54"/>
      <c r="F1618" s="52" t="str">
        <f>IF(INDEX(I.Performance.EndRange,548)="","",INDEX(I.Performance.EndRange,548))</f>
        <v/>
      </c>
      <c r="G1618" s="54"/>
      <c r="H1618" s="52" t="str">
        <f>IF(AND(I.Compliance.FulfilledPerformance&gt;0,I.Performance.RangeCount&gt;=548,F1618=""),"Incomplete","Complete")</f>
        <v>Complete</v>
      </c>
      <c r="I1618" s="55" t="s">
        <v>1816</v>
      </c>
    </row>
    <row r="1619" spans="2:9" ht="15" customHeight="1" x14ac:dyDescent="0.25">
      <c r="B1619" s="51" t="s">
        <v>125</v>
      </c>
      <c r="C1619" s="52">
        <v>549</v>
      </c>
      <c r="D1619" s="53" t="s">
        <v>4327</v>
      </c>
      <c r="E1619" s="54"/>
      <c r="F1619" s="52" t="str">
        <f>IF(INDEX(I.Performance.EndRange,549)="","",INDEX(I.Performance.EndRange,549))</f>
        <v/>
      </c>
      <c r="G1619" s="54"/>
      <c r="H1619" s="52" t="str">
        <f>IF(AND(I.Compliance.FulfilledPerformance&gt;0,I.Performance.RangeCount&gt;=549,F1619=""),"Incomplete","Complete")</f>
        <v>Complete</v>
      </c>
      <c r="I1619" s="55" t="s">
        <v>1817</v>
      </c>
    </row>
    <row r="1620" spans="2:9" ht="15" customHeight="1" x14ac:dyDescent="0.25">
      <c r="B1620" s="51" t="s">
        <v>125</v>
      </c>
      <c r="C1620" s="52">
        <v>550</v>
      </c>
      <c r="D1620" s="53" t="s">
        <v>4327</v>
      </c>
      <c r="E1620" s="54"/>
      <c r="F1620" s="52" t="str">
        <f>IF(INDEX(I.Performance.EndRange,550)="","",INDEX(I.Performance.EndRange,550))</f>
        <v/>
      </c>
      <c r="G1620" s="54"/>
      <c r="H1620" s="52" t="str">
        <f>IF(AND(I.Compliance.FulfilledPerformance&gt;0,I.Performance.RangeCount&gt;=550,F1620=""),"Incomplete","Complete")</f>
        <v>Complete</v>
      </c>
      <c r="I1620" s="55" t="s">
        <v>1818</v>
      </c>
    </row>
    <row r="1621" spans="2:9" ht="15" customHeight="1" x14ac:dyDescent="0.25">
      <c r="B1621" s="51" t="s">
        <v>125</v>
      </c>
      <c r="C1621" s="52">
        <v>551</v>
      </c>
      <c r="D1621" s="53" t="s">
        <v>4327</v>
      </c>
      <c r="E1621" s="54"/>
      <c r="F1621" s="52" t="str">
        <f>IF(INDEX(I.Performance.EndRange,551)="","",INDEX(I.Performance.EndRange,551))</f>
        <v/>
      </c>
      <c r="G1621" s="54"/>
      <c r="H1621" s="52" t="str">
        <f>IF(AND(I.Compliance.FulfilledPerformance&gt;0,I.Performance.RangeCount&gt;=551,F1621=""),"Incomplete","Complete")</f>
        <v>Complete</v>
      </c>
      <c r="I1621" s="55" t="s">
        <v>1819</v>
      </c>
    </row>
    <row r="1622" spans="2:9" ht="15" customHeight="1" x14ac:dyDescent="0.25">
      <c r="B1622" s="51" t="s">
        <v>125</v>
      </c>
      <c r="C1622" s="52">
        <v>552</v>
      </c>
      <c r="D1622" s="53" t="s">
        <v>4327</v>
      </c>
      <c r="E1622" s="54"/>
      <c r="F1622" s="52" t="str">
        <f>IF(INDEX(I.Performance.EndRange,552)="","",INDEX(I.Performance.EndRange,552))</f>
        <v/>
      </c>
      <c r="G1622" s="54"/>
      <c r="H1622" s="52" t="str">
        <f>IF(AND(I.Compliance.FulfilledPerformance&gt;0,I.Performance.RangeCount&gt;=552,F1622=""),"Incomplete","Complete")</f>
        <v>Complete</v>
      </c>
      <c r="I1622" s="55" t="s">
        <v>1820</v>
      </c>
    </row>
    <row r="1623" spans="2:9" ht="15" customHeight="1" x14ac:dyDescent="0.25">
      <c r="B1623" s="51" t="s">
        <v>125</v>
      </c>
      <c r="C1623" s="52">
        <v>553</v>
      </c>
      <c r="D1623" s="53" t="s">
        <v>4327</v>
      </c>
      <c r="E1623" s="54"/>
      <c r="F1623" s="52" t="str">
        <f>IF(INDEX(I.Performance.EndRange,553)="","",INDEX(I.Performance.EndRange,553))</f>
        <v/>
      </c>
      <c r="G1623" s="54"/>
      <c r="H1623" s="52" t="str">
        <f>IF(AND(I.Compliance.FulfilledPerformance&gt;0,I.Performance.RangeCount&gt;=553,F1623=""),"Incomplete","Complete")</f>
        <v>Complete</v>
      </c>
      <c r="I1623" s="55" t="s">
        <v>1821</v>
      </c>
    </row>
    <row r="1624" spans="2:9" ht="15" customHeight="1" x14ac:dyDescent="0.25">
      <c r="B1624" s="51" t="s">
        <v>125</v>
      </c>
      <c r="C1624" s="52">
        <v>554</v>
      </c>
      <c r="D1624" s="53" t="s">
        <v>4327</v>
      </c>
      <c r="E1624" s="54"/>
      <c r="F1624" s="52" t="str">
        <f>IF(INDEX(I.Performance.EndRange,554)="","",INDEX(I.Performance.EndRange,554))</f>
        <v/>
      </c>
      <c r="G1624" s="54"/>
      <c r="H1624" s="52" t="str">
        <f>IF(AND(I.Compliance.FulfilledPerformance&gt;0,I.Performance.RangeCount&gt;=554,F1624=""),"Incomplete","Complete")</f>
        <v>Complete</v>
      </c>
      <c r="I1624" s="55" t="s">
        <v>1822</v>
      </c>
    </row>
    <row r="1625" spans="2:9" ht="15" customHeight="1" x14ac:dyDescent="0.25">
      <c r="B1625" s="51" t="s">
        <v>125</v>
      </c>
      <c r="C1625" s="52">
        <v>555</v>
      </c>
      <c r="D1625" s="53" t="s">
        <v>4327</v>
      </c>
      <c r="E1625" s="54"/>
      <c r="F1625" s="52" t="str">
        <f>IF(INDEX(I.Performance.EndRange,555)="","",INDEX(I.Performance.EndRange,555))</f>
        <v/>
      </c>
      <c r="G1625" s="54"/>
      <c r="H1625" s="52" t="str">
        <f>IF(AND(I.Compliance.FulfilledPerformance&gt;0,I.Performance.RangeCount&gt;=555,F1625=""),"Incomplete","Complete")</f>
        <v>Complete</v>
      </c>
      <c r="I1625" s="55" t="s">
        <v>1823</v>
      </c>
    </row>
    <row r="1626" spans="2:9" ht="15" customHeight="1" x14ac:dyDescent="0.25">
      <c r="B1626" s="51" t="s">
        <v>125</v>
      </c>
      <c r="C1626" s="52">
        <v>556</v>
      </c>
      <c r="D1626" s="53" t="s">
        <v>4327</v>
      </c>
      <c r="E1626" s="54"/>
      <c r="F1626" s="52" t="str">
        <f>IF(INDEX(I.Performance.EndRange,556)="","",INDEX(I.Performance.EndRange,556))</f>
        <v/>
      </c>
      <c r="G1626" s="54"/>
      <c r="H1626" s="52" t="str">
        <f>IF(AND(I.Compliance.FulfilledPerformance&gt;0,I.Performance.RangeCount&gt;=556,F1626=""),"Incomplete","Complete")</f>
        <v>Complete</v>
      </c>
      <c r="I1626" s="55" t="s">
        <v>1824</v>
      </c>
    </row>
    <row r="1627" spans="2:9" ht="15" customHeight="1" x14ac:dyDescent="0.25">
      <c r="B1627" s="51" t="s">
        <v>125</v>
      </c>
      <c r="C1627" s="52">
        <v>557</v>
      </c>
      <c r="D1627" s="53" t="s">
        <v>4327</v>
      </c>
      <c r="E1627" s="54"/>
      <c r="F1627" s="52" t="str">
        <f>IF(INDEX(I.Performance.EndRange,557)="","",INDEX(I.Performance.EndRange,557))</f>
        <v/>
      </c>
      <c r="G1627" s="54"/>
      <c r="H1627" s="52" t="str">
        <f>IF(AND(I.Compliance.FulfilledPerformance&gt;0,I.Performance.RangeCount&gt;=557,F1627=""),"Incomplete","Complete")</f>
        <v>Complete</v>
      </c>
      <c r="I1627" s="55" t="s">
        <v>1825</v>
      </c>
    </row>
    <row r="1628" spans="2:9" ht="15" customHeight="1" x14ac:dyDescent="0.25">
      <c r="B1628" s="51" t="s">
        <v>125</v>
      </c>
      <c r="C1628" s="52">
        <v>558</v>
      </c>
      <c r="D1628" s="53" t="s">
        <v>4327</v>
      </c>
      <c r="E1628" s="54"/>
      <c r="F1628" s="52" t="str">
        <f>IF(INDEX(I.Performance.EndRange,558)="","",INDEX(I.Performance.EndRange,558))</f>
        <v/>
      </c>
      <c r="G1628" s="54"/>
      <c r="H1628" s="52" t="str">
        <f>IF(AND(I.Compliance.FulfilledPerformance&gt;0,I.Performance.RangeCount&gt;=558,F1628=""),"Incomplete","Complete")</f>
        <v>Complete</v>
      </c>
      <c r="I1628" s="55" t="s">
        <v>1826</v>
      </c>
    </row>
    <row r="1629" spans="2:9" ht="15" customHeight="1" x14ac:dyDescent="0.25">
      <c r="B1629" s="51" t="s">
        <v>125</v>
      </c>
      <c r="C1629" s="52">
        <v>559</v>
      </c>
      <c r="D1629" s="53" t="s">
        <v>4327</v>
      </c>
      <c r="E1629" s="54"/>
      <c r="F1629" s="52" t="str">
        <f>IF(INDEX(I.Performance.EndRange,559)="","",INDEX(I.Performance.EndRange,559))</f>
        <v/>
      </c>
      <c r="G1629" s="54"/>
      <c r="H1629" s="52" t="str">
        <f>IF(AND(I.Compliance.FulfilledPerformance&gt;0,I.Performance.RangeCount&gt;=559,F1629=""),"Incomplete","Complete")</f>
        <v>Complete</v>
      </c>
      <c r="I1629" s="55" t="s">
        <v>1827</v>
      </c>
    </row>
    <row r="1630" spans="2:9" ht="15" customHeight="1" x14ac:dyDescent="0.25">
      <c r="B1630" s="51" t="s">
        <v>125</v>
      </c>
      <c r="C1630" s="52">
        <v>560</v>
      </c>
      <c r="D1630" s="53" t="s">
        <v>4327</v>
      </c>
      <c r="E1630" s="54"/>
      <c r="F1630" s="52" t="str">
        <f>IF(INDEX(I.Performance.EndRange,560)="","",INDEX(I.Performance.EndRange,560))</f>
        <v/>
      </c>
      <c r="G1630" s="54"/>
      <c r="H1630" s="52" t="str">
        <f>IF(AND(I.Compliance.FulfilledPerformance&gt;0,I.Performance.RangeCount&gt;=560,F1630=""),"Incomplete","Complete")</f>
        <v>Complete</v>
      </c>
      <c r="I1630" s="55" t="s">
        <v>1828</v>
      </c>
    </row>
    <row r="1631" spans="2:9" ht="15" customHeight="1" x14ac:dyDescent="0.25">
      <c r="B1631" s="51" t="s">
        <v>125</v>
      </c>
      <c r="C1631" s="52">
        <v>561</v>
      </c>
      <c r="D1631" s="53" t="s">
        <v>4327</v>
      </c>
      <c r="E1631" s="54"/>
      <c r="F1631" s="52" t="str">
        <f>IF(INDEX(I.Performance.EndRange,561)="","",INDEX(I.Performance.EndRange,561))</f>
        <v/>
      </c>
      <c r="G1631" s="54"/>
      <c r="H1631" s="52" t="str">
        <f>IF(AND(I.Compliance.FulfilledPerformance&gt;0,I.Performance.RangeCount&gt;=561,F1631=""),"Incomplete","Complete")</f>
        <v>Complete</v>
      </c>
      <c r="I1631" s="55" t="s">
        <v>1829</v>
      </c>
    </row>
    <row r="1632" spans="2:9" ht="15" customHeight="1" x14ac:dyDescent="0.25">
      <c r="B1632" s="51" t="s">
        <v>125</v>
      </c>
      <c r="C1632" s="52">
        <v>562</v>
      </c>
      <c r="D1632" s="53" t="s">
        <v>4327</v>
      </c>
      <c r="E1632" s="54"/>
      <c r="F1632" s="52" t="str">
        <f>IF(INDEX(I.Performance.EndRange,562)="","",INDEX(I.Performance.EndRange,562))</f>
        <v/>
      </c>
      <c r="G1632" s="54"/>
      <c r="H1632" s="52" t="str">
        <f>IF(AND(I.Compliance.FulfilledPerformance&gt;0,I.Performance.RangeCount&gt;=562,F1632=""),"Incomplete","Complete")</f>
        <v>Complete</v>
      </c>
      <c r="I1632" s="55" t="s">
        <v>1830</v>
      </c>
    </row>
    <row r="1633" spans="2:9" ht="15" customHeight="1" x14ac:dyDescent="0.25">
      <c r="B1633" s="51" t="s">
        <v>125</v>
      </c>
      <c r="C1633" s="52">
        <v>563</v>
      </c>
      <c r="D1633" s="53" t="s">
        <v>4327</v>
      </c>
      <c r="E1633" s="54"/>
      <c r="F1633" s="52" t="str">
        <f>IF(INDEX(I.Performance.EndRange,563)="","",INDEX(I.Performance.EndRange,563))</f>
        <v/>
      </c>
      <c r="G1633" s="54"/>
      <c r="H1633" s="52" t="str">
        <f>IF(AND(I.Compliance.FulfilledPerformance&gt;0,I.Performance.RangeCount&gt;=563,F1633=""),"Incomplete","Complete")</f>
        <v>Complete</v>
      </c>
      <c r="I1633" s="55" t="s">
        <v>1831</v>
      </c>
    </row>
    <row r="1634" spans="2:9" ht="15" customHeight="1" x14ac:dyDescent="0.25">
      <c r="B1634" s="51" t="s">
        <v>125</v>
      </c>
      <c r="C1634" s="52">
        <v>564</v>
      </c>
      <c r="D1634" s="53" t="s">
        <v>4327</v>
      </c>
      <c r="E1634" s="54"/>
      <c r="F1634" s="52" t="str">
        <f>IF(INDEX(I.Performance.EndRange,564)="","",INDEX(I.Performance.EndRange,564))</f>
        <v/>
      </c>
      <c r="G1634" s="54"/>
      <c r="H1634" s="52" t="str">
        <f>IF(AND(I.Compliance.FulfilledPerformance&gt;0,I.Performance.RangeCount&gt;=564,F1634=""),"Incomplete","Complete")</f>
        <v>Complete</v>
      </c>
      <c r="I1634" s="55" t="s">
        <v>1832</v>
      </c>
    </row>
    <row r="1635" spans="2:9" ht="15" customHeight="1" x14ac:dyDescent="0.25">
      <c r="B1635" s="51" t="s">
        <v>125</v>
      </c>
      <c r="C1635" s="52">
        <v>565</v>
      </c>
      <c r="D1635" s="53" t="s">
        <v>4327</v>
      </c>
      <c r="E1635" s="54"/>
      <c r="F1635" s="52" t="str">
        <f>IF(INDEX(I.Performance.EndRange,565)="","",INDEX(I.Performance.EndRange,565))</f>
        <v/>
      </c>
      <c r="G1635" s="54"/>
      <c r="H1635" s="52" t="str">
        <f>IF(AND(I.Compliance.FulfilledPerformance&gt;0,I.Performance.RangeCount&gt;=565,F1635=""),"Incomplete","Complete")</f>
        <v>Complete</v>
      </c>
      <c r="I1635" s="55" t="s">
        <v>1833</v>
      </c>
    </row>
    <row r="1636" spans="2:9" ht="15" customHeight="1" x14ac:dyDescent="0.25">
      <c r="B1636" s="51" t="s">
        <v>125</v>
      </c>
      <c r="C1636" s="52">
        <v>566</v>
      </c>
      <c r="D1636" s="53" t="s">
        <v>4327</v>
      </c>
      <c r="E1636" s="54"/>
      <c r="F1636" s="52" t="str">
        <f>IF(INDEX(I.Performance.EndRange,566)="","",INDEX(I.Performance.EndRange,566))</f>
        <v/>
      </c>
      <c r="G1636" s="54"/>
      <c r="H1636" s="52" t="str">
        <f>IF(AND(I.Compliance.FulfilledPerformance&gt;0,I.Performance.RangeCount&gt;=566,F1636=""),"Incomplete","Complete")</f>
        <v>Complete</v>
      </c>
      <c r="I1636" s="55" t="s">
        <v>1834</v>
      </c>
    </row>
    <row r="1637" spans="2:9" ht="15" customHeight="1" x14ac:dyDescent="0.25">
      <c r="B1637" s="51" t="s">
        <v>125</v>
      </c>
      <c r="C1637" s="52">
        <v>567</v>
      </c>
      <c r="D1637" s="53" t="s">
        <v>4327</v>
      </c>
      <c r="E1637" s="54"/>
      <c r="F1637" s="52" t="str">
        <f>IF(INDEX(I.Performance.EndRange,567)="","",INDEX(I.Performance.EndRange,567))</f>
        <v/>
      </c>
      <c r="G1637" s="54"/>
      <c r="H1637" s="52" t="str">
        <f>IF(AND(I.Compliance.FulfilledPerformance&gt;0,I.Performance.RangeCount&gt;=567,F1637=""),"Incomplete","Complete")</f>
        <v>Complete</v>
      </c>
      <c r="I1637" s="55" t="s">
        <v>1835</v>
      </c>
    </row>
    <row r="1638" spans="2:9" ht="15" customHeight="1" x14ac:dyDescent="0.25">
      <c r="B1638" s="51" t="s">
        <v>125</v>
      </c>
      <c r="C1638" s="52">
        <v>568</v>
      </c>
      <c r="D1638" s="53" t="s">
        <v>4327</v>
      </c>
      <c r="E1638" s="54"/>
      <c r="F1638" s="52" t="str">
        <f>IF(INDEX(I.Performance.EndRange,568)="","",INDEX(I.Performance.EndRange,568))</f>
        <v/>
      </c>
      <c r="G1638" s="54"/>
      <c r="H1638" s="52" t="str">
        <f>IF(AND(I.Compliance.FulfilledPerformance&gt;0,I.Performance.RangeCount&gt;=568,F1638=""),"Incomplete","Complete")</f>
        <v>Complete</v>
      </c>
      <c r="I1638" s="55" t="s">
        <v>1836</v>
      </c>
    </row>
    <row r="1639" spans="2:9" ht="15" customHeight="1" x14ac:dyDescent="0.25">
      <c r="B1639" s="51" t="s">
        <v>125</v>
      </c>
      <c r="C1639" s="52">
        <v>569</v>
      </c>
      <c r="D1639" s="53" t="s">
        <v>4327</v>
      </c>
      <c r="E1639" s="54"/>
      <c r="F1639" s="52" t="str">
        <f>IF(INDEX(I.Performance.EndRange,569)="","",INDEX(I.Performance.EndRange,569))</f>
        <v/>
      </c>
      <c r="G1639" s="54"/>
      <c r="H1639" s="52" t="str">
        <f>IF(AND(I.Compliance.FulfilledPerformance&gt;0,I.Performance.RangeCount&gt;=569,F1639=""),"Incomplete","Complete")</f>
        <v>Complete</v>
      </c>
      <c r="I1639" s="55" t="s">
        <v>1837</v>
      </c>
    </row>
    <row r="1640" spans="2:9" ht="15" customHeight="1" x14ac:dyDescent="0.25">
      <c r="B1640" s="51" t="s">
        <v>125</v>
      </c>
      <c r="C1640" s="52">
        <v>570</v>
      </c>
      <c r="D1640" s="53" t="s">
        <v>4327</v>
      </c>
      <c r="E1640" s="54"/>
      <c r="F1640" s="52" t="str">
        <f>IF(INDEX(I.Performance.EndRange,570)="","",INDEX(I.Performance.EndRange,570))</f>
        <v/>
      </c>
      <c r="G1640" s="54"/>
      <c r="H1640" s="52" t="str">
        <f>IF(AND(I.Compliance.FulfilledPerformance&gt;0,I.Performance.RangeCount&gt;=570,F1640=""),"Incomplete","Complete")</f>
        <v>Complete</v>
      </c>
      <c r="I1640" s="55" t="s">
        <v>1838</v>
      </c>
    </row>
    <row r="1641" spans="2:9" ht="15" customHeight="1" x14ac:dyDescent="0.25">
      <c r="B1641" s="51" t="s">
        <v>125</v>
      </c>
      <c r="C1641" s="52">
        <v>571</v>
      </c>
      <c r="D1641" s="53" t="s">
        <v>4327</v>
      </c>
      <c r="E1641" s="54"/>
      <c r="F1641" s="52" t="str">
        <f>IF(INDEX(I.Performance.EndRange,571)="","",INDEX(I.Performance.EndRange,571))</f>
        <v/>
      </c>
      <c r="G1641" s="54"/>
      <c r="H1641" s="52" t="str">
        <f>IF(AND(I.Compliance.FulfilledPerformance&gt;0,I.Performance.RangeCount&gt;=571,F1641=""),"Incomplete","Complete")</f>
        <v>Complete</v>
      </c>
      <c r="I1641" s="55" t="s">
        <v>1839</v>
      </c>
    </row>
    <row r="1642" spans="2:9" ht="15" customHeight="1" x14ac:dyDescent="0.25">
      <c r="B1642" s="51" t="s">
        <v>125</v>
      </c>
      <c r="C1642" s="52">
        <v>572</v>
      </c>
      <c r="D1642" s="53" t="s">
        <v>4327</v>
      </c>
      <c r="E1642" s="54"/>
      <c r="F1642" s="52" t="str">
        <f>IF(INDEX(I.Performance.EndRange,572)="","",INDEX(I.Performance.EndRange,572))</f>
        <v/>
      </c>
      <c r="G1642" s="54"/>
      <c r="H1642" s="52" t="str">
        <f>IF(AND(I.Compliance.FulfilledPerformance&gt;0,I.Performance.RangeCount&gt;=572,F1642=""),"Incomplete","Complete")</f>
        <v>Complete</v>
      </c>
      <c r="I1642" s="55" t="s">
        <v>1840</v>
      </c>
    </row>
    <row r="1643" spans="2:9" ht="15" customHeight="1" x14ac:dyDescent="0.25">
      <c r="B1643" s="51" t="s">
        <v>125</v>
      </c>
      <c r="C1643" s="52">
        <v>573</v>
      </c>
      <c r="D1643" s="53" t="s">
        <v>4327</v>
      </c>
      <c r="E1643" s="54"/>
      <c r="F1643" s="52" t="str">
        <f>IF(INDEX(I.Performance.EndRange,573)="","",INDEX(I.Performance.EndRange,573))</f>
        <v/>
      </c>
      <c r="G1643" s="54"/>
      <c r="H1643" s="52" t="str">
        <f>IF(AND(I.Compliance.FulfilledPerformance&gt;0,I.Performance.RangeCount&gt;=573,F1643=""),"Incomplete","Complete")</f>
        <v>Complete</v>
      </c>
      <c r="I1643" s="55" t="s">
        <v>1841</v>
      </c>
    </row>
    <row r="1644" spans="2:9" ht="15" customHeight="1" x14ac:dyDescent="0.25">
      <c r="B1644" s="51" t="s">
        <v>125</v>
      </c>
      <c r="C1644" s="52">
        <v>574</v>
      </c>
      <c r="D1644" s="53" t="s">
        <v>4327</v>
      </c>
      <c r="E1644" s="54"/>
      <c r="F1644" s="52" t="str">
        <f>IF(INDEX(I.Performance.EndRange,574)="","",INDEX(I.Performance.EndRange,574))</f>
        <v/>
      </c>
      <c r="G1644" s="54"/>
      <c r="H1644" s="52" t="str">
        <f>IF(AND(I.Compliance.FulfilledPerformance&gt;0,I.Performance.RangeCount&gt;=574,F1644=""),"Incomplete","Complete")</f>
        <v>Complete</v>
      </c>
      <c r="I1644" s="55" t="s">
        <v>1842</v>
      </c>
    </row>
    <row r="1645" spans="2:9" ht="15" customHeight="1" x14ac:dyDescent="0.25">
      <c r="B1645" s="51" t="s">
        <v>125</v>
      </c>
      <c r="C1645" s="52">
        <v>575</v>
      </c>
      <c r="D1645" s="53" t="s">
        <v>4327</v>
      </c>
      <c r="E1645" s="54"/>
      <c r="F1645" s="52" t="str">
        <f>IF(INDEX(I.Performance.EndRange,575)="","",INDEX(I.Performance.EndRange,575))</f>
        <v/>
      </c>
      <c r="G1645" s="54"/>
      <c r="H1645" s="52" t="str">
        <f>IF(AND(I.Compliance.FulfilledPerformance&gt;0,I.Performance.RangeCount&gt;=575,F1645=""),"Incomplete","Complete")</f>
        <v>Complete</v>
      </c>
      <c r="I1645" s="55" t="s">
        <v>1843</v>
      </c>
    </row>
    <row r="1646" spans="2:9" ht="15" customHeight="1" x14ac:dyDescent="0.25">
      <c r="B1646" s="51" t="s">
        <v>125</v>
      </c>
      <c r="C1646" s="52">
        <v>576</v>
      </c>
      <c r="D1646" s="53" t="s">
        <v>4327</v>
      </c>
      <c r="E1646" s="54"/>
      <c r="F1646" s="52" t="str">
        <f>IF(INDEX(I.Performance.EndRange,576)="","",INDEX(I.Performance.EndRange,576))</f>
        <v/>
      </c>
      <c r="G1646" s="54"/>
      <c r="H1646" s="52" t="str">
        <f>IF(AND(I.Compliance.FulfilledPerformance&gt;0,I.Performance.RangeCount&gt;=576,F1646=""),"Incomplete","Complete")</f>
        <v>Complete</v>
      </c>
      <c r="I1646" s="55" t="s">
        <v>1844</v>
      </c>
    </row>
    <row r="1647" spans="2:9" ht="15" customHeight="1" x14ac:dyDescent="0.25">
      <c r="B1647" s="51" t="s">
        <v>125</v>
      </c>
      <c r="C1647" s="52">
        <v>577</v>
      </c>
      <c r="D1647" s="53" t="s">
        <v>4327</v>
      </c>
      <c r="E1647" s="54"/>
      <c r="F1647" s="52" t="str">
        <f>IF(INDEX(I.Performance.EndRange,577)="","",INDEX(I.Performance.EndRange,577))</f>
        <v/>
      </c>
      <c r="G1647" s="54"/>
      <c r="H1647" s="52" t="str">
        <f>IF(AND(I.Compliance.FulfilledPerformance&gt;0,I.Performance.RangeCount&gt;=577,F1647=""),"Incomplete","Complete")</f>
        <v>Complete</v>
      </c>
      <c r="I1647" s="55" t="s">
        <v>1845</v>
      </c>
    </row>
    <row r="1648" spans="2:9" ht="15" customHeight="1" x14ac:dyDescent="0.25">
      <c r="B1648" s="51" t="s">
        <v>125</v>
      </c>
      <c r="C1648" s="52">
        <v>578</v>
      </c>
      <c r="D1648" s="53" t="s">
        <v>4327</v>
      </c>
      <c r="E1648" s="54"/>
      <c r="F1648" s="52" t="str">
        <f>IF(INDEX(I.Performance.EndRange,578)="","",INDEX(I.Performance.EndRange,578))</f>
        <v/>
      </c>
      <c r="G1648" s="54"/>
      <c r="H1648" s="52" t="str">
        <f>IF(AND(I.Compliance.FulfilledPerformance&gt;0,I.Performance.RangeCount&gt;=578,F1648=""),"Incomplete","Complete")</f>
        <v>Complete</v>
      </c>
      <c r="I1648" s="55" t="s">
        <v>1846</v>
      </c>
    </row>
    <row r="1649" spans="2:9" ht="15" customHeight="1" x14ac:dyDescent="0.25">
      <c r="B1649" s="51" t="s">
        <v>125</v>
      </c>
      <c r="C1649" s="52">
        <v>579</v>
      </c>
      <c r="D1649" s="53" t="s">
        <v>4327</v>
      </c>
      <c r="E1649" s="54"/>
      <c r="F1649" s="52" t="str">
        <f>IF(INDEX(I.Performance.EndRange,579)="","",INDEX(I.Performance.EndRange,579))</f>
        <v/>
      </c>
      <c r="G1649" s="54"/>
      <c r="H1649" s="52" t="str">
        <f>IF(AND(I.Compliance.FulfilledPerformance&gt;0,I.Performance.RangeCount&gt;=579,F1649=""),"Incomplete","Complete")</f>
        <v>Complete</v>
      </c>
      <c r="I1649" s="55" t="s">
        <v>1847</v>
      </c>
    </row>
    <row r="1650" spans="2:9" ht="15" customHeight="1" x14ac:dyDescent="0.25">
      <c r="B1650" s="51" t="s">
        <v>125</v>
      </c>
      <c r="C1650" s="52">
        <v>580</v>
      </c>
      <c r="D1650" s="53" t="s">
        <v>4327</v>
      </c>
      <c r="E1650" s="54"/>
      <c r="F1650" s="52" t="str">
        <f>IF(INDEX(I.Performance.EndRange,580)="","",INDEX(I.Performance.EndRange,580))</f>
        <v/>
      </c>
      <c r="G1650" s="54"/>
      <c r="H1650" s="52" t="str">
        <f>IF(AND(I.Compliance.FulfilledPerformance&gt;0,I.Performance.RangeCount&gt;=580,F1650=""),"Incomplete","Complete")</f>
        <v>Complete</v>
      </c>
      <c r="I1650" s="55" t="s">
        <v>1848</v>
      </c>
    </row>
    <row r="1651" spans="2:9" ht="15" customHeight="1" x14ac:dyDescent="0.25">
      <c r="B1651" s="51" t="s">
        <v>125</v>
      </c>
      <c r="C1651" s="52">
        <v>581</v>
      </c>
      <c r="D1651" s="53" t="s">
        <v>4327</v>
      </c>
      <c r="E1651" s="54"/>
      <c r="F1651" s="52" t="str">
        <f>IF(INDEX(I.Performance.EndRange,581)="","",INDEX(I.Performance.EndRange,581))</f>
        <v/>
      </c>
      <c r="G1651" s="54"/>
      <c r="H1651" s="52" t="str">
        <f>IF(AND(I.Compliance.FulfilledPerformance&gt;0,I.Performance.RangeCount&gt;=581,F1651=""),"Incomplete","Complete")</f>
        <v>Complete</v>
      </c>
      <c r="I1651" s="55" t="s">
        <v>1849</v>
      </c>
    </row>
    <row r="1652" spans="2:9" ht="15" customHeight="1" x14ac:dyDescent="0.25">
      <c r="B1652" s="51" t="s">
        <v>125</v>
      </c>
      <c r="C1652" s="52">
        <v>582</v>
      </c>
      <c r="D1652" s="53" t="s">
        <v>4327</v>
      </c>
      <c r="E1652" s="54"/>
      <c r="F1652" s="52" t="str">
        <f>IF(INDEX(I.Performance.EndRange,582)="","",INDEX(I.Performance.EndRange,582))</f>
        <v/>
      </c>
      <c r="G1652" s="54"/>
      <c r="H1652" s="52" t="str">
        <f>IF(AND(I.Compliance.FulfilledPerformance&gt;0,I.Performance.RangeCount&gt;=582,F1652=""),"Incomplete","Complete")</f>
        <v>Complete</v>
      </c>
      <c r="I1652" s="55" t="s">
        <v>1850</v>
      </c>
    </row>
    <row r="1653" spans="2:9" ht="15" customHeight="1" x14ac:dyDescent="0.25">
      <c r="B1653" s="51" t="s">
        <v>125</v>
      </c>
      <c r="C1653" s="52">
        <v>583</v>
      </c>
      <c r="D1653" s="53" t="s">
        <v>4327</v>
      </c>
      <c r="E1653" s="54"/>
      <c r="F1653" s="52" t="str">
        <f>IF(INDEX(I.Performance.EndRange,583)="","",INDEX(I.Performance.EndRange,583))</f>
        <v/>
      </c>
      <c r="G1653" s="54"/>
      <c r="H1653" s="52" t="str">
        <f>IF(AND(I.Compliance.FulfilledPerformance&gt;0,I.Performance.RangeCount&gt;=583,F1653=""),"Incomplete","Complete")</f>
        <v>Complete</v>
      </c>
      <c r="I1653" s="55" t="s">
        <v>1851</v>
      </c>
    </row>
    <row r="1654" spans="2:9" ht="15" customHeight="1" x14ac:dyDescent="0.25">
      <c r="B1654" s="51" t="s">
        <v>125</v>
      </c>
      <c r="C1654" s="52">
        <v>584</v>
      </c>
      <c r="D1654" s="53" t="s">
        <v>4327</v>
      </c>
      <c r="E1654" s="54"/>
      <c r="F1654" s="52" t="str">
        <f>IF(INDEX(I.Performance.EndRange,584)="","",INDEX(I.Performance.EndRange,584))</f>
        <v/>
      </c>
      <c r="G1654" s="54"/>
      <c r="H1654" s="52" t="str">
        <f>IF(AND(I.Compliance.FulfilledPerformance&gt;0,I.Performance.RangeCount&gt;=584,F1654=""),"Incomplete","Complete")</f>
        <v>Complete</v>
      </c>
      <c r="I1654" s="55" t="s">
        <v>1852</v>
      </c>
    </row>
    <row r="1655" spans="2:9" ht="15" customHeight="1" x14ac:dyDescent="0.25">
      <c r="B1655" s="51" t="s">
        <v>125</v>
      </c>
      <c r="C1655" s="52">
        <v>585</v>
      </c>
      <c r="D1655" s="53" t="s">
        <v>4327</v>
      </c>
      <c r="E1655" s="54"/>
      <c r="F1655" s="52" t="str">
        <f>IF(INDEX(I.Performance.EndRange,585)="","",INDEX(I.Performance.EndRange,585))</f>
        <v/>
      </c>
      <c r="G1655" s="54"/>
      <c r="H1655" s="52" t="str">
        <f>IF(AND(I.Compliance.FulfilledPerformance&gt;0,I.Performance.RangeCount&gt;=585,F1655=""),"Incomplete","Complete")</f>
        <v>Complete</v>
      </c>
      <c r="I1655" s="55" t="s">
        <v>1853</v>
      </c>
    </row>
    <row r="1656" spans="2:9" ht="15" customHeight="1" x14ac:dyDescent="0.25">
      <c r="B1656" s="51" t="s">
        <v>125</v>
      </c>
      <c r="C1656" s="52">
        <v>586</v>
      </c>
      <c r="D1656" s="53" t="s">
        <v>4327</v>
      </c>
      <c r="E1656" s="54"/>
      <c r="F1656" s="52" t="str">
        <f>IF(INDEX(I.Performance.EndRange,586)="","",INDEX(I.Performance.EndRange,586))</f>
        <v/>
      </c>
      <c r="G1656" s="54"/>
      <c r="H1656" s="52" t="str">
        <f>IF(AND(I.Compliance.FulfilledPerformance&gt;0,I.Performance.RangeCount&gt;=586,F1656=""),"Incomplete","Complete")</f>
        <v>Complete</v>
      </c>
      <c r="I1656" s="55" t="s">
        <v>1854</v>
      </c>
    </row>
    <row r="1657" spans="2:9" ht="15" customHeight="1" x14ac:dyDescent="0.25">
      <c r="B1657" s="51" t="s">
        <v>125</v>
      </c>
      <c r="C1657" s="52">
        <v>587</v>
      </c>
      <c r="D1657" s="53" t="s">
        <v>4327</v>
      </c>
      <c r="E1657" s="54"/>
      <c r="F1657" s="52" t="str">
        <f>IF(INDEX(I.Performance.EndRange,587)="","",INDEX(I.Performance.EndRange,587))</f>
        <v/>
      </c>
      <c r="G1657" s="54"/>
      <c r="H1657" s="52" t="str">
        <f>IF(AND(I.Compliance.FulfilledPerformance&gt;0,I.Performance.RangeCount&gt;=587,F1657=""),"Incomplete","Complete")</f>
        <v>Complete</v>
      </c>
      <c r="I1657" s="55" t="s">
        <v>1855</v>
      </c>
    </row>
    <row r="1658" spans="2:9" ht="15" customHeight="1" x14ac:dyDescent="0.25">
      <c r="B1658" s="51" t="s">
        <v>125</v>
      </c>
      <c r="C1658" s="52">
        <v>588</v>
      </c>
      <c r="D1658" s="53" t="s">
        <v>4327</v>
      </c>
      <c r="E1658" s="54"/>
      <c r="F1658" s="52" t="str">
        <f>IF(INDEX(I.Performance.EndRange,588)="","",INDEX(I.Performance.EndRange,588))</f>
        <v/>
      </c>
      <c r="G1658" s="54"/>
      <c r="H1658" s="52" t="str">
        <f>IF(AND(I.Compliance.FulfilledPerformance&gt;0,I.Performance.RangeCount&gt;=588,F1658=""),"Incomplete","Complete")</f>
        <v>Complete</v>
      </c>
      <c r="I1658" s="55" t="s">
        <v>1856</v>
      </c>
    </row>
    <row r="1659" spans="2:9" ht="15" customHeight="1" x14ac:dyDescent="0.25">
      <c r="B1659" s="51" t="s">
        <v>125</v>
      </c>
      <c r="C1659" s="52">
        <v>589</v>
      </c>
      <c r="D1659" s="53" t="s">
        <v>4327</v>
      </c>
      <c r="E1659" s="54"/>
      <c r="F1659" s="52" t="str">
        <f>IF(INDEX(I.Performance.EndRange,589)="","",INDEX(I.Performance.EndRange,589))</f>
        <v/>
      </c>
      <c r="G1659" s="54"/>
      <c r="H1659" s="52" t="str">
        <f>IF(AND(I.Compliance.FulfilledPerformance&gt;0,I.Performance.RangeCount&gt;=589,F1659=""),"Incomplete","Complete")</f>
        <v>Complete</v>
      </c>
      <c r="I1659" s="55" t="s">
        <v>1857</v>
      </c>
    </row>
    <row r="1660" spans="2:9" ht="15" customHeight="1" x14ac:dyDescent="0.25">
      <c r="B1660" s="51" t="s">
        <v>125</v>
      </c>
      <c r="C1660" s="52">
        <v>590</v>
      </c>
      <c r="D1660" s="53" t="s">
        <v>4327</v>
      </c>
      <c r="E1660" s="54"/>
      <c r="F1660" s="52" t="str">
        <f>IF(INDEX(I.Performance.EndRange,590)="","",INDEX(I.Performance.EndRange,590))</f>
        <v/>
      </c>
      <c r="G1660" s="54"/>
      <c r="H1660" s="52" t="str">
        <f>IF(AND(I.Compliance.FulfilledPerformance&gt;0,I.Performance.RangeCount&gt;=590,F1660=""),"Incomplete","Complete")</f>
        <v>Complete</v>
      </c>
      <c r="I1660" s="55" t="s">
        <v>1858</v>
      </c>
    </row>
    <row r="1661" spans="2:9" ht="15" customHeight="1" x14ac:dyDescent="0.25">
      <c r="B1661" s="51" t="s">
        <v>125</v>
      </c>
      <c r="C1661" s="52">
        <v>591</v>
      </c>
      <c r="D1661" s="53" t="s">
        <v>4327</v>
      </c>
      <c r="E1661" s="54"/>
      <c r="F1661" s="52" t="str">
        <f>IF(INDEX(I.Performance.EndRange,591)="","",INDEX(I.Performance.EndRange,591))</f>
        <v/>
      </c>
      <c r="G1661" s="54"/>
      <c r="H1661" s="52" t="str">
        <f>IF(AND(I.Compliance.FulfilledPerformance&gt;0,I.Performance.RangeCount&gt;=591,F1661=""),"Incomplete","Complete")</f>
        <v>Complete</v>
      </c>
      <c r="I1661" s="55" t="s">
        <v>1859</v>
      </c>
    </row>
    <row r="1662" spans="2:9" ht="15" customHeight="1" x14ac:dyDescent="0.25">
      <c r="B1662" s="51" t="s">
        <v>125</v>
      </c>
      <c r="C1662" s="52">
        <v>592</v>
      </c>
      <c r="D1662" s="53" t="s">
        <v>4327</v>
      </c>
      <c r="E1662" s="54"/>
      <c r="F1662" s="52" t="str">
        <f>IF(INDEX(I.Performance.EndRange,592)="","",INDEX(I.Performance.EndRange,592))</f>
        <v/>
      </c>
      <c r="G1662" s="54"/>
      <c r="H1662" s="52" t="str">
        <f>IF(AND(I.Compliance.FulfilledPerformance&gt;0,I.Performance.RangeCount&gt;=592,F1662=""),"Incomplete","Complete")</f>
        <v>Complete</v>
      </c>
      <c r="I1662" s="55" t="s">
        <v>1860</v>
      </c>
    </row>
    <row r="1663" spans="2:9" ht="15" customHeight="1" x14ac:dyDescent="0.25">
      <c r="B1663" s="51" t="s">
        <v>125</v>
      </c>
      <c r="C1663" s="52">
        <v>593</v>
      </c>
      <c r="D1663" s="53" t="s">
        <v>4327</v>
      </c>
      <c r="E1663" s="54"/>
      <c r="F1663" s="52" t="str">
        <f>IF(INDEX(I.Performance.EndRange,593)="","",INDEX(I.Performance.EndRange,593))</f>
        <v/>
      </c>
      <c r="G1663" s="54"/>
      <c r="H1663" s="52" t="str">
        <f>IF(AND(I.Compliance.FulfilledPerformance&gt;0,I.Performance.RangeCount&gt;=593,F1663=""),"Incomplete","Complete")</f>
        <v>Complete</v>
      </c>
      <c r="I1663" s="55" t="s">
        <v>1861</v>
      </c>
    </row>
    <row r="1664" spans="2:9" ht="15" customHeight="1" x14ac:dyDescent="0.25">
      <c r="B1664" s="51" t="s">
        <v>125</v>
      </c>
      <c r="C1664" s="52">
        <v>594</v>
      </c>
      <c r="D1664" s="53" t="s">
        <v>4327</v>
      </c>
      <c r="E1664" s="54"/>
      <c r="F1664" s="52" t="str">
        <f>IF(INDEX(I.Performance.EndRange,594)="","",INDEX(I.Performance.EndRange,594))</f>
        <v/>
      </c>
      <c r="G1664" s="54"/>
      <c r="H1664" s="52" t="str">
        <f>IF(AND(I.Compliance.FulfilledPerformance&gt;0,I.Performance.RangeCount&gt;=594,F1664=""),"Incomplete","Complete")</f>
        <v>Complete</v>
      </c>
      <c r="I1664" s="55" t="s">
        <v>1862</v>
      </c>
    </row>
    <row r="1665" spans="2:9" ht="15" customHeight="1" x14ac:dyDescent="0.25">
      <c r="B1665" s="51" t="s">
        <v>125</v>
      </c>
      <c r="C1665" s="52">
        <v>595</v>
      </c>
      <c r="D1665" s="53" t="s">
        <v>4327</v>
      </c>
      <c r="E1665" s="54"/>
      <c r="F1665" s="52" t="str">
        <f>IF(INDEX(I.Performance.EndRange,595)="","",INDEX(I.Performance.EndRange,595))</f>
        <v/>
      </c>
      <c r="G1665" s="54"/>
      <c r="H1665" s="52" t="str">
        <f>IF(AND(I.Compliance.FulfilledPerformance&gt;0,I.Performance.RangeCount&gt;=595,F1665=""),"Incomplete","Complete")</f>
        <v>Complete</v>
      </c>
      <c r="I1665" s="55" t="s">
        <v>1863</v>
      </c>
    </row>
    <row r="1666" spans="2:9" ht="15" customHeight="1" x14ac:dyDescent="0.25">
      <c r="B1666" s="51" t="s">
        <v>125</v>
      </c>
      <c r="C1666" s="52">
        <v>596</v>
      </c>
      <c r="D1666" s="53" t="s">
        <v>4327</v>
      </c>
      <c r="E1666" s="54"/>
      <c r="F1666" s="52" t="str">
        <f>IF(INDEX(I.Performance.EndRange,596)="","",INDEX(I.Performance.EndRange,596))</f>
        <v/>
      </c>
      <c r="G1666" s="54"/>
      <c r="H1666" s="52" t="str">
        <f>IF(AND(I.Compliance.FulfilledPerformance&gt;0,I.Performance.RangeCount&gt;=596,F1666=""),"Incomplete","Complete")</f>
        <v>Complete</v>
      </c>
      <c r="I1666" s="55" t="s">
        <v>1864</v>
      </c>
    </row>
    <row r="1667" spans="2:9" ht="15" customHeight="1" x14ac:dyDescent="0.25">
      <c r="B1667" s="51" t="s">
        <v>125</v>
      </c>
      <c r="C1667" s="52">
        <v>597</v>
      </c>
      <c r="D1667" s="53" t="s">
        <v>4327</v>
      </c>
      <c r="E1667" s="54"/>
      <c r="F1667" s="52" t="str">
        <f>IF(INDEX(I.Performance.EndRange,597)="","",INDEX(I.Performance.EndRange,597))</f>
        <v/>
      </c>
      <c r="G1667" s="54"/>
      <c r="H1667" s="52" t="str">
        <f>IF(AND(I.Compliance.FulfilledPerformance&gt;0,I.Performance.RangeCount&gt;=597,F1667=""),"Incomplete","Complete")</f>
        <v>Complete</v>
      </c>
      <c r="I1667" s="55" t="s">
        <v>1865</v>
      </c>
    </row>
    <row r="1668" spans="2:9" ht="15" customHeight="1" x14ac:dyDescent="0.25">
      <c r="B1668" s="51" t="s">
        <v>125</v>
      </c>
      <c r="C1668" s="52">
        <v>598</v>
      </c>
      <c r="D1668" s="53" t="s">
        <v>4327</v>
      </c>
      <c r="E1668" s="54"/>
      <c r="F1668" s="52" t="str">
        <f>IF(INDEX(I.Performance.EndRange,598)="","",INDEX(I.Performance.EndRange,598))</f>
        <v/>
      </c>
      <c r="G1668" s="54"/>
      <c r="H1668" s="52" t="str">
        <f>IF(AND(I.Compliance.FulfilledPerformance&gt;0,I.Performance.RangeCount&gt;=598,F1668=""),"Incomplete","Complete")</f>
        <v>Complete</v>
      </c>
      <c r="I1668" s="55" t="s">
        <v>1866</v>
      </c>
    </row>
    <row r="1669" spans="2:9" ht="15" customHeight="1" x14ac:dyDescent="0.25">
      <c r="B1669" s="51" t="s">
        <v>125</v>
      </c>
      <c r="C1669" s="52">
        <v>599</v>
      </c>
      <c r="D1669" s="53" t="s">
        <v>4327</v>
      </c>
      <c r="E1669" s="54"/>
      <c r="F1669" s="52" t="str">
        <f>IF(INDEX(I.Performance.EndRange,599)="","",INDEX(I.Performance.EndRange,599))</f>
        <v/>
      </c>
      <c r="G1669" s="54"/>
      <c r="H1669" s="52" t="str">
        <f>IF(AND(I.Compliance.FulfilledPerformance&gt;0,I.Performance.RangeCount&gt;=599,F1669=""),"Incomplete","Complete")</f>
        <v>Complete</v>
      </c>
      <c r="I1669" s="55" t="s">
        <v>1867</v>
      </c>
    </row>
    <row r="1670" spans="2:9" ht="15" customHeight="1" x14ac:dyDescent="0.25">
      <c r="B1670" s="51" t="s">
        <v>125</v>
      </c>
      <c r="C1670" s="52">
        <v>600</v>
      </c>
      <c r="D1670" s="53" t="s">
        <v>4327</v>
      </c>
      <c r="E1670" s="54"/>
      <c r="F1670" s="52" t="str">
        <f>IF(INDEX(I.Performance.EndRange,600)="","",INDEX(I.Performance.EndRange,600))</f>
        <v/>
      </c>
      <c r="G1670" s="54"/>
      <c r="H1670" s="52" t="str">
        <f>IF(AND(I.Compliance.FulfilledPerformance&gt;0,I.Performance.RangeCount&gt;=600,F1670=""),"Incomplete","Complete")</f>
        <v>Complete</v>
      </c>
      <c r="I1670" s="55" t="s">
        <v>1868</v>
      </c>
    </row>
    <row r="1671" spans="2:9" ht="15" customHeight="1" x14ac:dyDescent="0.25">
      <c r="B1671" s="51" t="s">
        <v>125</v>
      </c>
      <c r="C1671" s="52">
        <v>601</v>
      </c>
      <c r="D1671" s="53" t="s">
        <v>4327</v>
      </c>
      <c r="E1671" s="54"/>
      <c r="F1671" s="52" t="str">
        <f>IF(INDEX(I.Performance.EndRange,601)="","",INDEX(I.Performance.EndRange,601))</f>
        <v/>
      </c>
      <c r="G1671" s="54"/>
      <c r="H1671" s="52" t="str">
        <f>IF(AND(I.Compliance.FulfilledPerformance&gt;0,I.Performance.RangeCount&gt;=601,F1671=""),"Incomplete","Complete")</f>
        <v>Complete</v>
      </c>
      <c r="I1671" s="55" t="s">
        <v>1869</v>
      </c>
    </row>
    <row r="1672" spans="2:9" ht="15" customHeight="1" x14ac:dyDescent="0.25">
      <c r="B1672" s="51" t="s">
        <v>125</v>
      </c>
      <c r="C1672" s="52">
        <v>602</v>
      </c>
      <c r="D1672" s="53" t="s">
        <v>4327</v>
      </c>
      <c r="E1672" s="54"/>
      <c r="F1672" s="52" t="str">
        <f>IF(INDEX(I.Performance.EndRange,602)="","",INDEX(I.Performance.EndRange,602))</f>
        <v/>
      </c>
      <c r="G1672" s="54"/>
      <c r="H1672" s="52" t="str">
        <f>IF(AND(I.Compliance.FulfilledPerformance&gt;0,I.Performance.RangeCount&gt;=602,F1672=""),"Incomplete","Complete")</f>
        <v>Complete</v>
      </c>
      <c r="I1672" s="55" t="s">
        <v>1870</v>
      </c>
    </row>
    <row r="1673" spans="2:9" ht="15" customHeight="1" x14ac:dyDescent="0.25">
      <c r="B1673" s="51" t="s">
        <v>125</v>
      </c>
      <c r="C1673" s="52">
        <v>603</v>
      </c>
      <c r="D1673" s="53" t="s">
        <v>4327</v>
      </c>
      <c r="E1673" s="54"/>
      <c r="F1673" s="52" t="str">
        <f>IF(INDEX(I.Performance.EndRange,603)="","",INDEX(I.Performance.EndRange,603))</f>
        <v/>
      </c>
      <c r="G1673" s="54"/>
      <c r="H1673" s="52" t="str">
        <f>IF(AND(I.Compliance.FulfilledPerformance&gt;0,I.Performance.RangeCount&gt;=603,F1673=""),"Incomplete","Complete")</f>
        <v>Complete</v>
      </c>
      <c r="I1673" s="55" t="s">
        <v>1871</v>
      </c>
    </row>
    <row r="1674" spans="2:9" ht="15" customHeight="1" x14ac:dyDescent="0.25">
      <c r="B1674" s="51" t="s">
        <v>125</v>
      </c>
      <c r="C1674" s="52">
        <v>604</v>
      </c>
      <c r="D1674" s="53" t="s">
        <v>4327</v>
      </c>
      <c r="E1674" s="54"/>
      <c r="F1674" s="52" t="str">
        <f>IF(INDEX(I.Performance.EndRange,604)="","",INDEX(I.Performance.EndRange,604))</f>
        <v/>
      </c>
      <c r="G1674" s="54"/>
      <c r="H1674" s="52" t="str">
        <f>IF(AND(I.Compliance.FulfilledPerformance&gt;0,I.Performance.RangeCount&gt;=604,F1674=""),"Incomplete","Complete")</f>
        <v>Complete</v>
      </c>
      <c r="I1674" s="55" t="s">
        <v>1872</v>
      </c>
    </row>
    <row r="1675" spans="2:9" ht="15" customHeight="1" x14ac:dyDescent="0.25">
      <c r="B1675" s="51" t="s">
        <v>125</v>
      </c>
      <c r="C1675" s="52">
        <v>605</v>
      </c>
      <c r="D1675" s="53" t="s">
        <v>4327</v>
      </c>
      <c r="E1675" s="54"/>
      <c r="F1675" s="52" t="str">
        <f>IF(INDEX(I.Performance.EndRange,605)="","",INDEX(I.Performance.EndRange,605))</f>
        <v/>
      </c>
      <c r="G1675" s="54"/>
      <c r="H1675" s="52" t="str">
        <f>IF(AND(I.Compliance.FulfilledPerformance&gt;0,I.Performance.RangeCount&gt;=605,F1675=""),"Incomplete","Complete")</f>
        <v>Complete</v>
      </c>
      <c r="I1675" s="55" t="s">
        <v>1873</v>
      </c>
    </row>
    <row r="1676" spans="2:9" ht="15" customHeight="1" x14ac:dyDescent="0.25">
      <c r="B1676" s="51" t="s">
        <v>125</v>
      </c>
      <c r="C1676" s="52">
        <v>606</v>
      </c>
      <c r="D1676" s="53" t="s">
        <v>4327</v>
      </c>
      <c r="E1676" s="54"/>
      <c r="F1676" s="52" t="str">
        <f>IF(INDEX(I.Performance.EndRange,606)="","",INDEX(I.Performance.EndRange,606))</f>
        <v/>
      </c>
      <c r="G1676" s="54"/>
      <c r="H1676" s="52" t="str">
        <f>IF(AND(I.Compliance.FulfilledPerformance&gt;0,I.Performance.RangeCount&gt;=606,F1676=""),"Incomplete","Complete")</f>
        <v>Complete</v>
      </c>
      <c r="I1676" s="55" t="s">
        <v>1874</v>
      </c>
    </row>
    <row r="1677" spans="2:9" ht="15" customHeight="1" x14ac:dyDescent="0.25">
      <c r="B1677" s="51" t="s">
        <v>125</v>
      </c>
      <c r="C1677" s="52">
        <v>607</v>
      </c>
      <c r="D1677" s="53" t="s">
        <v>4327</v>
      </c>
      <c r="E1677" s="54"/>
      <c r="F1677" s="52" t="str">
        <f>IF(INDEX(I.Performance.EndRange,607)="","",INDEX(I.Performance.EndRange,607))</f>
        <v/>
      </c>
      <c r="G1677" s="54"/>
      <c r="H1677" s="52" t="str">
        <f>IF(AND(I.Compliance.FulfilledPerformance&gt;0,I.Performance.RangeCount&gt;=607,F1677=""),"Incomplete","Complete")</f>
        <v>Complete</v>
      </c>
      <c r="I1677" s="55" t="s">
        <v>1875</v>
      </c>
    </row>
    <row r="1678" spans="2:9" ht="15" customHeight="1" x14ac:dyDescent="0.25">
      <c r="B1678" s="51" t="s">
        <v>125</v>
      </c>
      <c r="C1678" s="52">
        <v>608</v>
      </c>
      <c r="D1678" s="53" t="s">
        <v>4327</v>
      </c>
      <c r="E1678" s="54"/>
      <c r="F1678" s="52" t="str">
        <f>IF(INDEX(I.Performance.EndRange,608)="","",INDEX(I.Performance.EndRange,608))</f>
        <v/>
      </c>
      <c r="G1678" s="54"/>
      <c r="H1678" s="52" t="str">
        <f>IF(AND(I.Compliance.FulfilledPerformance&gt;0,I.Performance.RangeCount&gt;=608,F1678=""),"Incomplete","Complete")</f>
        <v>Complete</v>
      </c>
      <c r="I1678" s="55" t="s">
        <v>1876</v>
      </c>
    </row>
    <row r="1679" spans="2:9" ht="15" customHeight="1" x14ac:dyDescent="0.25">
      <c r="B1679" s="51" t="s">
        <v>125</v>
      </c>
      <c r="C1679" s="52">
        <v>609</v>
      </c>
      <c r="D1679" s="53" t="s">
        <v>4327</v>
      </c>
      <c r="E1679" s="54"/>
      <c r="F1679" s="52" t="str">
        <f>IF(INDEX(I.Performance.EndRange,609)="","",INDEX(I.Performance.EndRange,609))</f>
        <v/>
      </c>
      <c r="G1679" s="54"/>
      <c r="H1679" s="52" t="str">
        <f>IF(AND(I.Compliance.FulfilledPerformance&gt;0,I.Performance.RangeCount&gt;=609,F1679=""),"Incomplete","Complete")</f>
        <v>Complete</v>
      </c>
      <c r="I1679" s="55" t="s">
        <v>1877</v>
      </c>
    </row>
    <row r="1680" spans="2:9" ht="15" customHeight="1" x14ac:dyDescent="0.25">
      <c r="B1680" s="51" t="s">
        <v>125</v>
      </c>
      <c r="C1680" s="52">
        <v>610</v>
      </c>
      <c r="D1680" s="53" t="s">
        <v>4327</v>
      </c>
      <c r="E1680" s="54"/>
      <c r="F1680" s="52" t="str">
        <f>IF(INDEX(I.Performance.EndRange,610)="","",INDEX(I.Performance.EndRange,610))</f>
        <v/>
      </c>
      <c r="G1680" s="54"/>
      <c r="H1680" s="52" t="str">
        <f>IF(AND(I.Compliance.FulfilledPerformance&gt;0,I.Performance.RangeCount&gt;=610,F1680=""),"Incomplete","Complete")</f>
        <v>Complete</v>
      </c>
      <c r="I1680" s="55" t="s">
        <v>1878</v>
      </c>
    </row>
    <row r="1681" spans="2:9" ht="15" customHeight="1" x14ac:dyDescent="0.25">
      <c r="B1681" s="51" t="s">
        <v>125</v>
      </c>
      <c r="C1681" s="52">
        <v>611</v>
      </c>
      <c r="D1681" s="53" t="s">
        <v>4327</v>
      </c>
      <c r="E1681" s="54"/>
      <c r="F1681" s="52" t="str">
        <f>IF(INDEX(I.Performance.EndRange,611)="","",INDEX(I.Performance.EndRange,611))</f>
        <v/>
      </c>
      <c r="G1681" s="54"/>
      <c r="H1681" s="52" t="str">
        <f>IF(AND(I.Compliance.FulfilledPerformance&gt;0,I.Performance.RangeCount&gt;=611,F1681=""),"Incomplete","Complete")</f>
        <v>Complete</v>
      </c>
      <c r="I1681" s="55" t="s">
        <v>1879</v>
      </c>
    </row>
    <row r="1682" spans="2:9" ht="15" customHeight="1" x14ac:dyDescent="0.25">
      <c r="B1682" s="51" t="s">
        <v>125</v>
      </c>
      <c r="C1682" s="52">
        <v>612</v>
      </c>
      <c r="D1682" s="53" t="s">
        <v>4327</v>
      </c>
      <c r="E1682" s="54"/>
      <c r="F1682" s="52" t="str">
        <f>IF(INDEX(I.Performance.EndRange,612)="","",INDEX(I.Performance.EndRange,612))</f>
        <v/>
      </c>
      <c r="G1682" s="54"/>
      <c r="H1682" s="52" t="str">
        <f>IF(AND(I.Compliance.FulfilledPerformance&gt;0,I.Performance.RangeCount&gt;=612,F1682=""),"Incomplete","Complete")</f>
        <v>Complete</v>
      </c>
      <c r="I1682" s="55" t="s">
        <v>1880</v>
      </c>
    </row>
    <row r="1683" spans="2:9" ht="15" customHeight="1" x14ac:dyDescent="0.25">
      <c r="B1683" s="51" t="s">
        <v>125</v>
      </c>
      <c r="C1683" s="52">
        <v>613</v>
      </c>
      <c r="D1683" s="53" t="s">
        <v>4327</v>
      </c>
      <c r="E1683" s="54"/>
      <c r="F1683" s="52" t="str">
        <f>IF(INDEX(I.Performance.EndRange,613)="","",INDEX(I.Performance.EndRange,613))</f>
        <v/>
      </c>
      <c r="G1683" s="54"/>
      <c r="H1683" s="52" t="str">
        <f>IF(AND(I.Compliance.FulfilledPerformance&gt;0,I.Performance.RangeCount&gt;=613,F1683=""),"Incomplete","Complete")</f>
        <v>Complete</v>
      </c>
      <c r="I1683" s="55" t="s">
        <v>1881</v>
      </c>
    </row>
    <row r="1684" spans="2:9" ht="15" customHeight="1" x14ac:dyDescent="0.25">
      <c r="B1684" s="51" t="s">
        <v>125</v>
      </c>
      <c r="C1684" s="52">
        <v>614</v>
      </c>
      <c r="D1684" s="53" t="s">
        <v>4327</v>
      </c>
      <c r="E1684" s="54"/>
      <c r="F1684" s="52" t="str">
        <f>IF(INDEX(I.Performance.EndRange,614)="","",INDEX(I.Performance.EndRange,614))</f>
        <v/>
      </c>
      <c r="G1684" s="54"/>
      <c r="H1684" s="52" t="str">
        <f>IF(AND(I.Compliance.FulfilledPerformance&gt;0,I.Performance.RangeCount&gt;=614,F1684=""),"Incomplete","Complete")</f>
        <v>Complete</v>
      </c>
      <c r="I1684" s="55" t="s">
        <v>1882</v>
      </c>
    </row>
    <row r="1685" spans="2:9" ht="15" customHeight="1" x14ac:dyDescent="0.25">
      <c r="B1685" s="51" t="s">
        <v>125</v>
      </c>
      <c r="C1685" s="52">
        <v>615</v>
      </c>
      <c r="D1685" s="53" t="s">
        <v>4327</v>
      </c>
      <c r="E1685" s="54"/>
      <c r="F1685" s="52" t="str">
        <f>IF(INDEX(I.Performance.EndRange,615)="","",INDEX(I.Performance.EndRange,615))</f>
        <v/>
      </c>
      <c r="G1685" s="54"/>
      <c r="H1685" s="52" t="str">
        <f>IF(AND(I.Compliance.FulfilledPerformance&gt;0,I.Performance.RangeCount&gt;=615,F1685=""),"Incomplete","Complete")</f>
        <v>Complete</v>
      </c>
      <c r="I1685" s="55" t="s">
        <v>1883</v>
      </c>
    </row>
    <row r="1686" spans="2:9" ht="15" customHeight="1" x14ac:dyDescent="0.25">
      <c r="B1686" s="51" t="s">
        <v>125</v>
      </c>
      <c r="C1686" s="52">
        <v>616</v>
      </c>
      <c r="D1686" s="53" t="s">
        <v>4327</v>
      </c>
      <c r="E1686" s="54"/>
      <c r="F1686" s="52" t="str">
        <f>IF(INDEX(I.Performance.EndRange,616)="","",INDEX(I.Performance.EndRange,616))</f>
        <v/>
      </c>
      <c r="G1686" s="54"/>
      <c r="H1686" s="52" t="str">
        <f>IF(AND(I.Compliance.FulfilledPerformance&gt;0,I.Performance.RangeCount&gt;=616,F1686=""),"Incomplete","Complete")</f>
        <v>Complete</v>
      </c>
      <c r="I1686" s="55" t="s">
        <v>1884</v>
      </c>
    </row>
    <row r="1687" spans="2:9" ht="15" customHeight="1" x14ac:dyDescent="0.25">
      <c r="B1687" s="51" t="s">
        <v>125</v>
      </c>
      <c r="C1687" s="52">
        <v>617</v>
      </c>
      <c r="D1687" s="53" t="s">
        <v>4327</v>
      </c>
      <c r="E1687" s="54"/>
      <c r="F1687" s="52" t="str">
        <f>IF(INDEX(I.Performance.EndRange,617)="","",INDEX(I.Performance.EndRange,617))</f>
        <v/>
      </c>
      <c r="G1687" s="54"/>
      <c r="H1687" s="52" t="str">
        <f>IF(AND(I.Compliance.FulfilledPerformance&gt;0,I.Performance.RangeCount&gt;=617,F1687=""),"Incomplete","Complete")</f>
        <v>Complete</v>
      </c>
      <c r="I1687" s="55" t="s">
        <v>1885</v>
      </c>
    </row>
    <row r="1688" spans="2:9" ht="15" customHeight="1" x14ac:dyDescent="0.25">
      <c r="B1688" s="51" t="s">
        <v>125</v>
      </c>
      <c r="C1688" s="52">
        <v>618</v>
      </c>
      <c r="D1688" s="53" t="s">
        <v>4327</v>
      </c>
      <c r="E1688" s="54"/>
      <c r="F1688" s="52" t="str">
        <f>IF(INDEX(I.Performance.EndRange,618)="","",INDEX(I.Performance.EndRange,618))</f>
        <v/>
      </c>
      <c r="G1688" s="54"/>
      <c r="H1688" s="52" t="str">
        <f>IF(AND(I.Compliance.FulfilledPerformance&gt;0,I.Performance.RangeCount&gt;=618,F1688=""),"Incomplete","Complete")</f>
        <v>Complete</v>
      </c>
      <c r="I1688" s="55" t="s">
        <v>1886</v>
      </c>
    </row>
    <row r="1689" spans="2:9" ht="15" customHeight="1" x14ac:dyDescent="0.25">
      <c r="B1689" s="51" t="s">
        <v>125</v>
      </c>
      <c r="C1689" s="52">
        <v>619</v>
      </c>
      <c r="D1689" s="53" t="s">
        <v>4327</v>
      </c>
      <c r="E1689" s="54"/>
      <c r="F1689" s="52" t="str">
        <f>IF(INDEX(I.Performance.EndRange,619)="","",INDEX(I.Performance.EndRange,619))</f>
        <v/>
      </c>
      <c r="G1689" s="54"/>
      <c r="H1689" s="52" t="str">
        <f>IF(AND(I.Compliance.FulfilledPerformance&gt;0,I.Performance.RangeCount&gt;=619,F1689=""),"Incomplete","Complete")</f>
        <v>Complete</v>
      </c>
      <c r="I1689" s="55" t="s">
        <v>1887</v>
      </c>
    </row>
    <row r="1690" spans="2:9" ht="15" customHeight="1" x14ac:dyDescent="0.25">
      <c r="B1690" s="51" t="s">
        <v>125</v>
      </c>
      <c r="C1690" s="52">
        <v>620</v>
      </c>
      <c r="D1690" s="53" t="s">
        <v>4327</v>
      </c>
      <c r="E1690" s="54"/>
      <c r="F1690" s="52" t="str">
        <f>IF(INDEX(I.Performance.EndRange,620)="","",INDEX(I.Performance.EndRange,620))</f>
        <v/>
      </c>
      <c r="G1690" s="54"/>
      <c r="H1690" s="52" t="str">
        <f>IF(AND(I.Compliance.FulfilledPerformance&gt;0,I.Performance.RangeCount&gt;=620,F1690=""),"Incomplete","Complete")</f>
        <v>Complete</v>
      </c>
      <c r="I1690" s="55" t="s">
        <v>1888</v>
      </c>
    </row>
    <row r="1691" spans="2:9" ht="15" customHeight="1" x14ac:dyDescent="0.25">
      <c r="B1691" s="51" t="s">
        <v>125</v>
      </c>
      <c r="C1691" s="52">
        <v>621</v>
      </c>
      <c r="D1691" s="53" t="s">
        <v>4327</v>
      </c>
      <c r="E1691" s="54"/>
      <c r="F1691" s="52" t="str">
        <f>IF(INDEX(I.Performance.EndRange,621)="","",INDEX(I.Performance.EndRange,621))</f>
        <v/>
      </c>
      <c r="G1691" s="54"/>
      <c r="H1691" s="52" t="str">
        <f>IF(AND(I.Compliance.FulfilledPerformance&gt;0,I.Performance.RangeCount&gt;=621,F1691=""),"Incomplete","Complete")</f>
        <v>Complete</v>
      </c>
      <c r="I1691" s="55" t="s">
        <v>1889</v>
      </c>
    </row>
    <row r="1692" spans="2:9" ht="15" customHeight="1" x14ac:dyDescent="0.25">
      <c r="B1692" s="51" t="s">
        <v>125</v>
      </c>
      <c r="C1692" s="52">
        <v>622</v>
      </c>
      <c r="D1692" s="53" t="s">
        <v>4327</v>
      </c>
      <c r="E1692" s="54"/>
      <c r="F1692" s="52" t="str">
        <f>IF(INDEX(I.Performance.EndRange,622)="","",INDEX(I.Performance.EndRange,622))</f>
        <v/>
      </c>
      <c r="G1692" s="54"/>
      <c r="H1692" s="52" t="str">
        <f>IF(AND(I.Compliance.FulfilledPerformance&gt;0,I.Performance.RangeCount&gt;=622,F1692=""),"Incomplete","Complete")</f>
        <v>Complete</v>
      </c>
      <c r="I1692" s="55" t="s">
        <v>1890</v>
      </c>
    </row>
    <row r="1693" spans="2:9" ht="15" customHeight="1" x14ac:dyDescent="0.25">
      <c r="B1693" s="51" t="s">
        <v>125</v>
      </c>
      <c r="C1693" s="52">
        <v>623</v>
      </c>
      <c r="D1693" s="53" t="s">
        <v>4327</v>
      </c>
      <c r="E1693" s="54"/>
      <c r="F1693" s="52" t="str">
        <f>IF(INDEX(I.Performance.EndRange,623)="","",INDEX(I.Performance.EndRange,623))</f>
        <v/>
      </c>
      <c r="G1693" s="54"/>
      <c r="H1693" s="52" t="str">
        <f>IF(AND(I.Compliance.FulfilledPerformance&gt;0,I.Performance.RangeCount&gt;=623,F1693=""),"Incomplete","Complete")</f>
        <v>Complete</v>
      </c>
      <c r="I1693" s="55" t="s">
        <v>1891</v>
      </c>
    </row>
    <row r="1694" spans="2:9" ht="15" customHeight="1" x14ac:dyDescent="0.25">
      <c r="B1694" s="51" t="s">
        <v>125</v>
      </c>
      <c r="C1694" s="52">
        <v>624</v>
      </c>
      <c r="D1694" s="53" t="s">
        <v>4327</v>
      </c>
      <c r="E1694" s="54"/>
      <c r="F1694" s="52" t="str">
        <f>IF(INDEX(I.Performance.EndRange,624)="","",INDEX(I.Performance.EndRange,624))</f>
        <v/>
      </c>
      <c r="G1694" s="54"/>
      <c r="H1694" s="52" t="str">
        <f>IF(AND(I.Compliance.FulfilledPerformance&gt;0,I.Performance.RangeCount&gt;=624,F1694=""),"Incomplete","Complete")</f>
        <v>Complete</v>
      </c>
      <c r="I1694" s="55" t="s">
        <v>1892</v>
      </c>
    </row>
    <row r="1695" spans="2:9" ht="15" customHeight="1" x14ac:dyDescent="0.25">
      <c r="B1695" s="51" t="s">
        <v>125</v>
      </c>
      <c r="C1695" s="52">
        <v>625</v>
      </c>
      <c r="D1695" s="53" t="s">
        <v>4327</v>
      </c>
      <c r="E1695" s="54"/>
      <c r="F1695" s="52" t="str">
        <f>IF(INDEX(I.Performance.EndRange,625)="","",INDEX(I.Performance.EndRange,625))</f>
        <v/>
      </c>
      <c r="G1695" s="54"/>
      <c r="H1695" s="52" t="str">
        <f>IF(AND(I.Compliance.FulfilledPerformance&gt;0,I.Performance.RangeCount&gt;=625,F1695=""),"Incomplete","Complete")</f>
        <v>Complete</v>
      </c>
      <c r="I1695" s="55" t="s">
        <v>1893</v>
      </c>
    </row>
    <row r="1696" spans="2:9" ht="15" customHeight="1" x14ac:dyDescent="0.25">
      <c r="B1696" s="51" t="s">
        <v>125</v>
      </c>
      <c r="C1696" s="52">
        <v>626</v>
      </c>
      <c r="D1696" s="53" t="s">
        <v>4327</v>
      </c>
      <c r="E1696" s="54"/>
      <c r="F1696" s="52" t="str">
        <f>IF(INDEX(I.Performance.EndRange,626)="","",INDEX(I.Performance.EndRange,626))</f>
        <v/>
      </c>
      <c r="G1696" s="54"/>
      <c r="H1696" s="52" t="str">
        <f>IF(AND(I.Compliance.FulfilledPerformance&gt;0,I.Performance.RangeCount&gt;=626,F1696=""),"Incomplete","Complete")</f>
        <v>Complete</v>
      </c>
      <c r="I1696" s="55" t="s">
        <v>1894</v>
      </c>
    </row>
    <row r="1697" spans="2:9" ht="15" customHeight="1" x14ac:dyDescent="0.25">
      <c r="B1697" s="51" t="s">
        <v>125</v>
      </c>
      <c r="C1697" s="52">
        <v>627</v>
      </c>
      <c r="D1697" s="53" t="s">
        <v>4327</v>
      </c>
      <c r="E1697" s="54"/>
      <c r="F1697" s="52" t="str">
        <f>IF(INDEX(I.Performance.EndRange,627)="","",INDEX(I.Performance.EndRange,627))</f>
        <v/>
      </c>
      <c r="G1697" s="54"/>
      <c r="H1697" s="52" t="str">
        <f>IF(AND(I.Compliance.FulfilledPerformance&gt;0,I.Performance.RangeCount&gt;=627,F1697=""),"Incomplete","Complete")</f>
        <v>Complete</v>
      </c>
      <c r="I1697" s="55" t="s">
        <v>1895</v>
      </c>
    </row>
    <row r="1698" spans="2:9" ht="15" customHeight="1" x14ac:dyDescent="0.25">
      <c r="B1698" s="51" t="s">
        <v>125</v>
      </c>
      <c r="C1698" s="52">
        <v>628</v>
      </c>
      <c r="D1698" s="53" t="s">
        <v>4327</v>
      </c>
      <c r="E1698" s="54"/>
      <c r="F1698" s="52" t="str">
        <f>IF(INDEX(I.Performance.EndRange,628)="","",INDEX(I.Performance.EndRange,628))</f>
        <v/>
      </c>
      <c r="G1698" s="54"/>
      <c r="H1698" s="52" t="str">
        <f>IF(AND(I.Compliance.FulfilledPerformance&gt;0,I.Performance.RangeCount&gt;=628,F1698=""),"Incomplete","Complete")</f>
        <v>Complete</v>
      </c>
      <c r="I1698" s="55" t="s">
        <v>1896</v>
      </c>
    </row>
    <row r="1699" spans="2:9" ht="15" customHeight="1" x14ac:dyDescent="0.25">
      <c r="B1699" s="51" t="s">
        <v>125</v>
      </c>
      <c r="C1699" s="52">
        <v>629</v>
      </c>
      <c r="D1699" s="53" t="s">
        <v>4327</v>
      </c>
      <c r="E1699" s="54"/>
      <c r="F1699" s="52" t="str">
        <f>IF(INDEX(I.Performance.EndRange,629)="","",INDEX(I.Performance.EndRange,629))</f>
        <v/>
      </c>
      <c r="G1699" s="54"/>
      <c r="H1699" s="52" t="str">
        <f>IF(AND(I.Compliance.FulfilledPerformance&gt;0,I.Performance.RangeCount&gt;=629,F1699=""),"Incomplete","Complete")</f>
        <v>Complete</v>
      </c>
      <c r="I1699" s="55" t="s">
        <v>1897</v>
      </c>
    </row>
    <row r="1700" spans="2:9" ht="15" customHeight="1" x14ac:dyDescent="0.25">
      <c r="B1700" s="51" t="s">
        <v>125</v>
      </c>
      <c r="C1700" s="52">
        <v>630</v>
      </c>
      <c r="D1700" s="53" t="s">
        <v>4327</v>
      </c>
      <c r="E1700" s="54"/>
      <c r="F1700" s="52" t="str">
        <f>IF(INDEX(I.Performance.EndRange,630)="","",INDEX(I.Performance.EndRange,630))</f>
        <v/>
      </c>
      <c r="G1700" s="54"/>
      <c r="H1700" s="52" t="str">
        <f>IF(AND(I.Compliance.FulfilledPerformance&gt;0,I.Performance.RangeCount&gt;=630,F1700=""),"Incomplete","Complete")</f>
        <v>Complete</v>
      </c>
      <c r="I1700" s="55" t="s">
        <v>1898</v>
      </c>
    </row>
    <row r="1701" spans="2:9" ht="15" customHeight="1" x14ac:dyDescent="0.25">
      <c r="B1701" s="51" t="s">
        <v>125</v>
      </c>
      <c r="C1701" s="52">
        <v>631</v>
      </c>
      <c r="D1701" s="53" t="s">
        <v>4327</v>
      </c>
      <c r="E1701" s="54"/>
      <c r="F1701" s="52" t="str">
        <f>IF(INDEX(I.Performance.EndRange,631)="","",INDEX(I.Performance.EndRange,631))</f>
        <v/>
      </c>
      <c r="G1701" s="54"/>
      <c r="H1701" s="52" t="str">
        <f>IF(AND(I.Compliance.FulfilledPerformance&gt;0,I.Performance.RangeCount&gt;=631,F1701=""),"Incomplete","Complete")</f>
        <v>Complete</v>
      </c>
      <c r="I1701" s="55" t="s">
        <v>1899</v>
      </c>
    </row>
    <row r="1702" spans="2:9" ht="15" customHeight="1" x14ac:dyDescent="0.25">
      <c r="B1702" s="51" t="s">
        <v>125</v>
      </c>
      <c r="C1702" s="52">
        <v>632</v>
      </c>
      <c r="D1702" s="53" t="s">
        <v>4327</v>
      </c>
      <c r="E1702" s="54"/>
      <c r="F1702" s="52" t="str">
        <f>IF(INDEX(I.Performance.EndRange,632)="","",INDEX(I.Performance.EndRange,632))</f>
        <v/>
      </c>
      <c r="G1702" s="54"/>
      <c r="H1702" s="52" t="str">
        <f>IF(AND(I.Compliance.FulfilledPerformance&gt;0,I.Performance.RangeCount&gt;=632,F1702=""),"Incomplete","Complete")</f>
        <v>Complete</v>
      </c>
      <c r="I1702" s="55" t="s">
        <v>1900</v>
      </c>
    </row>
    <row r="1703" spans="2:9" ht="15" customHeight="1" x14ac:dyDescent="0.25">
      <c r="B1703" s="51" t="s">
        <v>125</v>
      </c>
      <c r="C1703" s="52">
        <v>633</v>
      </c>
      <c r="D1703" s="53" t="s">
        <v>4327</v>
      </c>
      <c r="E1703" s="54"/>
      <c r="F1703" s="52" t="str">
        <f>IF(INDEX(I.Performance.EndRange,633)="","",INDEX(I.Performance.EndRange,633))</f>
        <v/>
      </c>
      <c r="G1703" s="54"/>
      <c r="H1703" s="52" t="str">
        <f>IF(AND(I.Compliance.FulfilledPerformance&gt;0,I.Performance.RangeCount&gt;=633,F1703=""),"Incomplete","Complete")</f>
        <v>Complete</v>
      </c>
      <c r="I1703" s="55" t="s">
        <v>1901</v>
      </c>
    </row>
    <row r="1704" spans="2:9" ht="15" customHeight="1" x14ac:dyDescent="0.25">
      <c r="B1704" s="51" t="s">
        <v>125</v>
      </c>
      <c r="C1704" s="52">
        <v>634</v>
      </c>
      <c r="D1704" s="53" t="s">
        <v>4327</v>
      </c>
      <c r="E1704" s="54"/>
      <c r="F1704" s="52" t="str">
        <f>IF(INDEX(I.Performance.EndRange,634)="","",INDEX(I.Performance.EndRange,634))</f>
        <v/>
      </c>
      <c r="G1704" s="54"/>
      <c r="H1704" s="52" t="str">
        <f>IF(AND(I.Compliance.FulfilledPerformance&gt;0,I.Performance.RangeCount&gt;=634,F1704=""),"Incomplete","Complete")</f>
        <v>Complete</v>
      </c>
      <c r="I1704" s="55" t="s">
        <v>1902</v>
      </c>
    </row>
    <row r="1705" spans="2:9" ht="15" customHeight="1" x14ac:dyDescent="0.25">
      <c r="B1705" s="51" t="s">
        <v>125</v>
      </c>
      <c r="C1705" s="52">
        <v>635</v>
      </c>
      <c r="D1705" s="53" t="s">
        <v>4327</v>
      </c>
      <c r="E1705" s="54"/>
      <c r="F1705" s="52" t="str">
        <f>IF(INDEX(I.Performance.EndRange,635)="","",INDEX(I.Performance.EndRange,635))</f>
        <v/>
      </c>
      <c r="G1705" s="54"/>
      <c r="H1705" s="52" t="str">
        <f>IF(AND(I.Compliance.FulfilledPerformance&gt;0,I.Performance.RangeCount&gt;=635,F1705=""),"Incomplete","Complete")</f>
        <v>Complete</v>
      </c>
      <c r="I1705" s="55" t="s">
        <v>1903</v>
      </c>
    </row>
    <row r="1706" spans="2:9" ht="15" customHeight="1" x14ac:dyDescent="0.25">
      <c r="B1706" s="51" t="s">
        <v>125</v>
      </c>
      <c r="C1706" s="52">
        <v>636</v>
      </c>
      <c r="D1706" s="53" t="s">
        <v>4327</v>
      </c>
      <c r="E1706" s="54"/>
      <c r="F1706" s="52" t="str">
        <f>IF(INDEX(I.Performance.EndRange,636)="","",INDEX(I.Performance.EndRange,636))</f>
        <v/>
      </c>
      <c r="G1706" s="54"/>
      <c r="H1706" s="52" t="str">
        <f>IF(AND(I.Compliance.FulfilledPerformance&gt;0,I.Performance.RangeCount&gt;=636,F1706=""),"Incomplete","Complete")</f>
        <v>Complete</v>
      </c>
      <c r="I1706" s="55" t="s">
        <v>1904</v>
      </c>
    </row>
    <row r="1707" spans="2:9" ht="15" customHeight="1" x14ac:dyDescent="0.25">
      <c r="B1707" s="51" t="s">
        <v>125</v>
      </c>
      <c r="C1707" s="52">
        <v>637</v>
      </c>
      <c r="D1707" s="53" t="s">
        <v>4327</v>
      </c>
      <c r="E1707" s="54"/>
      <c r="F1707" s="52" t="str">
        <f>IF(INDEX(I.Performance.EndRange,637)="","",INDEX(I.Performance.EndRange,637))</f>
        <v/>
      </c>
      <c r="G1707" s="54"/>
      <c r="H1707" s="52" t="str">
        <f>IF(AND(I.Compliance.FulfilledPerformance&gt;0,I.Performance.RangeCount&gt;=637,F1707=""),"Incomplete","Complete")</f>
        <v>Complete</v>
      </c>
      <c r="I1707" s="55" t="s">
        <v>1905</v>
      </c>
    </row>
    <row r="1708" spans="2:9" ht="15" customHeight="1" x14ac:dyDescent="0.25">
      <c r="B1708" s="51" t="s">
        <v>125</v>
      </c>
      <c r="C1708" s="52">
        <v>638</v>
      </c>
      <c r="D1708" s="53" t="s">
        <v>4327</v>
      </c>
      <c r="E1708" s="54"/>
      <c r="F1708" s="52" t="str">
        <f>IF(INDEX(I.Performance.EndRange,638)="","",INDEX(I.Performance.EndRange,638))</f>
        <v/>
      </c>
      <c r="G1708" s="54"/>
      <c r="H1708" s="52" t="str">
        <f>IF(AND(I.Compliance.FulfilledPerformance&gt;0,I.Performance.RangeCount&gt;=638,F1708=""),"Incomplete","Complete")</f>
        <v>Complete</v>
      </c>
      <c r="I1708" s="55" t="s">
        <v>1906</v>
      </c>
    </row>
    <row r="1709" spans="2:9" ht="15" customHeight="1" x14ac:dyDescent="0.25">
      <c r="B1709" s="51" t="s">
        <v>125</v>
      </c>
      <c r="C1709" s="52">
        <v>639</v>
      </c>
      <c r="D1709" s="53" t="s">
        <v>4327</v>
      </c>
      <c r="E1709" s="54"/>
      <c r="F1709" s="52" t="str">
        <f>IF(INDEX(I.Performance.EndRange,639)="","",INDEX(I.Performance.EndRange,639))</f>
        <v/>
      </c>
      <c r="G1709" s="54"/>
      <c r="H1709" s="52" t="str">
        <f>IF(AND(I.Compliance.FulfilledPerformance&gt;0,I.Performance.RangeCount&gt;=639,F1709=""),"Incomplete","Complete")</f>
        <v>Complete</v>
      </c>
      <c r="I1709" s="55" t="s">
        <v>1907</v>
      </c>
    </row>
    <row r="1710" spans="2:9" ht="15" customHeight="1" x14ac:dyDescent="0.25">
      <c r="B1710" s="51" t="s">
        <v>125</v>
      </c>
      <c r="C1710" s="52">
        <v>640</v>
      </c>
      <c r="D1710" s="53" t="s">
        <v>4327</v>
      </c>
      <c r="E1710" s="54"/>
      <c r="F1710" s="52" t="str">
        <f>IF(INDEX(I.Performance.EndRange,640)="","",INDEX(I.Performance.EndRange,640))</f>
        <v/>
      </c>
      <c r="G1710" s="54"/>
      <c r="H1710" s="52" t="str">
        <f>IF(AND(I.Compliance.FulfilledPerformance&gt;0,I.Performance.RangeCount&gt;=640,F1710=""),"Incomplete","Complete")</f>
        <v>Complete</v>
      </c>
      <c r="I1710" s="55" t="s">
        <v>1908</v>
      </c>
    </row>
    <row r="1711" spans="2:9" ht="15" customHeight="1" x14ac:dyDescent="0.25">
      <c r="B1711" s="51" t="s">
        <v>125</v>
      </c>
      <c r="C1711" s="52">
        <v>641</v>
      </c>
      <c r="D1711" s="53" t="s">
        <v>4327</v>
      </c>
      <c r="E1711" s="54"/>
      <c r="F1711" s="52" t="str">
        <f>IF(INDEX(I.Performance.EndRange,641)="","",INDEX(I.Performance.EndRange,641))</f>
        <v/>
      </c>
      <c r="G1711" s="54"/>
      <c r="H1711" s="52" t="str">
        <f>IF(AND(I.Compliance.FulfilledPerformance&gt;0,I.Performance.RangeCount&gt;=641,F1711=""),"Incomplete","Complete")</f>
        <v>Complete</v>
      </c>
      <c r="I1711" s="55" t="s">
        <v>1909</v>
      </c>
    </row>
    <row r="1712" spans="2:9" ht="15" customHeight="1" x14ac:dyDescent="0.25">
      <c r="B1712" s="51" t="s">
        <v>125</v>
      </c>
      <c r="C1712" s="52">
        <v>642</v>
      </c>
      <c r="D1712" s="53" t="s">
        <v>4327</v>
      </c>
      <c r="E1712" s="54"/>
      <c r="F1712" s="52" t="str">
        <f>IF(INDEX(I.Performance.EndRange,642)="","",INDEX(I.Performance.EndRange,642))</f>
        <v/>
      </c>
      <c r="G1712" s="54"/>
      <c r="H1712" s="52" t="str">
        <f>IF(AND(I.Compliance.FulfilledPerformance&gt;0,I.Performance.RangeCount&gt;=642,F1712=""),"Incomplete","Complete")</f>
        <v>Complete</v>
      </c>
      <c r="I1712" s="55" t="s">
        <v>1910</v>
      </c>
    </row>
    <row r="1713" spans="2:9" ht="15" customHeight="1" x14ac:dyDescent="0.25">
      <c r="B1713" s="51" t="s">
        <v>125</v>
      </c>
      <c r="C1713" s="52">
        <v>643</v>
      </c>
      <c r="D1713" s="53" t="s">
        <v>4327</v>
      </c>
      <c r="E1713" s="54"/>
      <c r="F1713" s="52" t="str">
        <f>IF(INDEX(I.Performance.EndRange,643)="","",INDEX(I.Performance.EndRange,643))</f>
        <v/>
      </c>
      <c r="G1713" s="54"/>
      <c r="H1713" s="52" t="str">
        <f>IF(AND(I.Compliance.FulfilledPerformance&gt;0,I.Performance.RangeCount&gt;=643,F1713=""),"Incomplete","Complete")</f>
        <v>Complete</v>
      </c>
      <c r="I1713" s="55" t="s">
        <v>1911</v>
      </c>
    </row>
    <row r="1714" spans="2:9" ht="15" customHeight="1" x14ac:dyDescent="0.25">
      <c r="B1714" s="51" t="s">
        <v>125</v>
      </c>
      <c r="C1714" s="52">
        <v>644</v>
      </c>
      <c r="D1714" s="53" t="s">
        <v>4327</v>
      </c>
      <c r="E1714" s="54"/>
      <c r="F1714" s="52" t="str">
        <f>IF(INDEX(I.Performance.EndRange,644)="","",INDEX(I.Performance.EndRange,644))</f>
        <v/>
      </c>
      <c r="G1714" s="54"/>
      <c r="H1714" s="52" t="str">
        <f>IF(AND(I.Compliance.FulfilledPerformance&gt;0,I.Performance.RangeCount&gt;=644,F1714=""),"Incomplete","Complete")</f>
        <v>Complete</v>
      </c>
      <c r="I1714" s="55" t="s">
        <v>1912</v>
      </c>
    </row>
    <row r="1715" spans="2:9" ht="15" customHeight="1" x14ac:dyDescent="0.25">
      <c r="B1715" s="51" t="s">
        <v>125</v>
      </c>
      <c r="C1715" s="52">
        <v>645</v>
      </c>
      <c r="D1715" s="53" t="s">
        <v>4327</v>
      </c>
      <c r="E1715" s="54"/>
      <c r="F1715" s="52" t="str">
        <f>IF(INDEX(I.Performance.EndRange,645)="","",INDEX(I.Performance.EndRange,645))</f>
        <v/>
      </c>
      <c r="G1715" s="54"/>
      <c r="H1715" s="52" t="str">
        <f>IF(AND(I.Compliance.FulfilledPerformance&gt;0,I.Performance.RangeCount&gt;=645,F1715=""),"Incomplete","Complete")</f>
        <v>Complete</v>
      </c>
      <c r="I1715" s="55" t="s">
        <v>1913</v>
      </c>
    </row>
    <row r="1716" spans="2:9" ht="15" customHeight="1" x14ac:dyDescent="0.25">
      <c r="B1716" s="51" t="s">
        <v>125</v>
      </c>
      <c r="C1716" s="52">
        <v>646</v>
      </c>
      <c r="D1716" s="53" t="s">
        <v>4327</v>
      </c>
      <c r="E1716" s="54"/>
      <c r="F1716" s="52" t="str">
        <f>IF(INDEX(I.Performance.EndRange,646)="","",INDEX(I.Performance.EndRange,646))</f>
        <v/>
      </c>
      <c r="G1716" s="54"/>
      <c r="H1716" s="52" t="str">
        <f>IF(AND(I.Compliance.FulfilledPerformance&gt;0,I.Performance.RangeCount&gt;=646,F1716=""),"Incomplete","Complete")</f>
        <v>Complete</v>
      </c>
      <c r="I1716" s="55" t="s">
        <v>1914</v>
      </c>
    </row>
    <row r="1717" spans="2:9" ht="15" customHeight="1" x14ac:dyDescent="0.25">
      <c r="B1717" s="51" t="s">
        <v>125</v>
      </c>
      <c r="C1717" s="52">
        <v>647</v>
      </c>
      <c r="D1717" s="53" t="s">
        <v>4327</v>
      </c>
      <c r="E1717" s="54"/>
      <c r="F1717" s="52" t="str">
        <f>IF(INDEX(I.Performance.EndRange,647)="","",INDEX(I.Performance.EndRange,647))</f>
        <v/>
      </c>
      <c r="G1717" s="54"/>
      <c r="H1717" s="52" t="str">
        <f>IF(AND(I.Compliance.FulfilledPerformance&gt;0,I.Performance.RangeCount&gt;=647,F1717=""),"Incomplete","Complete")</f>
        <v>Complete</v>
      </c>
      <c r="I1717" s="55" t="s">
        <v>1915</v>
      </c>
    </row>
    <row r="1718" spans="2:9" ht="15" customHeight="1" x14ac:dyDescent="0.25">
      <c r="B1718" s="51" t="s">
        <v>125</v>
      </c>
      <c r="C1718" s="52">
        <v>648</v>
      </c>
      <c r="D1718" s="53" t="s">
        <v>4327</v>
      </c>
      <c r="E1718" s="54"/>
      <c r="F1718" s="52" t="str">
        <f>IF(INDEX(I.Performance.EndRange,648)="","",INDEX(I.Performance.EndRange,648))</f>
        <v/>
      </c>
      <c r="G1718" s="54"/>
      <c r="H1718" s="52" t="str">
        <f>IF(AND(I.Compliance.FulfilledPerformance&gt;0,I.Performance.RangeCount&gt;=648,F1718=""),"Incomplete","Complete")</f>
        <v>Complete</v>
      </c>
      <c r="I1718" s="55" t="s">
        <v>1916</v>
      </c>
    </row>
    <row r="1719" spans="2:9" ht="15" customHeight="1" x14ac:dyDescent="0.25">
      <c r="B1719" s="51" t="s">
        <v>125</v>
      </c>
      <c r="C1719" s="52">
        <v>649</v>
      </c>
      <c r="D1719" s="53" t="s">
        <v>4327</v>
      </c>
      <c r="E1719" s="54"/>
      <c r="F1719" s="52" t="str">
        <f>IF(INDEX(I.Performance.EndRange,649)="","",INDEX(I.Performance.EndRange,649))</f>
        <v/>
      </c>
      <c r="G1719" s="54"/>
      <c r="H1719" s="52" t="str">
        <f>IF(AND(I.Compliance.FulfilledPerformance&gt;0,I.Performance.RangeCount&gt;=649,F1719=""),"Incomplete","Complete")</f>
        <v>Complete</v>
      </c>
      <c r="I1719" s="55" t="s">
        <v>1917</v>
      </c>
    </row>
    <row r="1720" spans="2:9" ht="15" customHeight="1" x14ac:dyDescent="0.25">
      <c r="B1720" s="51" t="s">
        <v>125</v>
      </c>
      <c r="C1720" s="52">
        <v>650</v>
      </c>
      <c r="D1720" s="53" t="s">
        <v>4327</v>
      </c>
      <c r="E1720" s="54"/>
      <c r="F1720" s="52" t="str">
        <f>IF(INDEX(I.Performance.EndRange,650)="","",INDEX(I.Performance.EndRange,650))</f>
        <v/>
      </c>
      <c r="G1720" s="54"/>
      <c r="H1720" s="52" t="str">
        <f>IF(AND(I.Compliance.FulfilledPerformance&gt;0,I.Performance.RangeCount&gt;=650,F1720=""),"Incomplete","Complete")</f>
        <v>Complete</v>
      </c>
      <c r="I1720" s="55" t="s">
        <v>1918</v>
      </c>
    </row>
    <row r="1721" spans="2:9" ht="15" customHeight="1" x14ac:dyDescent="0.25">
      <c r="B1721" s="51" t="s">
        <v>125</v>
      </c>
      <c r="C1721" s="52">
        <v>651</v>
      </c>
      <c r="D1721" s="53" t="s">
        <v>4327</v>
      </c>
      <c r="E1721" s="54"/>
      <c r="F1721" s="52" t="str">
        <f>IF(INDEX(I.Performance.EndRange,651)="","",INDEX(I.Performance.EndRange,651))</f>
        <v/>
      </c>
      <c r="G1721" s="54"/>
      <c r="H1721" s="52" t="str">
        <f>IF(AND(I.Compliance.FulfilledPerformance&gt;0,I.Performance.RangeCount&gt;=651,F1721=""),"Incomplete","Complete")</f>
        <v>Complete</v>
      </c>
      <c r="I1721" s="55" t="s">
        <v>1919</v>
      </c>
    </row>
    <row r="1722" spans="2:9" ht="15" customHeight="1" x14ac:dyDescent="0.25">
      <c r="B1722" s="51" t="s">
        <v>125</v>
      </c>
      <c r="C1722" s="52">
        <v>652</v>
      </c>
      <c r="D1722" s="53" t="s">
        <v>4327</v>
      </c>
      <c r="E1722" s="54"/>
      <c r="F1722" s="52" t="str">
        <f>IF(INDEX(I.Performance.EndRange,652)="","",INDEX(I.Performance.EndRange,652))</f>
        <v/>
      </c>
      <c r="G1722" s="54"/>
      <c r="H1722" s="52" t="str">
        <f>IF(AND(I.Compliance.FulfilledPerformance&gt;0,I.Performance.RangeCount&gt;=652,F1722=""),"Incomplete","Complete")</f>
        <v>Complete</v>
      </c>
      <c r="I1722" s="55" t="s">
        <v>1920</v>
      </c>
    </row>
    <row r="1723" spans="2:9" ht="15" customHeight="1" x14ac:dyDescent="0.25">
      <c r="B1723" s="51" t="s">
        <v>125</v>
      </c>
      <c r="C1723" s="52">
        <v>653</v>
      </c>
      <c r="D1723" s="53" t="s">
        <v>4327</v>
      </c>
      <c r="E1723" s="54"/>
      <c r="F1723" s="52" t="str">
        <f>IF(INDEX(I.Performance.EndRange,653)="","",INDEX(I.Performance.EndRange,653))</f>
        <v/>
      </c>
      <c r="G1723" s="54"/>
      <c r="H1723" s="52" t="str">
        <f>IF(AND(I.Compliance.FulfilledPerformance&gt;0,I.Performance.RangeCount&gt;=653,F1723=""),"Incomplete","Complete")</f>
        <v>Complete</v>
      </c>
      <c r="I1723" s="55" t="s">
        <v>1921</v>
      </c>
    </row>
    <row r="1724" spans="2:9" ht="15" customHeight="1" x14ac:dyDescent="0.25">
      <c r="B1724" s="51" t="s">
        <v>125</v>
      </c>
      <c r="C1724" s="52">
        <v>654</v>
      </c>
      <c r="D1724" s="53" t="s">
        <v>4327</v>
      </c>
      <c r="E1724" s="54"/>
      <c r="F1724" s="52" t="str">
        <f>IF(INDEX(I.Performance.EndRange,654)="","",INDEX(I.Performance.EndRange,654))</f>
        <v/>
      </c>
      <c r="G1724" s="54"/>
      <c r="H1724" s="52" t="str">
        <f>IF(AND(I.Compliance.FulfilledPerformance&gt;0,I.Performance.RangeCount&gt;=654,F1724=""),"Incomplete","Complete")</f>
        <v>Complete</v>
      </c>
      <c r="I1724" s="55" t="s">
        <v>1922</v>
      </c>
    </row>
    <row r="1725" spans="2:9" ht="15" customHeight="1" x14ac:dyDescent="0.25">
      <c r="B1725" s="51" t="s">
        <v>125</v>
      </c>
      <c r="C1725" s="52">
        <v>655</v>
      </c>
      <c r="D1725" s="53" t="s">
        <v>4327</v>
      </c>
      <c r="E1725" s="54"/>
      <c r="F1725" s="52" t="str">
        <f>IF(INDEX(I.Performance.EndRange,655)="","",INDEX(I.Performance.EndRange,655))</f>
        <v/>
      </c>
      <c r="G1725" s="54"/>
      <c r="H1725" s="52" t="str">
        <f>IF(AND(I.Compliance.FulfilledPerformance&gt;0,I.Performance.RangeCount&gt;=655,F1725=""),"Incomplete","Complete")</f>
        <v>Complete</v>
      </c>
      <c r="I1725" s="55" t="s">
        <v>1923</v>
      </c>
    </row>
    <row r="1726" spans="2:9" ht="15" customHeight="1" x14ac:dyDescent="0.25">
      <c r="B1726" s="51" t="s">
        <v>125</v>
      </c>
      <c r="C1726" s="52">
        <v>656</v>
      </c>
      <c r="D1726" s="53" t="s">
        <v>4327</v>
      </c>
      <c r="E1726" s="54"/>
      <c r="F1726" s="52" t="str">
        <f>IF(INDEX(I.Performance.EndRange,656)="","",INDEX(I.Performance.EndRange,656))</f>
        <v/>
      </c>
      <c r="G1726" s="54"/>
      <c r="H1726" s="52" t="str">
        <f>IF(AND(I.Compliance.FulfilledPerformance&gt;0,I.Performance.RangeCount&gt;=656,F1726=""),"Incomplete","Complete")</f>
        <v>Complete</v>
      </c>
      <c r="I1726" s="55" t="s">
        <v>1924</v>
      </c>
    </row>
    <row r="1727" spans="2:9" ht="15" customHeight="1" x14ac:dyDescent="0.25">
      <c r="B1727" s="51" t="s">
        <v>125</v>
      </c>
      <c r="C1727" s="52">
        <v>657</v>
      </c>
      <c r="D1727" s="53" t="s">
        <v>4327</v>
      </c>
      <c r="E1727" s="54"/>
      <c r="F1727" s="52" t="str">
        <f>IF(INDEX(I.Performance.EndRange,657)="","",INDEX(I.Performance.EndRange,657))</f>
        <v/>
      </c>
      <c r="G1727" s="54"/>
      <c r="H1727" s="52" t="str">
        <f>IF(AND(I.Compliance.FulfilledPerformance&gt;0,I.Performance.RangeCount&gt;=657,F1727=""),"Incomplete","Complete")</f>
        <v>Complete</v>
      </c>
      <c r="I1727" s="55" t="s">
        <v>1925</v>
      </c>
    </row>
    <row r="1728" spans="2:9" ht="15" customHeight="1" x14ac:dyDescent="0.25">
      <c r="B1728" s="51" t="s">
        <v>125</v>
      </c>
      <c r="C1728" s="52">
        <v>658</v>
      </c>
      <c r="D1728" s="53" t="s">
        <v>4327</v>
      </c>
      <c r="E1728" s="54"/>
      <c r="F1728" s="52" t="str">
        <f>IF(INDEX(I.Performance.EndRange,658)="","",INDEX(I.Performance.EndRange,658))</f>
        <v/>
      </c>
      <c r="G1728" s="54"/>
      <c r="H1728" s="52" t="str">
        <f>IF(AND(I.Compliance.FulfilledPerformance&gt;0,I.Performance.RangeCount&gt;=658,F1728=""),"Incomplete","Complete")</f>
        <v>Complete</v>
      </c>
      <c r="I1728" s="55" t="s">
        <v>1926</v>
      </c>
    </row>
    <row r="1729" spans="2:9" ht="15" customHeight="1" x14ac:dyDescent="0.25">
      <c r="B1729" s="51" t="s">
        <v>125</v>
      </c>
      <c r="C1729" s="52">
        <v>659</v>
      </c>
      <c r="D1729" s="53" t="s">
        <v>4327</v>
      </c>
      <c r="E1729" s="54"/>
      <c r="F1729" s="52" t="str">
        <f>IF(INDEX(I.Performance.EndRange,659)="","",INDEX(I.Performance.EndRange,659))</f>
        <v/>
      </c>
      <c r="G1729" s="54"/>
      <c r="H1729" s="52" t="str">
        <f>IF(AND(I.Compliance.FulfilledPerformance&gt;0,I.Performance.RangeCount&gt;=659,F1729=""),"Incomplete","Complete")</f>
        <v>Complete</v>
      </c>
      <c r="I1729" s="55" t="s">
        <v>1927</v>
      </c>
    </row>
    <row r="1730" spans="2:9" ht="15" customHeight="1" x14ac:dyDescent="0.25">
      <c r="B1730" s="51" t="s">
        <v>125</v>
      </c>
      <c r="C1730" s="52">
        <v>660</v>
      </c>
      <c r="D1730" s="53" t="s">
        <v>4327</v>
      </c>
      <c r="E1730" s="54"/>
      <c r="F1730" s="52" t="str">
        <f>IF(INDEX(I.Performance.EndRange,660)="","",INDEX(I.Performance.EndRange,660))</f>
        <v/>
      </c>
      <c r="G1730" s="54"/>
      <c r="H1730" s="52" t="str">
        <f>IF(AND(I.Compliance.FulfilledPerformance&gt;0,I.Performance.RangeCount&gt;=660,F1730=""),"Incomplete","Complete")</f>
        <v>Complete</v>
      </c>
      <c r="I1730" s="55" t="s">
        <v>1928</v>
      </c>
    </row>
    <row r="1731" spans="2:9" ht="15" customHeight="1" x14ac:dyDescent="0.25">
      <c r="B1731" s="51" t="s">
        <v>125</v>
      </c>
      <c r="C1731" s="52">
        <v>661</v>
      </c>
      <c r="D1731" s="53" t="s">
        <v>4327</v>
      </c>
      <c r="E1731" s="54"/>
      <c r="F1731" s="52" t="str">
        <f>IF(INDEX(I.Performance.EndRange,661)="","",INDEX(I.Performance.EndRange,661))</f>
        <v/>
      </c>
      <c r="G1731" s="54"/>
      <c r="H1731" s="52" t="str">
        <f>IF(AND(I.Compliance.FulfilledPerformance&gt;0,I.Performance.RangeCount&gt;=661,F1731=""),"Incomplete","Complete")</f>
        <v>Complete</v>
      </c>
      <c r="I1731" s="55" t="s">
        <v>1929</v>
      </c>
    </row>
    <row r="1732" spans="2:9" ht="15" customHeight="1" x14ac:dyDescent="0.25">
      <c r="B1732" s="51" t="s">
        <v>125</v>
      </c>
      <c r="C1732" s="52">
        <v>662</v>
      </c>
      <c r="D1732" s="53" t="s">
        <v>4327</v>
      </c>
      <c r="E1732" s="54"/>
      <c r="F1732" s="52" t="str">
        <f>IF(INDEX(I.Performance.EndRange,662)="","",INDEX(I.Performance.EndRange,662))</f>
        <v/>
      </c>
      <c r="G1732" s="54"/>
      <c r="H1732" s="52" t="str">
        <f>IF(AND(I.Compliance.FulfilledPerformance&gt;0,I.Performance.RangeCount&gt;=662,F1732=""),"Incomplete","Complete")</f>
        <v>Complete</v>
      </c>
      <c r="I1732" s="55" t="s">
        <v>1930</v>
      </c>
    </row>
    <row r="1733" spans="2:9" ht="15" customHeight="1" x14ac:dyDescent="0.25">
      <c r="B1733" s="51" t="s">
        <v>125</v>
      </c>
      <c r="C1733" s="52">
        <v>663</v>
      </c>
      <c r="D1733" s="53" t="s">
        <v>4327</v>
      </c>
      <c r="E1733" s="54"/>
      <c r="F1733" s="52" t="str">
        <f>IF(INDEX(I.Performance.EndRange,663)="","",INDEX(I.Performance.EndRange,663))</f>
        <v/>
      </c>
      <c r="G1733" s="54"/>
      <c r="H1733" s="52" t="str">
        <f>IF(AND(I.Compliance.FulfilledPerformance&gt;0,I.Performance.RangeCount&gt;=663,F1733=""),"Incomplete","Complete")</f>
        <v>Complete</v>
      </c>
      <c r="I1733" s="55" t="s">
        <v>1931</v>
      </c>
    </row>
    <row r="1734" spans="2:9" ht="15" customHeight="1" x14ac:dyDescent="0.25">
      <c r="B1734" s="51" t="s">
        <v>125</v>
      </c>
      <c r="C1734" s="52">
        <v>664</v>
      </c>
      <c r="D1734" s="53" t="s">
        <v>4327</v>
      </c>
      <c r="E1734" s="54"/>
      <c r="F1734" s="52" t="str">
        <f>IF(INDEX(I.Performance.EndRange,664)="","",INDEX(I.Performance.EndRange,664))</f>
        <v/>
      </c>
      <c r="G1734" s="54"/>
      <c r="H1734" s="52" t="str">
        <f>IF(AND(I.Compliance.FulfilledPerformance&gt;0,I.Performance.RangeCount&gt;=664,F1734=""),"Incomplete","Complete")</f>
        <v>Complete</v>
      </c>
      <c r="I1734" s="55" t="s">
        <v>1932</v>
      </c>
    </row>
    <row r="1735" spans="2:9" ht="15" customHeight="1" x14ac:dyDescent="0.25">
      <c r="B1735" s="51" t="s">
        <v>125</v>
      </c>
      <c r="C1735" s="52">
        <v>665</v>
      </c>
      <c r="D1735" s="53" t="s">
        <v>4327</v>
      </c>
      <c r="E1735" s="54"/>
      <c r="F1735" s="52" t="str">
        <f>IF(INDEX(I.Performance.EndRange,665)="","",INDEX(I.Performance.EndRange,665))</f>
        <v/>
      </c>
      <c r="G1735" s="54"/>
      <c r="H1735" s="52" t="str">
        <f>IF(AND(I.Compliance.FulfilledPerformance&gt;0,I.Performance.RangeCount&gt;=665,F1735=""),"Incomplete","Complete")</f>
        <v>Complete</v>
      </c>
      <c r="I1735" s="55" t="s">
        <v>1933</v>
      </c>
    </row>
    <row r="1736" spans="2:9" ht="15" customHeight="1" x14ac:dyDescent="0.25">
      <c r="B1736" s="51" t="s">
        <v>125</v>
      </c>
      <c r="C1736" s="52">
        <v>666</v>
      </c>
      <c r="D1736" s="53" t="s">
        <v>4327</v>
      </c>
      <c r="E1736" s="54"/>
      <c r="F1736" s="52" t="str">
        <f>IF(INDEX(I.Performance.EndRange,666)="","",INDEX(I.Performance.EndRange,666))</f>
        <v/>
      </c>
      <c r="G1736" s="54"/>
      <c r="H1736" s="52" t="str">
        <f>IF(AND(I.Compliance.FulfilledPerformance&gt;0,I.Performance.RangeCount&gt;=666,F1736=""),"Incomplete","Complete")</f>
        <v>Complete</v>
      </c>
      <c r="I1736" s="55" t="s">
        <v>1934</v>
      </c>
    </row>
    <row r="1737" spans="2:9" ht="15" customHeight="1" x14ac:dyDescent="0.25">
      <c r="B1737" s="51" t="s">
        <v>125</v>
      </c>
      <c r="C1737" s="52">
        <v>667</v>
      </c>
      <c r="D1737" s="53" t="s">
        <v>4327</v>
      </c>
      <c r="E1737" s="54"/>
      <c r="F1737" s="52" t="str">
        <f>IF(INDEX(I.Performance.EndRange,667)="","",INDEX(I.Performance.EndRange,667))</f>
        <v/>
      </c>
      <c r="G1737" s="54"/>
      <c r="H1737" s="52" t="str">
        <f>IF(AND(I.Compliance.FulfilledPerformance&gt;0,I.Performance.RangeCount&gt;=667,F1737=""),"Incomplete","Complete")</f>
        <v>Complete</v>
      </c>
      <c r="I1737" s="55" t="s">
        <v>1935</v>
      </c>
    </row>
    <row r="1738" spans="2:9" ht="15" customHeight="1" x14ac:dyDescent="0.25">
      <c r="B1738" s="51" t="s">
        <v>125</v>
      </c>
      <c r="C1738" s="52">
        <v>668</v>
      </c>
      <c r="D1738" s="53" t="s">
        <v>4327</v>
      </c>
      <c r="E1738" s="54"/>
      <c r="F1738" s="52" t="str">
        <f>IF(INDEX(I.Performance.EndRange,668)="","",INDEX(I.Performance.EndRange,668))</f>
        <v/>
      </c>
      <c r="G1738" s="54"/>
      <c r="H1738" s="52" t="str">
        <f>IF(AND(I.Compliance.FulfilledPerformance&gt;0,I.Performance.RangeCount&gt;=668,F1738=""),"Incomplete","Complete")</f>
        <v>Complete</v>
      </c>
      <c r="I1738" s="55" t="s">
        <v>1936</v>
      </c>
    </row>
    <row r="1739" spans="2:9" ht="15" customHeight="1" x14ac:dyDescent="0.25">
      <c r="B1739" s="51" t="s">
        <v>125</v>
      </c>
      <c r="C1739" s="52">
        <v>669</v>
      </c>
      <c r="D1739" s="53" t="s">
        <v>4327</v>
      </c>
      <c r="E1739" s="54"/>
      <c r="F1739" s="52" t="str">
        <f>IF(INDEX(I.Performance.EndRange,669)="","",INDEX(I.Performance.EndRange,669))</f>
        <v/>
      </c>
      <c r="G1739" s="54"/>
      <c r="H1739" s="52" t="str">
        <f>IF(AND(I.Compliance.FulfilledPerformance&gt;0,I.Performance.RangeCount&gt;=669,F1739=""),"Incomplete","Complete")</f>
        <v>Complete</v>
      </c>
      <c r="I1739" s="55" t="s">
        <v>1937</v>
      </c>
    </row>
    <row r="1740" spans="2:9" ht="15" customHeight="1" x14ac:dyDescent="0.25">
      <c r="B1740" s="51" t="s">
        <v>125</v>
      </c>
      <c r="C1740" s="52">
        <v>670</v>
      </c>
      <c r="D1740" s="53" t="s">
        <v>4327</v>
      </c>
      <c r="E1740" s="54"/>
      <c r="F1740" s="52" t="str">
        <f>IF(INDEX(I.Performance.EndRange,670)="","",INDEX(I.Performance.EndRange,670))</f>
        <v/>
      </c>
      <c r="G1740" s="54"/>
      <c r="H1740" s="52" t="str">
        <f>IF(AND(I.Compliance.FulfilledPerformance&gt;0,I.Performance.RangeCount&gt;=670,F1740=""),"Incomplete","Complete")</f>
        <v>Complete</v>
      </c>
      <c r="I1740" s="55" t="s">
        <v>1938</v>
      </c>
    </row>
    <row r="1741" spans="2:9" ht="15" customHeight="1" x14ac:dyDescent="0.25">
      <c r="B1741" s="51" t="s">
        <v>125</v>
      </c>
      <c r="C1741" s="52">
        <v>671</v>
      </c>
      <c r="D1741" s="53" t="s">
        <v>4327</v>
      </c>
      <c r="E1741" s="54"/>
      <c r="F1741" s="52" t="str">
        <f>IF(INDEX(I.Performance.EndRange,671)="","",INDEX(I.Performance.EndRange,671))</f>
        <v/>
      </c>
      <c r="G1741" s="54"/>
      <c r="H1741" s="52" t="str">
        <f>IF(AND(I.Compliance.FulfilledPerformance&gt;0,I.Performance.RangeCount&gt;=671,F1741=""),"Incomplete","Complete")</f>
        <v>Complete</v>
      </c>
      <c r="I1741" s="55" t="s">
        <v>1939</v>
      </c>
    </row>
    <row r="1742" spans="2:9" ht="15" customHeight="1" x14ac:dyDescent="0.25">
      <c r="B1742" s="51" t="s">
        <v>125</v>
      </c>
      <c r="C1742" s="52">
        <v>672</v>
      </c>
      <c r="D1742" s="53" t="s">
        <v>4327</v>
      </c>
      <c r="E1742" s="54"/>
      <c r="F1742" s="52" t="str">
        <f>IF(INDEX(I.Performance.EndRange,672)="","",INDEX(I.Performance.EndRange,672))</f>
        <v/>
      </c>
      <c r="G1742" s="54"/>
      <c r="H1742" s="52" t="str">
        <f>IF(AND(I.Compliance.FulfilledPerformance&gt;0,I.Performance.RangeCount&gt;=672,F1742=""),"Incomplete","Complete")</f>
        <v>Complete</v>
      </c>
      <c r="I1742" s="55" t="s">
        <v>1940</v>
      </c>
    </row>
    <row r="1743" spans="2:9" ht="15" customHeight="1" x14ac:dyDescent="0.25">
      <c r="B1743" s="51" t="s">
        <v>125</v>
      </c>
      <c r="C1743" s="52">
        <v>673</v>
      </c>
      <c r="D1743" s="53" t="s">
        <v>4327</v>
      </c>
      <c r="E1743" s="54"/>
      <c r="F1743" s="52" t="str">
        <f>IF(INDEX(I.Performance.EndRange,673)="","",INDEX(I.Performance.EndRange,673))</f>
        <v/>
      </c>
      <c r="G1743" s="54"/>
      <c r="H1743" s="52" t="str">
        <f>IF(AND(I.Compliance.FulfilledPerformance&gt;0,I.Performance.RangeCount&gt;=673,F1743=""),"Incomplete","Complete")</f>
        <v>Complete</v>
      </c>
      <c r="I1743" s="55" t="s">
        <v>1941</v>
      </c>
    </row>
    <row r="1744" spans="2:9" ht="15" customHeight="1" x14ac:dyDescent="0.25">
      <c r="B1744" s="51" t="s">
        <v>125</v>
      </c>
      <c r="C1744" s="52">
        <v>674</v>
      </c>
      <c r="D1744" s="53" t="s">
        <v>4327</v>
      </c>
      <c r="E1744" s="54"/>
      <c r="F1744" s="52" t="str">
        <f>IF(INDEX(I.Performance.EndRange,674)="","",INDEX(I.Performance.EndRange,674))</f>
        <v/>
      </c>
      <c r="G1744" s="54"/>
      <c r="H1744" s="52" t="str">
        <f>IF(AND(I.Compliance.FulfilledPerformance&gt;0,I.Performance.RangeCount&gt;=674,F1744=""),"Incomplete","Complete")</f>
        <v>Complete</v>
      </c>
      <c r="I1744" s="55" t="s">
        <v>1942</v>
      </c>
    </row>
    <row r="1745" spans="2:9" ht="15" customHeight="1" x14ac:dyDescent="0.25">
      <c r="B1745" s="51" t="s">
        <v>125</v>
      </c>
      <c r="C1745" s="52">
        <v>675</v>
      </c>
      <c r="D1745" s="53" t="s">
        <v>4327</v>
      </c>
      <c r="E1745" s="54"/>
      <c r="F1745" s="52" t="str">
        <f>IF(INDEX(I.Performance.EndRange,675)="","",INDEX(I.Performance.EndRange,675))</f>
        <v/>
      </c>
      <c r="G1745" s="54"/>
      <c r="H1745" s="52" t="str">
        <f>IF(AND(I.Compliance.FulfilledPerformance&gt;0,I.Performance.RangeCount&gt;=675,F1745=""),"Incomplete","Complete")</f>
        <v>Complete</v>
      </c>
      <c r="I1745" s="55" t="s">
        <v>1943</v>
      </c>
    </row>
    <row r="1746" spans="2:9" ht="15" customHeight="1" x14ac:dyDescent="0.25">
      <c r="B1746" s="51" t="s">
        <v>125</v>
      </c>
      <c r="C1746" s="52">
        <v>676</v>
      </c>
      <c r="D1746" s="53" t="s">
        <v>4327</v>
      </c>
      <c r="E1746" s="54"/>
      <c r="F1746" s="52" t="str">
        <f>IF(INDEX(I.Performance.EndRange,676)="","",INDEX(I.Performance.EndRange,676))</f>
        <v/>
      </c>
      <c r="G1746" s="54"/>
      <c r="H1746" s="52" t="str">
        <f>IF(AND(I.Compliance.FulfilledPerformance&gt;0,I.Performance.RangeCount&gt;=676,F1746=""),"Incomplete","Complete")</f>
        <v>Complete</v>
      </c>
      <c r="I1746" s="55" t="s">
        <v>1944</v>
      </c>
    </row>
    <row r="1747" spans="2:9" ht="15" customHeight="1" x14ac:dyDescent="0.25">
      <c r="B1747" s="51" t="s">
        <v>125</v>
      </c>
      <c r="C1747" s="52">
        <v>677</v>
      </c>
      <c r="D1747" s="53" t="s">
        <v>4327</v>
      </c>
      <c r="E1747" s="54"/>
      <c r="F1747" s="52" t="str">
        <f>IF(INDEX(I.Performance.EndRange,677)="","",INDEX(I.Performance.EndRange,677))</f>
        <v/>
      </c>
      <c r="G1747" s="54"/>
      <c r="H1747" s="52" t="str">
        <f>IF(AND(I.Compliance.FulfilledPerformance&gt;0,I.Performance.RangeCount&gt;=677,F1747=""),"Incomplete","Complete")</f>
        <v>Complete</v>
      </c>
      <c r="I1747" s="55" t="s">
        <v>1945</v>
      </c>
    </row>
    <row r="1748" spans="2:9" ht="15" customHeight="1" x14ac:dyDescent="0.25">
      <c r="B1748" s="51" t="s">
        <v>125</v>
      </c>
      <c r="C1748" s="52">
        <v>678</v>
      </c>
      <c r="D1748" s="53" t="s">
        <v>4327</v>
      </c>
      <c r="E1748" s="54"/>
      <c r="F1748" s="52" t="str">
        <f>IF(INDEX(I.Performance.EndRange,678)="","",INDEX(I.Performance.EndRange,678))</f>
        <v/>
      </c>
      <c r="G1748" s="54"/>
      <c r="H1748" s="52" t="str">
        <f>IF(AND(I.Compliance.FulfilledPerformance&gt;0,I.Performance.RangeCount&gt;=678,F1748=""),"Incomplete","Complete")</f>
        <v>Complete</v>
      </c>
      <c r="I1748" s="55" t="s">
        <v>1946</v>
      </c>
    </row>
    <row r="1749" spans="2:9" ht="15" customHeight="1" x14ac:dyDescent="0.25">
      <c r="B1749" s="51" t="s">
        <v>125</v>
      </c>
      <c r="C1749" s="52">
        <v>679</v>
      </c>
      <c r="D1749" s="53" t="s">
        <v>4327</v>
      </c>
      <c r="E1749" s="54"/>
      <c r="F1749" s="52" t="str">
        <f>IF(INDEX(I.Performance.EndRange,679)="","",INDEX(I.Performance.EndRange,679))</f>
        <v/>
      </c>
      <c r="G1749" s="54"/>
      <c r="H1749" s="52" t="str">
        <f>IF(AND(I.Compliance.FulfilledPerformance&gt;0,I.Performance.RangeCount&gt;=679,F1749=""),"Incomplete","Complete")</f>
        <v>Complete</v>
      </c>
      <c r="I1749" s="55" t="s">
        <v>1947</v>
      </c>
    </row>
    <row r="1750" spans="2:9" ht="15" customHeight="1" x14ac:dyDescent="0.25">
      <c r="B1750" s="51" t="s">
        <v>125</v>
      </c>
      <c r="C1750" s="52">
        <v>680</v>
      </c>
      <c r="D1750" s="53" t="s">
        <v>4327</v>
      </c>
      <c r="E1750" s="54"/>
      <c r="F1750" s="52" t="str">
        <f>IF(INDEX(I.Performance.EndRange,680)="","",INDEX(I.Performance.EndRange,680))</f>
        <v/>
      </c>
      <c r="G1750" s="54"/>
      <c r="H1750" s="52" t="str">
        <f>IF(AND(I.Compliance.FulfilledPerformance&gt;0,I.Performance.RangeCount&gt;=680,F1750=""),"Incomplete","Complete")</f>
        <v>Complete</v>
      </c>
      <c r="I1750" s="55" t="s">
        <v>1948</v>
      </c>
    </row>
    <row r="1751" spans="2:9" ht="15" customHeight="1" x14ac:dyDescent="0.25">
      <c r="B1751" s="51" t="s">
        <v>125</v>
      </c>
      <c r="C1751" s="52">
        <v>681</v>
      </c>
      <c r="D1751" s="53" t="s">
        <v>4327</v>
      </c>
      <c r="E1751" s="54"/>
      <c r="F1751" s="52" t="str">
        <f>IF(INDEX(I.Performance.EndRange,681)="","",INDEX(I.Performance.EndRange,681))</f>
        <v/>
      </c>
      <c r="G1751" s="54"/>
      <c r="H1751" s="52" t="str">
        <f>IF(AND(I.Compliance.FulfilledPerformance&gt;0,I.Performance.RangeCount&gt;=681,F1751=""),"Incomplete","Complete")</f>
        <v>Complete</v>
      </c>
      <c r="I1751" s="55" t="s">
        <v>1949</v>
      </c>
    </row>
    <row r="1752" spans="2:9" ht="15" customHeight="1" x14ac:dyDescent="0.25">
      <c r="B1752" s="51" t="s">
        <v>125</v>
      </c>
      <c r="C1752" s="52">
        <v>682</v>
      </c>
      <c r="D1752" s="53" t="s">
        <v>4327</v>
      </c>
      <c r="E1752" s="54"/>
      <c r="F1752" s="52" t="str">
        <f>IF(INDEX(I.Performance.EndRange,682)="","",INDEX(I.Performance.EndRange,682))</f>
        <v/>
      </c>
      <c r="G1752" s="54"/>
      <c r="H1752" s="52" t="str">
        <f>IF(AND(I.Compliance.FulfilledPerformance&gt;0,I.Performance.RangeCount&gt;=682,F1752=""),"Incomplete","Complete")</f>
        <v>Complete</v>
      </c>
      <c r="I1752" s="55" t="s">
        <v>1950</v>
      </c>
    </row>
    <row r="1753" spans="2:9" ht="15" customHeight="1" x14ac:dyDescent="0.25">
      <c r="B1753" s="51" t="s">
        <v>125</v>
      </c>
      <c r="C1753" s="52">
        <v>683</v>
      </c>
      <c r="D1753" s="53" t="s">
        <v>4327</v>
      </c>
      <c r="E1753" s="54"/>
      <c r="F1753" s="52" t="str">
        <f>IF(INDEX(I.Performance.EndRange,683)="","",INDEX(I.Performance.EndRange,683))</f>
        <v/>
      </c>
      <c r="G1753" s="54"/>
      <c r="H1753" s="52" t="str">
        <f>IF(AND(I.Compliance.FulfilledPerformance&gt;0,I.Performance.RangeCount&gt;=683,F1753=""),"Incomplete","Complete")</f>
        <v>Complete</v>
      </c>
      <c r="I1753" s="55" t="s">
        <v>1951</v>
      </c>
    </row>
    <row r="1754" spans="2:9" ht="15" customHeight="1" x14ac:dyDescent="0.25">
      <c r="B1754" s="51" t="s">
        <v>125</v>
      </c>
      <c r="C1754" s="52">
        <v>684</v>
      </c>
      <c r="D1754" s="53" t="s">
        <v>4327</v>
      </c>
      <c r="E1754" s="54"/>
      <c r="F1754" s="52" t="str">
        <f>IF(INDEX(I.Performance.EndRange,684)="","",INDEX(I.Performance.EndRange,684))</f>
        <v/>
      </c>
      <c r="G1754" s="54"/>
      <c r="H1754" s="52" t="str">
        <f>IF(AND(I.Compliance.FulfilledPerformance&gt;0,I.Performance.RangeCount&gt;=684,F1754=""),"Incomplete","Complete")</f>
        <v>Complete</v>
      </c>
      <c r="I1754" s="55" t="s">
        <v>1952</v>
      </c>
    </row>
    <row r="1755" spans="2:9" ht="15" customHeight="1" x14ac:dyDescent="0.25">
      <c r="B1755" s="51" t="s">
        <v>125</v>
      </c>
      <c r="C1755" s="52">
        <v>685</v>
      </c>
      <c r="D1755" s="53" t="s">
        <v>4327</v>
      </c>
      <c r="E1755" s="54"/>
      <c r="F1755" s="52" t="str">
        <f>IF(INDEX(I.Performance.EndRange,685)="","",INDEX(I.Performance.EndRange,685))</f>
        <v/>
      </c>
      <c r="G1755" s="54"/>
      <c r="H1755" s="52" t="str">
        <f>IF(AND(I.Compliance.FulfilledPerformance&gt;0,I.Performance.RangeCount&gt;=685,F1755=""),"Incomplete","Complete")</f>
        <v>Complete</v>
      </c>
      <c r="I1755" s="55" t="s">
        <v>1953</v>
      </c>
    </row>
    <row r="1756" spans="2:9" ht="15" customHeight="1" x14ac:dyDescent="0.25">
      <c r="B1756" s="51" t="s">
        <v>125</v>
      </c>
      <c r="C1756" s="52">
        <v>686</v>
      </c>
      <c r="D1756" s="53" t="s">
        <v>4327</v>
      </c>
      <c r="E1756" s="54"/>
      <c r="F1756" s="52" t="str">
        <f>IF(INDEX(I.Performance.EndRange,686)="","",INDEX(I.Performance.EndRange,686))</f>
        <v/>
      </c>
      <c r="G1756" s="54"/>
      <c r="H1756" s="52" t="str">
        <f>IF(AND(I.Compliance.FulfilledPerformance&gt;0,I.Performance.RangeCount&gt;=686,F1756=""),"Incomplete","Complete")</f>
        <v>Complete</v>
      </c>
      <c r="I1756" s="55" t="s">
        <v>1954</v>
      </c>
    </row>
    <row r="1757" spans="2:9" ht="15" customHeight="1" x14ac:dyDescent="0.25">
      <c r="B1757" s="51" t="s">
        <v>125</v>
      </c>
      <c r="C1757" s="52">
        <v>687</v>
      </c>
      <c r="D1757" s="53" t="s">
        <v>4327</v>
      </c>
      <c r="E1757" s="54"/>
      <c r="F1757" s="52" t="str">
        <f>IF(INDEX(I.Performance.EndRange,687)="","",INDEX(I.Performance.EndRange,687))</f>
        <v/>
      </c>
      <c r="G1757" s="54"/>
      <c r="H1757" s="52" t="str">
        <f>IF(AND(I.Compliance.FulfilledPerformance&gt;0,I.Performance.RangeCount&gt;=687,F1757=""),"Incomplete","Complete")</f>
        <v>Complete</v>
      </c>
      <c r="I1757" s="55" t="s">
        <v>1955</v>
      </c>
    </row>
    <row r="1758" spans="2:9" ht="15" customHeight="1" x14ac:dyDescent="0.25">
      <c r="B1758" s="51" t="s">
        <v>125</v>
      </c>
      <c r="C1758" s="52">
        <v>688</v>
      </c>
      <c r="D1758" s="53" t="s">
        <v>4327</v>
      </c>
      <c r="E1758" s="54"/>
      <c r="F1758" s="52" t="str">
        <f>IF(INDEX(I.Performance.EndRange,688)="","",INDEX(I.Performance.EndRange,688))</f>
        <v/>
      </c>
      <c r="G1758" s="54"/>
      <c r="H1758" s="52" t="str">
        <f>IF(AND(I.Compliance.FulfilledPerformance&gt;0,I.Performance.RangeCount&gt;=688,F1758=""),"Incomplete","Complete")</f>
        <v>Complete</v>
      </c>
      <c r="I1758" s="55" t="s">
        <v>1956</v>
      </c>
    </row>
    <row r="1759" spans="2:9" ht="15" customHeight="1" x14ac:dyDescent="0.25">
      <c r="B1759" s="51" t="s">
        <v>125</v>
      </c>
      <c r="C1759" s="52">
        <v>689</v>
      </c>
      <c r="D1759" s="53" t="s">
        <v>4327</v>
      </c>
      <c r="E1759" s="54"/>
      <c r="F1759" s="52" t="str">
        <f>IF(INDEX(I.Performance.EndRange,689)="","",INDEX(I.Performance.EndRange,689))</f>
        <v/>
      </c>
      <c r="G1759" s="54"/>
      <c r="H1759" s="52" t="str">
        <f>IF(AND(I.Compliance.FulfilledPerformance&gt;0,I.Performance.RangeCount&gt;=689,F1759=""),"Incomplete","Complete")</f>
        <v>Complete</v>
      </c>
      <c r="I1759" s="55" t="s">
        <v>1957</v>
      </c>
    </row>
    <row r="1760" spans="2:9" ht="15" customHeight="1" x14ac:dyDescent="0.25">
      <c r="B1760" s="51" t="s">
        <v>125</v>
      </c>
      <c r="C1760" s="52">
        <v>690</v>
      </c>
      <c r="D1760" s="53" t="s">
        <v>4327</v>
      </c>
      <c r="E1760" s="54"/>
      <c r="F1760" s="52" t="str">
        <f>IF(INDEX(I.Performance.EndRange,690)="","",INDEX(I.Performance.EndRange,690))</f>
        <v/>
      </c>
      <c r="G1760" s="54"/>
      <c r="H1760" s="52" t="str">
        <f>IF(AND(I.Compliance.FulfilledPerformance&gt;0,I.Performance.RangeCount&gt;=690,F1760=""),"Incomplete","Complete")</f>
        <v>Complete</v>
      </c>
      <c r="I1760" s="55" t="s">
        <v>1958</v>
      </c>
    </row>
    <row r="1761" spans="2:9" ht="15" customHeight="1" x14ac:dyDescent="0.25">
      <c r="B1761" s="51" t="s">
        <v>125</v>
      </c>
      <c r="C1761" s="52">
        <v>691</v>
      </c>
      <c r="D1761" s="53" t="s">
        <v>4327</v>
      </c>
      <c r="E1761" s="54"/>
      <c r="F1761" s="52" t="str">
        <f>IF(INDEX(I.Performance.EndRange,691)="","",INDEX(I.Performance.EndRange,691))</f>
        <v/>
      </c>
      <c r="G1761" s="54"/>
      <c r="H1761" s="52" t="str">
        <f>IF(AND(I.Compliance.FulfilledPerformance&gt;0,I.Performance.RangeCount&gt;=691,F1761=""),"Incomplete","Complete")</f>
        <v>Complete</v>
      </c>
      <c r="I1761" s="55" t="s">
        <v>1959</v>
      </c>
    </row>
    <row r="1762" spans="2:9" ht="15" customHeight="1" x14ac:dyDescent="0.25">
      <c r="B1762" s="51" t="s">
        <v>125</v>
      </c>
      <c r="C1762" s="52">
        <v>692</v>
      </c>
      <c r="D1762" s="53" t="s">
        <v>4327</v>
      </c>
      <c r="E1762" s="54"/>
      <c r="F1762" s="52" t="str">
        <f>IF(INDEX(I.Performance.EndRange,692)="","",INDEX(I.Performance.EndRange,692))</f>
        <v/>
      </c>
      <c r="G1762" s="54"/>
      <c r="H1762" s="52" t="str">
        <f>IF(AND(I.Compliance.FulfilledPerformance&gt;0,I.Performance.RangeCount&gt;=692,F1762=""),"Incomplete","Complete")</f>
        <v>Complete</v>
      </c>
      <c r="I1762" s="55" t="s">
        <v>1960</v>
      </c>
    </row>
    <row r="1763" spans="2:9" ht="15" customHeight="1" x14ac:dyDescent="0.25">
      <c r="B1763" s="51" t="s">
        <v>125</v>
      </c>
      <c r="C1763" s="52">
        <v>693</v>
      </c>
      <c r="D1763" s="53" t="s">
        <v>4327</v>
      </c>
      <c r="E1763" s="54"/>
      <c r="F1763" s="52" t="str">
        <f>IF(INDEX(I.Performance.EndRange,693)="","",INDEX(I.Performance.EndRange,693))</f>
        <v/>
      </c>
      <c r="G1763" s="54"/>
      <c r="H1763" s="52" t="str">
        <f>IF(AND(I.Compliance.FulfilledPerformance&gt;0,I.Performance.RangeCount&gt;=693,F1763=""),"Incomplete","Complete")</f>
        <v>Complete</v>
      </c>
      <c r="I1763" s="55" t="s">
        <v>1961</v>
      </c>
    </row>
    <row r="1764" spans="2:9" ht="15" customHeight="1" x14ac:dyDescent="0.25">
      <c r="B1764" s="51" t="s">
        <v>125</v>
      </c>
      <c r="C1764" s="52">
        <v>694</v>
      </c>
      <c r="D1764" s="53" t="s">
        <v>4327</v>
      </c>
      <c r="E1764" s="54"/>
      <c r="F1764" s="52" t="str">
        <f>IF(INDEX(I.Performance.EndRange,694)="","",INDEX(I.Performance.EndRange,694))</f>
        <v/>
      </c>
      <c r="G1764" s="54"/>
      <c r="H1764" s="52" t="str">
        <f>IF(AND(I.Compliance.FulfilledPerformance&gt;0,I.Performance.RangeCount&gt;=694,F1764=""),"Incomplete","Complete")</f>
        <v>Complete</v>
      </c>
      <c r="I1764" s="55" t="s">
        <v>1962</v>
      </c>
    </row>
    <row r="1765" spans="2:9" ht="15" customHeight="1" x14ac:dyDescent="0.25">
      <c r="B1765" s="51" t="s">
        <v>125</v>
      </c>
      <c r="C1765" s="52">
        <v>695</v>
      </c>
      <c r="D1765" s="53" t="s">
        <v>4327</v>
      </c>
      <c r="E1765" s="54"/>
      <c r="F1765" s="52" t="str">
        <f>IF(INDEX(I.Performance.EndRange,695)="","",INDEX(I.Performance.EndRange,695))</f>
        <v/>
      </c>
      <c r="G1765" s="54"/>
      <c r="H1765" s="52" t="str">
        <f>IF(AND(I.Compliance.FulfilledPerformance&gt;0,I.Performance.RangeCount&gt;=695,F1765=""),"Incomplete","Complete")</f>
        <v>Complete</v>
      </c>
      <c r="I1765" s="55" t="s">
        <v>1963</v>
      </c>
    </row>
    <row r="1766" spans="2:9" ht="15" customHeight="1" x14ac:dyDescent="0.25">
      <c r="B1766" s="51" t="s">
        <v>125</v>
      </c>
      <c r="C1766" s="52">
        <v>696</v>
      </c>
      <c r="D1766" s="53" t="s">
        <v>4327</v>
      </c>
      <c r="E1766" s="54"/>
      <c r="F1766" s="52" t="str">
        <f>IF(INDEX(I.Performance.EndRange,696)="","",INDEX(I.Performance.EndRange,696))</f>
        <v/>
      </c>
      <c r="G1766" s="54"/>
      <c r="H1766" s="52" t="str">
        <f>IF(AND(I.Compliance.FulfilledPerformance&gt;0,I.Performance.RangeCount&gt;=696,F1766=""),"Incomplete","Complete")</f>
        <v>Complete</v>
      </c>
      <c r="I1766" s="55" t="s">
        <v>1964</v>
      </c>
    </row>
    <row r="1767" spans="2:9" ht="15" customHeight="1" x14ac:dyDescent="0.25">
      <c r="B1767" s="51" t="s">
        <v>125</v>
      </c>
      <c r="C1767" s="52">
        <v>697</v>
      </c>
      <c r="D1767" s="53" t="s">
        <v>4327</v>
      </c>
      <c r="E1767" s="54"/>
      <c r="F1767" s="52" t="str">
        <f>IF(INDEX(I.Performance.EndRange,697)="","",INDEX(I.Performance.EndRange,697))</f>
        <v/>
      </c>
      <c r="G1767" s="54"/>
      <c r="H1767" s="52" t="str">
        <f>IF(AND(I.Compliance.FulfilledPerformance&gt;0,I.Performance.RangeCount&gt;=697,F1767=""),"Incomplete","Complete")</f>
        <v>Complete</v>
      </c>
      <c r="I1767" s="55" t="s">
        <v>1965</v>
      </c>
    </row>
    <row r="1768" spans="2:9" ht="15" customHeight="1" x14ac:dyDescent="0.25">
      <c r="B1768" s="51" t="s">
        <v>125</v>
      </c>
      <c r="C1768" s="52">
        <v>698</v>
      </c>
      <c r="D1768" s="53" t="s">
        <v>4327</v>
      </c>
      <c r="E1768" s="54"/>
      <c r="F1768" s="52" t="str">
        <f>IF(INDEX(I.Performance.EndRange,698)="","",INDEX(I.Performance.EndRange,698))</f>
        <v/>
      </c>
      <c r="G1768" s="54"/>
      <c r="H1768" s="52" t="str">
        <f>IF(AND(I.Compliance.FulfilledPerformance&gt;0,I.Performance.RangeCount&gt;=698,F1768=""),"Incomplete","Complete")</f>
        <v>Complete</v>
      </c>
      <c r="I1768" s="55" t="s">
        <v>1966</v>
      </c>
    </row>
    <row r="1769" spans="2:9" ht="15" customHeight="1" x14ac:dyDescent="0.25">
      <c r="B1769" s="51" t="s">
        <v>125</v>
      </c>
      <c r="C1769" s="52">
        <v>699</v>
      </c>
      <c r="D1769" s="53" t="s">
        <v>4327</v>
      </c>
      <c r="E1769" s="54"/>
      <c r="F1769" s="52" t="str">
        <f>IF(INDEX(I.Performance.EndRange,699)="","",INDEX(I.Performance.EndRange,699))</f>
        <v/>
      </c>
      <c r="G1769" s="54"/>
      <c r="H1769" s="52" t="str">
        <f>IF(AND(I.Compliance.FulfilledPerformance&gt;0,I.Performance.RangeCount&gt;=699,F1769=""),"Incomplete","Complete")</f>
        <v>Complete</v>
      </c>
      <c r="I1769" s="55" t="s">
        <v>1967</v>
      </c>
    </row>
    <row r="1770" spans="2:9" ht="15" customHeight="1" x14ac:dyDescent="0.25">
      <c r="B1770" s="51" t="s">
        <v>125</v>
      </c>
      <c r="C1770" s="52">
        <v>700</v>
      </c>
      <c r="D1770" s="53" t="s">
        <v>4327</v>
      </c>
      <c r="E1770" s="54"/>
      <c r="F1770" s="52" t="str">
        <f>IF(INDEX(I.Performance.EndRange,700)="","",INDEX(I.Performance.EndRange,700))</f>
        <v/>
      </c>
      <c r="G1770" s="54"/>
      <c r="H1770" s="52" t="str">
        <f>IF(AND(I.Compliance.FulfilledPerformance&gt;0,I.Performance.RangeCount&gt;=700,F1770=""),"Incomplete","Complete")</f>
        <v>Complete</v>
      </c>
      <c r="I1770" s="55" t="s">
        <v>1968</v>
      </c>
    </row>
    <row r="1771" spans="2:9" ht="15" customHeight="1" x14ac:dyDescent="0.25">
      <c r="B1771" s="51" t="s">
        <v>125</v>
      </c>
      <c r="C1771" s="52">
        <v>701</v>
      </c>
      <c r="D1771" s="53" t="s">
        <v>4327</v>
      </c>
      <c r="E1771" s="54"/>
      <c r="F1771" s="52" t="str">
        <f>IF(INDEX(I.Performance.EndRange,701)="","",INDEX(I.Performance.EndRange,701))</f>
        <v/>
      </c>
      <c r="G1771" s="54"/>
      <c r="H1771" s="52" t="str">
        <f>IF(AND(I.Compliance.FulfilledPerformance&gt;0,I.Performance.RangeCount&gt;=701,F1771=""),"Incomplete","Complete")</f>
        <v>Complete</v>
      </c>
      <c r="I1771" s="55" t="s">
        <v>1969</v>
      </c>
    </row>
    <row r="1772" spans="2:9" ht="15" customHeight="1" x14ac:dyDescent="0.25">
      <c r="B1772" s="51" t="s">
        <v>125</v>
      </c>
      <c r="C1772" s="52">
        <v>702</v>
      </c>
      <c r="D1772" s="53" t="s">
        <v>4327</v>
      </c>
      <c r="E1772" s="54"/>
      <c r="F1772" s="52" t="str">
        <f>IF(INDEX(I.Performance.EndRange,702)="","",INDEX(I.Performance.EndRange,702))</f>
        <v/>
      </c>
      <c r="G1772" s="54"/>
      <c r="H1772" s="52" t="str">
        <f>IF(AND(I.Compliance.FulfilledPerformance&gt;0,I.Performance.RangeCount&gt;=702,F1772=""),"Incomplete","Complete")</f>
        <v>Complete</v>
      </c>
      <c r="I1772" s="55" t="s">
        <v>1970</v>
      </c>
    </row>
    <row r="1773" spans="2:9" ht="15" customHeight="1" x14ac:dyDescent="0.25">
      <c r="B1773" s="51" t="s">
        <v>125</v>
      </c>
      <c r="C1773" s="52">
        <v>703</v>
      </c>
      <c r="D1773" s="53" t="s">
        <v>4327</v>
      </c>
      <c r="E1773" s="54"/>
      <c r="F1773" s="52" t="str">
        <f>IF(INDEX(I.Performance.EndRange,703)="","",INDEX(I.Performance.EndRange,703))</f>
        <v/>
      </c>
      <c r="G1773" s="54"/>
      <c r="H1773" s="52" t="str">
        <f>IF(AND(I.Compliance.FulfilledPerformance&gt;0,I.Performance.RangeCount&gt;=703,F1773=""),"Incomplete","Complete")</f>
        <v>Complete</v>
      </c>
      <c r="I1773" s="55" t="s">
        <v>1971</v>
      </c>
    </row>
    <row r="1774" spans="2:9" ht="15" customHeight="1" x14ac:dyDescent="0.25">
      <c r="B1774" s="51" t="s">
        <v>125</v>
      </c>
      <c r="C1774" s="52">
        <v>704</v>
      </c>
      <c r="D1774" s="53" t="s">
        <v>4327</v>
      </c>
      <c r="E1774" s="54"/>
      <c r="F1774" s="52" t="str">
        <f>IF(INDEX(I.Performance.EndRange,704)="","",INDEX(I.Performance.EndRange,704))</f>
        <v/>
      </c>
      <c r="G1774" s="54"/>
      <c r="H1774" s="52" t="str">
        <f>IF(AND(I.Compliance.FulfilledPerformance&gt;0,I.Performance.RangeCount&gt;=704,F1774=""),"Incomplete","Complete")</f>
        <v>Complete</v>
      </c>
      <c r="I1774" s="55" t="s">
        <v>1972</v>
      </c>
    </row>
    <row r="1775" spans="2:9" ht="15" customHeight="1" x14ac:dyDescent="0.25">
      <c r="B1775" s="51" t="s">
        <v>125</v>
      </c>
      <c r="C1775" s="52">
        <v>705</v>
      </c>
      <c r="D1775" s="53" t="s">
        <v>4327</v>
      </c>
      <c r="E1775" s="54"/>
      <c r="F1775" s="52" t="str">
        <f>IF(INDEX(I.Performance.EndRange,705)="","",INDEX(I.Performance.EndRange,705))</f>
        <v/>
      </c>
      <c r="G1775" s="54"/>
      <c r="H1775" s="52" t="str">
        <f>IF(AND(I.Compliance.FulfilledPerformance&gt;0,I.Performance.RangeCount&gt;=705,F1775=""),"Incomplete","Complete")</f>
        <v>Complete</v>
      </c>
      <c r="I1775" s="55" t="s">
        <v>1973</v>
      </c>
    </row>
    <row r="1776" spans="2:9" ht="15" customHeight="1" x14ac:dyDescent="0.25">
      <c r="B1776" s="51" t="s">
        <v>125</v>
      </c>
      <c r="C1776" s="52">
        <v>706</v>
      </c>
      <c r="D1776" s="53" t="s">
        <v>4327</v>
      </c>
      <c r="E1776" s="54"/>
      <c r="F1776" s="52" t="str">
        <f>IF(INDEX(I.Performance.EndRange,706)="","",INDEX(I.Performance.EndRange,706))</f>
        <v/>
      </c>
      <c r="G1776" s="54"/>
      <c r="H1776" s="52" t="str">
        <f>IF(AND(I.Compliance.FulfilledPerformance&gt;0,I.Performance.RangeCount&gt;=706,F1776=""),"Incomplete","Complete")</f>
        <v>Complete</v>
      </c>
      <c r="I1776" s="55" t="s">
        <v>1974</v>
      </c>
    </row>
    <row r="1777" spans="2:9" ht="15" customHeight="1" x14ac:dyDescent="0.25">
      <c r="B1777" s="51" t="s">
        <v>125</v>
      </c>
      <c r="C1777" s="52">
        <v>707</v>
      </c>
      <c r="D1777" s="53" t="s">
        <v>4327</v>
      </c>
      <c r="E1777" s="54"/>
      <c r="F1777" s="52" t="str">
        <f>IF(INDEX(I.Performance.EndRange,707)="","",INDEX(I.Performance.EndRange,707))</f>
        <v/>
      </c>
      <c r="G1777" s="54"/>
      <c r="H1777" s="52" t="str">
        <f>IF(AND(I.Compliance.FulfilledPerformance&gt;0,I.Performance.RangeCount&gt;=707,F1777=""),"Incomplete","Complete")</f>
        <v>Complete</v>
      </c>
      <c r="I1777" s="55" t="s">
        <v>1975</v>
      </c>
    </row>
    <row r="1778" spans="2:9" ht="15" customHeight="1" x14ac:dyDescent="0.25">
      <c r="B1778" s="51" t="s">
        <v>125</v>
      </c>
      <c r="C1778" s="52">
        <v>708</v>
      </c>
      <c r="D1778" s="53" t="s">
        <v>4327</v>
      </c>
      <c r="E1778" s="54"/>
      <c r="F1778" s="52" t="str">
        <f>IF(INDEX(I.Performance.EndRange,708)="","",INDEX(I.Performance.EndRange,708))</f>
        <v/>
      </c>
      <c r="G1778" s="54"/>
      <c r="H1778" s="52" t="str">
        <f>IF(AND(I.Compliance.FulfilledPerformance&gt;0,I.Performance.RangeCount&gt;=708,F1778=""),"Incomplete","Complete")</f>
        <v>Complete</v>
      </c>
      <c r="I1778" s="55" t="s">
        <v>1976</v>
      </c>
    </row>
    <row r="1779" spans="2:9" ht="15" customHeight="1" x14ac:dyDescent="0.25">
      <c r="B1779" s="51" t="s">
        <v>125</v>
      </c>
      <c r="C1779" s="52">
        <v>709</v>
      </c>
      <c r="D1779" s="53" t="s">
        <v>4327</v>
      </c>
      <c r="E1779" s="54"/>
      <c r="F1779" s="52" t="str">
        <f>IF(INDEX(I.Performance.EndRange,709)="","",INDEX(I.Performance.EndRange,709))</f>
        <v/>
      </c>
      <c r="G1779" s="54"/>
      <c r="H1779" s="52" t="str">
        <f>IF(AND(I.Compliance.FulfilledPerformance&gt;0,I.Performance.RangeCount&gt;=709,F1779=""),"Incomplete","Complete")</f>
        <v>Complete</v>
      </c>
      <c r="I1779" s="55" t="s">
        <v>1977</v>
      </c>
    </row>
    <row r="1780" spans="2:9" ht="15" customHeight="1" x14ac:dyDescent="0.25">
      <c r="B1780" s="51" t="s">
        <v>125</v>
      </c>
      <c r="C1780" s="52">
        <v>710</v>
      </c>
      <c r="D1780" s="53" t="s">
        <v>4327</v>
      </c>
      <c r="E1780" s="54"/>
      <c r="F1780" s="52" t="str">
        <f>IF(INDEX(I.Performance.EndRange,710)="","",INDEX(I.Performance.EndRange,710))</f>
        <v/>
      </c>
      <c r="G1780" s="54"/>
      <c r="H1780" s="52" t="str">
        <f>IF(AND(I.Compliance.FulfilledPerformance&gt;0,I.Performance.RangeCount&gt;=710,F1780=""),"Incomplete","Complete")</f>
        <v>Complete</v>
      </c>
      <c r="I1780" s="55" t="s">
        <v>1978</v>
      </c>
    </row>
    <row r="1781" spans="2:9" ht="15" customHeight="1" x14ac:dyDescent="0.25">
      <c r="B1781" s="51" t="s">
        <v>125</v>
      </c>
      <c r="C1781" s="52">
        <v>711</v>
      </c>
      <c r="D1781" s="53" t="s">
        <v>4327</v>
      </c>
      <c r="E1781" s="54"/>
      <c r="F1781" s="52" t="str">
        <f>IF(INDEX(I.Performance.EndRange,711)="","",INDEX(I.Performance.EndRange,711))</f>
        <v/>
      </c>
      <c r="G1781" s="54"/>
      <c r="H1781" s="52" t="str">
        <f>IF(AND(I.Compliance.FulfilledPerformance&gt;0,I.Performance.RangeCount&gt;=711,F1781=""),"Incomplete","Complete")</f>
        <v>Complete</v>
      </c>
      <c r="I1781" s="55" t="s">
        <v>1979</v>
      </c>
    </row>
    <row r="1782" spans="2:9" ht="15" customHeight="1" x14ac:dyDescent="0.25">
      <c r="B1782" s="51" t="s">
        <v>125</v>
      </c>
      <c r="C1782" s="52">
        <v>712</v>
      </c>
      <c r="D1782" s="53" t="s">
        <v>4327</v>
      </c>
      <c r="E1782" s="54"/>
      <c r="F1782" s="52" t="str">
        <f>IF(INDEX(I.Performance.EndRange,712)="","",INDEX(I.Performance.EndRange,712))</f>
        <v/>
      </c>
      <c r="G1782" s="54"/>
      <c r="H1782" s="52" t="str">
        <f>IF(AND(I.Compliance.FulfilledPerformance&gt;0,I.Performance.RangeCount&gt;=712,F1782=""),"Incomplete","Complete")</f>
        <v>Complete</v>
      </c>
      <c r="I1782" s="55" t="s">
        <v>1980</v>
      </c>
    </row>
    <row r="1783" spans="2:9" ht="15" customHeight="1" x14ac:dyDescent="0.25">
      <c r="B1783" s="51" t="s">
        <v>125</v>
      </c>
      <c r="C1783" s="52">
        <v>713</v>
      </c>
      <c r="D1783" s="53" t="s">
        <v>4327</v>
      </c>
      <c r="E1783" s="54"/>
      <c r="F1783" s="52" t="str">
        <f>IF(INDEX(I.Performance.EndRange,713)="","",INDEX(I.Performance.EndRange,713))</f>
        <v/>
      </c>
      <c r="G1783" s="54"/>
      <c r="H1783" s="52" t="str">
        <f>IF(AND(I.Compliance.FulfilledPerformance&gt;0,I.Performance.RangeCount&gt;=713,F1783=""),"Incomplete","Complete")</f>
        <v>Complete</v>
      </c>
      <c r="I1783" s="55" t="s">
        <v>1981</v>
      </c>
    </row>
    <row r="1784" spans="2:9" ht="15" customHeight="1" x14ac:dyDescent="0.25">
      <c r="B1784" s="51" t="s">
        <v>125</v>
      </c>
      <c r="C1784" s="52">
        <v>714</v>
      </c>
      <c r="D1784" s="53" t="s">
        <v>4327</v>
      </c>
      <c r="E1784" s="54"/>
      <c r="F1784" s="52" t="str">
        <f>IF(INDEX(I.Performance.EndRange,714)="","",INDEX(I.Performance.EndRange,714))</f>
        <v/>
      </c>
      <c r="G1784" s="54"/>
      <c r="H1784" s="52" t="str">
        <f>IF(AND(I.Compliance.FulfilledPerformance&gt;0,I.Performance.RangeCount&gt;=714,F1784=""),"Incomplete","Complete")</f>
        <v>Complete</v>
      </c>
      <c r="I1784" s="55" t="s">
        <v>1982</v>
      </c>
    </row>
    <row r="1785" spans="2:9" ht="15" customHeight="1" x14ac:dyDescent="0.25">
      <c r="B1785" s="51" t="s">
        <v>125</v>
      </c>
      <c r="C1785" s="52">
        <v>715</v>
      </c>
      <c r="D1785" s="53" t="s">
        <v>4327</v>
      </c>
      <c r="E1785" s="54"/>
      <c r="F1785" s="52" t="str">
        <f>IF(INDEX(I.Performance.EndRange,715)="","",INDEX(I.Performance.EndRange,715))</f>
        <v/>
      </c>
      <c r="G1785" s="54"/>
      <c r="H1785" s="52" t="str">
        <f>IF(AND(I.Compliance.FulfilledPerformance&gt;0,I.Performance.RangeCount&gt;=715,F1785=""),"Incomplete","Complete")</f>
        <v>Complete</v>
      </c>
      <c r="I1785" s="55" t="s">
        <v>1983</v>
      </c>
    </row>
    <row r="1786" spans="2:9" ht="15" customHeight="1" x14ac:dyDescent="0.25">
      <c r="B1786" s="51" t="s">
        <v>125</v>
      </c>
      <c r="C1786" s="52">
        <v>716</v>
      </c>
      <c r="D1786" s="53" t="s">
        <v>4327</v>
      </c>
      <c r="E1786" s="54"/>
      <c r="F1786" s="52" t="str">
        <f>IF(INDEX(I.Performance.EndRange,716)="","",INDEX(I.Performance.EndRange,716))</f>
        <v/>
      </c>
      <c r="G1786" s="54"/>
      <c r="H1786" s="52" t="str">
        <f>IF(AND(I.Compliance.FulfilledPerformance&gt;0,I.Performance.RangeCount&gt;=716,F1786=""),"Incomplete","Complete")</f>
        <v>Complete</v>
      </c>
      <c r="I1786" s="55" t="s">
        <v>1984</v>
      </c>
    </row>
    <row r="1787" spans="2:9" ht="15" customHeight="1" x14ac:dyDescent="0.25">
      <c r="B1787" s="51" t="s">
        <v>125</v>
      </c>
      <c r="C1787" s="52">
        <v>717</v>
      </c>
      <c r="D1787" s="53" t="s">
        <v>4327</v>
      </c>
      <c r="E1787" s="54"/>
      <c r="F1787" s="52" t="str">
        <f>IF(INDEX(I.Performance.EndRange,717)="","",INDEX(I.Performance.EndRange,717))</f>
        <v/>
      </c>
      <c r="G1787" s="54"/>
      <c r="H1787" s="52" t="str">
        <f>IF(AND(I.Compliance.FulfilledPerformance&gt;0,I.Performance.RangeCount&gt;=717,F1787=""),"Incomplete","Complete")</f>
        <v>Complete</v>
      </c>
      <c r="I1787" s="55" t="s">
        <v>1985</v>
      </c>
    </row>
    <row r="1788" spans="2:9" ht="15" customHeight="1" x14ac:dyDescent="0.25">
      <c r="B1788" s="51" t="s">
        <v>125</v>
      </c>
      <c r="C1788" s="52">
        <v>718</v>
      </c>
      <c r="D1788" s="53" t="s">
        <v>4327</v>
      </c>
      <c r="E1788" s="54"/>
      <c r="F1788" s="52" t="str">
        <f>IF(INDEX(I.Performance.EndRange,718)="","",INDEX(I.Performance.EndRange,718))</f>
        <v/>
      </c>
      <c r="G1788" s="54"/>
      <c r="H1788" s="52" t="str">
        <f>IF(AND(I.Compliance.FulfilledPerformance&gt;0,I.Performance.RangeCount&gt;=718,F1788=""),"Incomplete","Complete")</f>
        <v>Complete</v>
      </c>
      <c r="I1788" s="55" t="s">
        <v>1986</v>
      </c>
    </row>
    <row r="1789" spans="2:9" ht="15" customHeight="1" x14ac:dyDescent="0.25">
      <c r="B1789" s="51" t="s">
        <v>125</v>
      </c>
      <c r="C1789" s="52">
        <v>719</v>
      </c>
      <c r="D1789" s="53" t="s">
        <v>4327</v>
      </c>
      <c r="E1789" s="54"/>
      <c r="F1789" s="52" t="str">
        <f>IF(INDEX(I.Performance.EndRange,719)="","",INDEX(I.Performance.EndRange,719))</f>
        <v/>
      </c>
      <c r="G1789" s="54"/>
      <c r="H1789" s="52" t="str">
        <f>IF(AND(I.Compliance.FulfilledPerformance&gt;0,I.Performance.RangeCount&gt;=719,F1789=""),"Incomplete","Complete")</f>
        <v>Complete</v>
      </c>
      <c r="I1789" s="55" t="s">
        <v>1987</v>
      </c>
    </row>
    <row r="1790" spans="2:9" ht="15" customHeight="1" x14ac:dyDescent="0.25">
      <c r="B1790" s="51" t="s">
        <v>125</v>
      </c>
      <c r="C1790" s="52">
        <v>720</v>
      </c>
      <c r="D1790" s="53" t="s">
        <v>4327</v>
      </c>
      <c r="E1790" s="54"/>
      <c r="F1790" s="52" t="str">
        <f>IF(INDEX(I.Performance.EndRange,720)="","",INDEX(I.Performance.EndRange,720))</f>
        <v/>
      </c>
      <c r="G1790" s="54"/>
      <c r="H1790" s="52" t="str">
        <f>IF(AND(I.Compliance.FulfilledPerformance&gt;0,I.Performance.RangeCount&gt;=720,F1790=""),"Incomplete","Complete")</f>
        <v>Complete</v>
      </c>
      <c r="I1790" s="55" t="s">
        <v>1988</v>
      </c>
    </row>
    <row r="1791" spans="2:9" ht="15" customHeight="1" x14ac:dyDescent="0.25">
      <c r="B1791" s="51" t="s">
        <v>125</v>
      </c>
      <c r="C1791" s="52">
        <v>721</v>
      </c>
      <c r="D1791" s="53" t="s">
        <v>4327</v>
      </c>
      <c r="E1791" s="54"/>
      <c r="F1791" s="52" t="str">
        <f>IF(INDEX(I.Performance.EndRange,721)="","",INDEX(I.Performance.EndRange,721))</f>
        <v/>
      </c>
      <c r="G1791" s="54"/>
      <c r="H1791" s="52" t="str">
        <f>IF(AND(I.Compliance.FulfilledPerformance&gt;0,I.Performance.RangeCount&gt;=721,F1791=""),"Incomplete","Complete")</f>
        <v>Complete</v>
      </c>
      <c r="I1791" s="55" t="s">
        <v>1989</v>
      </c>
    </row>
    <row r="1792" spans="2:9" ht="15" customHeight="1" x14ac:dyDescent="0.25">
      <c r="B1792" s="51" t="s">
        <v>125</v>
      </c>
      <c r="C1792" s="52">
        <v>722</v>
      </c>
      <c r="D1792" s="53" t="s">
        <v>4327</v>
      </c>
      <c r="E1792" s="54"/>
      <c r="F1792" s="52" t="str">
        <f>IF(INDEX(I.Performance.EndRange,722)="","",INDEX(I.Performance.EndRange,722))</f>
        <v/>
      </c>
      <c r="G1792" s="54"/>
      <c r="H1792" s="52" t="str">
        <f>IF(AND(I.Compliance.FulfilledPerformance&gt;0,I.Performance.RangeCount&gt;=722,F1792=""),"Incomplete","Complete")</f>
        <v>Complete</v>
      </c>
      <c r="I1792" s="55" t="s">
        <v>1990</v>
      </c>
    </row>
    <row r="1793" spans="2:9" ht="15" customHeight="1" x14ac:dyDescent="0.25">
      <c r="B1793" s="51" t="s">
        <v>125</v>
      </c>
      <c r="C1793" s="52">
        <v>723</v>
      </c>
      <c r="D1793" s="53" t="s">
        <v>4327</v>
      </c>
      <c r="E1793" s="54"/>
      <c r="F1793" s="52" t="str">
        <f>IF(INDEX(I.Performance.EndRange,723)="","",INDEX(I.Performance.EndRange,723))</f>
        <v/>
      </c>
      <c r="G1793" s="54"/>
      <c r="H1793" s="52" t="str">
        <f>IF(AND(I.Compliance.FulfilledPerformance&gt;0,I.Performance.RangeCount&gt;=723,F1793=""),"Incomplete","Complete")</f>
        <v>Complete</v>
      </c>
      <c r="I1793" s="55" t="s">
        <v>1991</v>
      </c>
    </row>
    <row r="1794" spans="2:9" ht="15" customHeight="1" x14ac:dyDescent="0.25">
      <c r="B1794" s="51" t="s">
        <v>125</v>
      </c>
      <c r="C1794" s="52">
        <v>724</v>
      </c>
      <c r="D1794" s="53" t="s">
        <v>4327</v>
      </c>
      <c r="E1794" s="54"/>
      <c r="F1794" s="52" t="str">
        <f>IF(INDEX(I.Performance.EndRange,724)="","",INDEX(I.Performance.EndRange,724))</f>
        <v/>
      </c>
      <c r="G1794" s="54"/>
      <c r="H1794" s="52" t="str">
        <f>IF(AND(I.Compliance.FulfilledPerformance&gt;0,I.Performance.RangeCount&gt;=724,F1794=""),"Incomplete","Complete")</f>
        <v>Complete</v>
      </c>
      <c r="I1794" s="55" t="s">
        <v>1992</v>
      </c>
    </row>
    <row r="1795" spans="2:9" ht="15" customHeight="1" x14ac:dyDescent="0.25">
      <c r="B1795" s="51" t="s">
        <v>125</v>
      </c>
      <c r="C1795" s="52">
        <v>725</v>
      </c>
      <c r="D1795" s="53" t="s">
        <v>4327</v>
      </c>
      <c r="E1795" s="54"/>
      <c r="F1795" s="52" t="str">
        <f>IF(INDEX(I.Performance.EndRange,725)="","",INDEX(I.Performance.EndRange,725))</f>
        <v/>
      </c>
      <c r="G1795" s="54"/>
      <c r="H1795" s="52" t="str">
        <f>IF(AND(I.Compliance.FulfilledPerformance&gt;0,I.Performance.RangeCount&gt;=725,F1795=""),"Incomplete","Complete")</f>
        <v>Complete</v>
      </c>
      <c r="I1795" s="55" t="s">
        <v>1993</v>
      </c>
    </row>
    <row r="1796" spans="2:9" ht="15" customHeight="1" x14ac:dyDescent="0.25">
      <c r="B1796" s="51" t="s">
        <v>125</v>
      </c>
      <c r="C1796" s="52">
        <v>726</v>
      </c>
      <c r="D1796" s="53" t="s">
        <v>4327</v>
      </c>
      <c r="E1796" s="54"/>
      <c r="F1796" s="52" t="str">
        <f>IF(INDEX(I.Performance.EndRange,726)="","",INDEX(I.Performance.EndRange,726))</f>
        <v/>
      </c>
      <c r="G1796" s="54"/>
      <c r="H1796" s="52" t="str">
        <f>IF(AND(I.Compliance.FulfilledPerformance&gt;0,I.Performance.RangeCount&gt;=726,F1796=""),"Incomplete","Complete")</f>
        <v>Complete</v>
      </c>
      <c r="I1796" s="55" t="s">
        <v>1994</v>
      </c>
    </row>
    <row r="1797" spans="2:9" ht="15" customHeight="1" x14ac:dyDescent="0.25">
      <c r="B1797" s="51" t="s">
        <v>125</v>
      </c>
      <c r="C1797" s="52">
        <v>727</v>
      </c>
      <c r="D1797" s="53" t="s">
        <v>4327</v>
      </c>
      <c r="E1797" s="54"/>
      <c r="F1797" s="52" t="str">
        <f>IF(INDEX(I.Performance.EndRange,727)="","",INDEX(I.Performance.EndRange,727))</f>
        <v/>
      </c>
      <c r="G1797" s="54"/>
      <c r="H1797" s="52" t="str">
        <f>IF(AND(I.Compliance.FulfilledPerformance&gt;0,I.Performance.RangeCount&gt;=727,F1797=""),"Incomplete","Complete")</f>
        <v>Complete</v>
      </c>
      <c r="I1797" s="55" t="s">
        <v>1995</v>
      </c>
    </row>
    <row r="1798" spans="2:9" ht="15" customHeight="1" x14ac:dyDescent="0.25">
      <c r="B1798" s="51" t="s">
        <v>125</v>
      </c>
      <c r="C1798" s="52">
        <v>728</v>
      </c>
      <c r="D1798" s="53" t="s">
        <v>4327</v>
      </c>
      <c r="E1798" s="54"/>
      <c r="F1798" s="52" t="str">
        <f>IF(INDEX(I.Performance.EndRange,728)="","",INDEX(I.Performance.EndRange,728))</f>
        <v/>
      </c>
      <c r="G1798" s="54"/>
      <c r="H1798" s="52" t="str">
        <f>IF(AND(I.Compliance.FulfilledPerformance&gt;0,I.Performance.RangeCount&gt;=728,F1798=""),"Incomplete","Complete")</f>
        <v>Complete</v>
      </c>
      <c r="I1798" s="55" t="s">
        <v>1996</v>
      </c>
    </row>
    <row r="1799" spans="2:9" ht="15" customHeight="1" x14ac:dyDescent="0.25">
      <c r="B1799" s="51" t="s">
        <v>125</v>
      </c>
      <c r="C1799" s="52">
        <v>729</v>
      </c>
      <c r="D1799" s="53" t="s">
        <v>4327</v>
      </c>
      <c r="E1799" s="54"/>
      <c r="F1799" s="52" t="str">
        <f>IF(INDEX(I.Performance.EndRange,729)="","",INDEX(I.Performance.EndRange,729))</f>
        <v/>
      </c>
      <c r="G1799" s="54"/>
      <c r="H1799" s="52" t="str">
        <f>IF(AND(I.Compliance.FulfilledPerformance&gt;0,I.Performance.RangeCount&gt;=729,F1799=""),"Incomplete","Complete")</f>
        <v>Complete</v>
      </c>
      <c r="I1799" s="55" t="s">
        <v>1997</v>
      </c>
    </row>
    <row r="1800" spans="2:9" ht="15" customHeight="1" x14ac:dyDescent="0.25">
      <c r="B1800" s="51" t="s">
        <v>125</v>
      </c>
      <c r="C1800" s="52">
        <v>730</v>
      </c>
      <c r="D1800" s="53" t="s">
        <v>4327</v>
      </c>
      <c r="E1800" s="54"/>
      <c r="F1800" s="52" t="str">
        <f>IF(INDEX(I.Performance.EndRange,730)="","",INDEX(I.Performance.EndRange,730))</f>
        <v/>
      </c>
      <c r="G1800" s="54"/>
      <c r="H1800" s="52" t="str">
        <f>IF(AND(I.Compliance.FulfilledPerformance&gt;0,I.Performance.RangeCount&gt;=730,F1800=""),"Incomplete","Complete")</f>
        <v>Complete</v>
      </c>
      <c r="I1800" s="55" t="s">
        <v>1998</v>
      </c>
    </row>
    <row r="1801" spans="2:9" ht="15" customHeight="1" x14ac:dyDescent="0.25">
      <c r="B1801" s="51" t="s">
        <v>125</v>
      </c>
      <c r="C1801" s="52">
        <v>731</v>
      </c>
      <c r="D1801" s="53" t="s">
        <v>4327</v>
      </c>
      <c r="E1801" s="54"/>
      <c r="F1801" s="52" t="str">
        <f>IF(INDEX(I.Performance.EndRange,731)="","",INDEX(I.Performance.EndRange,731))</f>
        <v/>
      </c>
      <c r="G1801" s="54"/>
      <c r="H1801" s="52" t="str">
        <f>IF(AND(I.Compliance.FulfilledPerformance&gt;0,I.Performance.RangeCount&gt;=731,F1801=""),"Incomplete","Complete")</f>
        <v>Complete</v>
      </c>
      <c r="I1801" s="55" t="s">
        <v>1999</v>
      </c>
    </row>
    <row r="1802" spans="2:9" ht="15" customHeight="1" x14ac:dyDescent="0.25">
      <c r="B1802" s="51" t="s">
        <v>125</v>
      </c>
      <c r="C1802" s="52">
        <v>732</v>
      </c>
      <c r="D1802" s="53" t="s">
        <v>4327</v>
      </c>
      <c r="E1802" s="54"/>
      <c r="F1802" s="52" t="str">
        <f>IF(INDEX(I.Performance.EndRange,732)="","",INDEX(I.Performance.EndRange,732))</f>
        <v/>
      </c>
      <c r="G1802" s="54"/>
      <c r="H1802" s="52" t="str">
        <f>IF(AND(I.Compliance.FulfilledPerformance&gt;0,I.Performance.RangeCount&gt;=732,F1802=""),"Incomplete","Complete")</f>
        <v>Complete</v>
      </c>
      <c r="I1802" s="55" t="s">
        <v>2000</v>
      </c>
    </row>
    <row r="1803" spans="2:9" ht="15" customHeight="1" x14ac:dyDescent="0.25">
      <c r="B1803" s="51" t="s">
        <v>125</v>
      </c>
      <c r="C1803" s="52">
        <v>733</v>
      </c>
      <c r="D1803" s="53" t="s">
        <v>4327</v>
      </c>
      <c r="E1803" s="54"/>
      <c r="F1803" s="52" t="str">
        <f>IF(INDEX(I.Performance.EndRange,733)="","",INDEX(I.Performance.EndRange,733))</f>
        <v/>
      </c>
      <c r="G1803" s="54"/>
      <c r="H1803" s="52" t="str">
        <f>IF(AND(I.Compliance.FulfilledPerformance&gt;0,I.Performance.RangeCount&gt;=733,F1803=""),"Incomplete","Complete")</f>
        <v>Complete</v>
      </c>
      <c r="I1803" s="55" t="s">
        <v>2001</v>
      </c>
    </row>
    <row r="1804" spans="2:9" ht="15" customHeight="1" x14ac:dyDescent="0.25">
      <c r="B1804" s="51" t="s">
        <v>125</v>
      </c>
      <c r="C1804" s="52">
        <v>734</v>
      </c>
      <c r="D1804" s="53" t="s">
        <v>4327</v>
      </c>
      <c r="E1804" s="54"/>
      <c r="F1804" s="52" t="str">
        <f>IF(INDEX(I.Performance.EndRange,734)="","",INDEX(I.Performance.EndRange,734))</f>
        <v/>
      </c>
      <c r="G1804" s="54"/>
      <c r="H1804" s="52" t="str">
        <f>IF(AND(I.Compliance.FulfilledPerformance&gt;0,I.Performance.RangeCount&gt;=734,F1804=""),"Incomplete","Complete")</f>
        <v>Complete</v>
      </c>
      <c r="I1804" s="55" t="s">
        <v>2002</v>
      </c>
    </row>
    <row r="1805" spans="2:9" ht="15" customHeight="1" x14ac:dyDescent="0.25">
      <c r="B1805" s="51" t="s">
        <v>125</v>
      </c>
      <c r="C1805" s="52">
        <v>735</v>
      </c>
      <c r="D1805" s="53" t="s">
        <v>4327</v>
      </c>
      <c r="E1805" s="54"/>
      <c r="F1805" s="52" t="str">
        <f>IF(INDEX(I.Performance.EndRange,735)="","",INDEX(I.Performance.EndRange,735))</f>
        <v/>
      </c>
      <c r="G1805" s="54"/>
      <c r="H1805" s="52" t="str">
        <f>IF(AND(I.Compliance.FulfilledPerformance&gt;0,I.Performance.RangeCount&gt;=735,F1805=""),"Incomplete","Complete")</f>
        <v>Complete</v>
      </c>
      <c r="I1805" s="55" t="s">
        <v>2003</v>
      </c>
    </row>
    <row r="1806" spans="2:9" ht="15" customHeight="1" x14ac:dyDescent="0.25">
      <c r="B1806" s="51" t="s">
        <v>125</v>
      </c>
      <c r="C1806" s="52">
        <v>736</v>
      </c>
      <c r="D1806" s="53" t="s">
        <v>4327</v>
      </c>
      <c r="E1806" s="54"/>
      <c r="F1806" s="52" t="str">
        <f>IF(INDEX(I.Performance.EndRange,736)="","",INDEX(I.Performance.EndRange,736))</f>
        <v/>
      </c>
      <c r="G1806" s="54"/>
      <c r="H1806" s="52" t="str">
        <f>IF(AND(I.Compliance.FulfilledPerformance&gt;0,I.Performance.RangeCount&gt;=736,F1806=""),"Incomplete","Complete")</f>
        <v>Complete</v>
      </c>
      <c r="I1806" s="55" t="s">
        <v>2004</v>
      </c>
    </row>
    <row r="1807" spans="2:9" ht="15" customHeight="1" x14ac:dyDescent="0.25">
      <c r="B1807" s="51" t="s">
        <v>125</v>
      </c>
      <c r="C1807" s="52">
        <v>737</v>
      </c>
      <c r="D1807" s="53" t="s">
        <v>4327</v>
      </c>
      <c r="E1807" s="54"/>
      <c r="F1807" s="52" t="str">
        <f>IF(INDEX(I.Performance.EndRange,737)="","",INDEX(I.Performance.EndRange,737))</f>
        <v/>
      </c>
      <c r="G1807" s="54"/>
      <c r="H1807" s="52" t="str">
        <f>IF(AND(I.Compliance.FulfilledPerformance&gt;0,I.Performance.RangeCount&gt;=737,F1807=""),"Incomplete","Complete")</f>
        <v>Complete</v>
      </c>
      <c r="I1807" s="55" t="s">
        <v>2005</v>
      </c>
    </row>
    <row r="1808" spans="2:9" ht="15" customHeight="1" x14ac:dyDescent="0.25">
      <c r="B1808" s="51" t="s">
        <v>125</v>
      </c>
      <c r="C1808" s="52">
        <v>738</v>
      </c>
      <c r="D1808" s="53" t="s">
        <v>4327</v>
      </c>
      <c r="E1808" s="54"/>
      <c r="F1808" s="52" t="str">
        <f>IF(INDEX(I.Performance.EndRange,738)="","",INDEX(I.Performance.EndRange,738))</f>
        <v/>
      </c>
      <c r="G1808" s="54"/>
      <c r="H1808" s="52" t="str">
        <f>IF(AND(I.Compliance.FulfilledPerformance&gt;0,I.Performance.RangeCount&gt;=738,F1808=""),"Incomplete","Complete")</f>
        <v>Complete</v>
      </c>
      <c r="I1808" s="55" t="s">
        <v>2006</v>
      </c>
    </row>
    <row r="1809" spans="2:9" ht="15" customHeight="1" x14ac:dyDescent="0.25">
      <c r="B1809" s="51" t="s">
        <v>125</v>
      </c>
      <c r="C1809" s="52">
        <v>739</v>
      </c>
      <c r="D1809" s="53" t="s">
        <v>4327</v>
      </c>
      <c r="E1809" s="54"/>
      <c r="F1809" s="52" t="str">
        <f>IF(INDEX(I.Performance.EndRange,739)="","",INDEX(I.Performance.EndRange,739))</f>
        <v/>
      </c>
      <c r="G1809" s="54"/>
      <c r="H1809" s="52" t="str">
        <f>IF(AND(I.Compliance.FulfilledPerformance&gt;0,I.Performance.RangeCount&gt;=739,F1809=""),"Incomplete","Complete")</f>
        <v>Complete</v>
      </c>
      <c r="I1809" s="55" t="s">
        <v>2007</v>
      </c>
    </row>
    <row r="1810" spans="2:9" ht="15" customHeight="1" x14ac:dyDescent="0.25">
      <c r="B1810" s="51" t="s">
        <v>125</v>
      </c>
      <c r="C1810" s="52">
        <v>740</v>
      </c>
      <c r="D1810" s="53" t="s">
        <v>4327</v>
      </c>
      <c r="E1810" s="54"/>
      <c r="F1810" s="52" t="str">
        <f>IF(INDEX(I.Performance.EndRange,740)="","",INDEX(I.Performance.EndRange,740))</f>
        <v/>
      </c>
      <c r="G1810" s="54"/>
      <c r="H1810" s="52" t="str">
        <f>IF(AND(I.Compliance.FulfilledPerformance&gt;0,I.Performance.RangeCount&gt;=740,F1810=""),"Incomplete","Complete")</f>
        <v>Complete</v>
      </c>
      <c r="I1810" s="55" t="s">
        <v>2008</v>
      </c>
    </row>
    <row r="1811" spans="2:9" ht="15" customHeight="1" x14ac:dyDescent="0.25">
      <c r="B1811" s="51" t="s">
        <v>125</v>
      </c>
      <c r="C1811" s="52">
        <v>741</v>
      </c>
      <c r="D1811" s="53" t="s">
        <v>4327</v>
      </c>
      <c r="E1811" s="54"/>
      <c r="F1811" s="52" t="str">
        <f>IF(INDEX(I.Performance.EndRange,741)="","",INDEX(I.Performance.EndRange,741))</f>
        <v/>
      </c>
      <c r="G1811" s="54"/>
      <c r="H1811" s="52" t="str">
        <f>IF(AND(I.Compliance.FulfilledPerformance&gt;0,I.Performance.RangeCount&gt;=741,F1811=""),"Incomplete","Complete")</f>
        <v>Complete</v>
      </c>
      <c r="I1811" s="55" t="s">
        <v>2009</v>
      </c>
    </row>
    <row r="1812" spans="2:9" ht="15" customHeight="1" x14ac:dyDescent="0.25">
      <c r="B1812" s="51" t="s">
        <v>125</v>
      </c>
      <c r="C1812" s="52">
        <v>742</v>
      </c>
      <c r="D1812" s="53" t="s">
        <v>4327</v>
      </c>
      <c r="E1812" s="54"/>
      <c r="F1812" s="52" t="str">
        <f>IF(INDEX(I.Performance.EndRange,742)="","",INDEX(I.Performance.EndRange,742))</f>
        <v/>
      </c>
      <c r="G1812" s="54"/>
      <c r="H1812" s="52" t="str">
        <f>IF(AND(I.Compliance.FulfilledPerformance&gt;0,I.Performance.RangeCount&gt;=742,F1812=""),"Incomplete","Complete")</f>
        <v>Complete</v>
      </c>
      <c r="I1812" s="55" t="s">
        <v>2010</v>
      </c>
    </row>
    <row r="1813" spans="2:9" ht="15" customHeight="1" x14ac:dyDescent="0.25">
      <c r="B1813" s="51" t="s">
        <v>125</v>
      </c>
      <c r="C1813" s="52">
        <v>743</v>
      </c>
      <c r="D1813" s="53" t="s">
        <v>4327</v>
      </c>
      <c r="E1813" s="54"/>
      <c r="F1813" s="52" t="str">
        <f>IF(INDEX(I.Performance.EndRange,743)="","",INDEX(I.Performance.EndRange,743))</f>
        <v/>
      </c>
      <c r="G1813" s="54"/>
      <c r="H1813" s="52" t="str">
        <f>IF(AND(I.Compliance.FulfilledPerformance&gt;0,I.Performance.RangeCount&gt;=743,F1813=""),"Incomplete","Complete")</f>
        <v>Complete</v>
      </c>
      <c r="I1813" s="55" t="s">
        <v>2011</v>
      </c>
    </row>
    <row r="1814" spans="2:9" ht="15" customHeight="1" x14ac:dyDescent="0.25">
      <c r="B1814" s="51" t="s">
        <v>125</v>
      </c>
      <c r="C1814" s="52">
        <v>744</v>
      </c>
      <c r="D1814" s="53" t="s">
        <v>4327</v>
      </c>
      <c r="E1814" s="54"/>
      <c r="F1814" s="52" t="str">
        <f>IF(INDEX(I.Performance.EndRange,744)="","",INDEX(I.Performance.EndRange,744))</f>
        <v/>
      </c>
      <c r="G1814" s="54"/>
      <c r="H1814" s="52" t="str">
        <f>IF(AND(I.Compliance.FulfilledPerformance&gt;0,I.Performance.RangeCount&gt;=744,F1814=""),"Incomplete","Complete")</f>
        <v>Complete</v>
      </c>
      <c r="I1814" s="55" t="s">
        <v>2012</v>
      </c>
    </row>
    <row r="1815" spans="2:9" ht="15" customHeight="1" x14ac:dyDescent="0.25">
      <c r="B1815" s="51" t="s">
        <v>125</v>
      </c>
      <c r="C1815" s="52">
        <v>745</v>
      </c>
      <c r="D1815" s="53" t="s">
        <v>4327</v>
      </c>
      <c r="E1815" s="54"/>
      <c r="F1815" s="52" t="str">
        <f>IF(INDEX(I.Performance.EndRange,745)="","",INDEX(I.Performance.EndRange,745))</f>
        <v/>
      </c>
      <c r="G1815" s="54"/>
      <c r="H1815" s="52" t="str">
        <f>IF(AND(I.Compliance.FulfilledPerformance&gt;0,I.Performance.RangeCount&gt;=745,F1815=""),"Incomplete","Complete")</f>
        <v>Complete</v>
      </c>
      <c r="I1815" s="55" t="s">
        <v>2013</v>
      </c>
    </row>
    <row r="1816" spans="2:9" ht="15" customHeight="1" x14ac:dyDescent="0.25">
      <c r="B1816" s="51" t="s">
        <v>125</v>
      </c>
      <c r="C1816" s="52">
        <v>746</v>
      </c>
      <c r="D1816" s="53" t="s">
        <v>4327</v>
      </c>
      <c r="E1816" s="54"/>
      <c r="F1816" s="52" t="str">
        <f>IF(INDEX(I.Performance.EndRange,746)="","",INDEX(I.Performance.EndRange,746))</f>
        <v/>
      </c>
      <c r="G1816" s="54"/>
      <c r="H1816" s="52" t="str">
        <f>IF(AND(I.Compliance.FulfilledPerformance&gt;0,I.Performance.RangeCount&gt;=746,F1816=""),"Incomplete","Complete")</f>
        <v>Complete</v>
      </c>
      <c r="I1816" s="55" t="s">
        <v>2014</v>
      </c>
    </row>
    <row r="1817" spans="2:9" ht="15" customHeight="1" x14ac:dyDescent="0.25">
      <c r="B1817" s="51" t="s">
        <v>125</v>
      </c>
      <c r="C1817" s="52">
        <v>747</v>
      </c>
      <c r="D1817" s="53" t="s">
        <v>4327</v>
      </c>
      <c r="E1817" s="54"/>
      <c r="F1817" s="52" t="str">
        <f>IF(INDEX(I.Performance.EndRange,747)="","",INDEX(I.Performance.EndRange,747))</f>
        <v/>
      </c>
      <c r="G1817" s="54"/>
      <c r="H1817" s="52" t="str">
        <f>IF(AND(I.Compliance.FulfilledPerformance&gt;0,I.Performance.RangeCount&gt;=747,F1817=""),"Incomplete","Complete")</f>
        <v>Complete</v>
      </c>
      <c r="I1817" s="55" t="s">
        <v>2015</v>
      </c>
    </row>
    <row r="1818" spans="2:9" ht="15" customHeight="1" x14ac:dyDescent="0.25">
      <c r="B1818" s="51" t="s">
        <v>125</v>
      </c>
      <c r="C1818" s="52">
        <v>748</v>
      </c>
      <c r="D1818" s="53" t="s">
        <v>4327</v>
      </c>
      <c r="E1818" s="54"/>
      <c r="F1818" s="52" t="str">
        <f>IF(INDEX(I.Performance.EndRange,748)="","",INDEX(I.Performance.EndRange,748))</f>
        <v/>
      </c>
      <c r="G1818" s="54"/>
      <c r="H1818" s="52" t="str">
        <f>IF(AND(I.Compliance.FulfilledPerformance&gt;0,I.Performance.RangeCount&gt;=748,F1818=""),"Incomplete","Complete")</f>
        <v>Complete</v>
      </c>
      <c r="I1818" s="55" t="s">
        <v>2016</v>
      </c>
    </row>
    <row r="1819" spans="2:9" ht="15" customHeight="1" x14ac:dyDescent="0.25">
      <c r="B1819" s="51" t="s">
        <v>125</v>
      </c>
      <c r="C1819" s="52">
        <v>749</v>
      </c>
      <c r="D1819" s="53" t="s">
        <v>4327</v>
      </c>
      <c r="E1819" s="54"/>
      <c r="F1819" s="52" t="str">
        <f>IF(INDEX(I.Performance.EndRange,749)="","",INDEX(I.Performance.EndRange,749))</f>
        <v/>
      </c>
      <c r="G1819" s="54"/>
      <c r="H1819" s="52" t="str">
        <f>IF(AND(I.Compliance.FulfilledPerformance&gt;0,I.Performance.RangeCount&gt;=749,F1819=""),"Incomplete","Complete")</f>
        <v>Complete</v>
      </c>
      <c r="I1819" s="55" t="s">
        <v>2017</v>
      </c>
    </row>
    <row r="1820" spans="2:9" ht="15" customHeight="1" x14ac:dyDescent="0.25">
      <c r="B1820" s="51" t="s">
        <v>125</v>
      </c>
      <c r="C1820" s="52">
        <v>750</v>
      </c>
      <c r="D1820" s="53" t="s">
        <v>4327</v>
      </c>
      <c r="E1820" s="54"/>
      <c r="F1820" s="52" t="str">
        <f>IF(INDEX(I.Performance.EndRange,750)="","",INDEX(I.Performance.EndRange,750))</f>
        <v/>
      </c>
      <c r="G1820" s="54"/>
      <c r="H1820" s="52" t="str">
        <f>IF(AND(I.Compliance.FulfilledPerformance&gt;0,I.Performance.RangeCount&gt;=750,F1820=""),"Incomplete","Complete")</f>
        <v>Complete</v>
      </c>
      <c r="I1820" s="55" t="s">
        <v>2018</v>
      </c>
    </row>
    <row r="1821" spans="2:9" ht="15" customHeight="1" x14ac:dyDescent="0.25">
      <c r="B1821" s="51" t="s">
        <v>125</v>
      </c>
      <c r="C1821" s="52">
        <v>751</v>
      </c>
      <c r="D1821" s="53" t="s">
        <v>4327</v>
      </c>
      <c r="E1821" s="54"/>
      <c r="F1821" s="52" t="str">
        <f>IF(INDEX(I.Performance.EndRange,751)="","",INDEX(I.Performance.EndRange,751))</f>
        <v/>
      </c>
      <c r="G1821" s="54"/>
      <c r="H1821" s="52" t="str">
        <f>IF(AND(I.Compliance.FulfilledPerformance&gt;0,I.Performance.RangeCount&gt;=751,F1821=""),"Incomplete","Complete")</f>
        <v>Complete</v>
      </c>
      <c r="I1821" s="55" t="s">
        <v>2019</v>
      </c>
    </row>
    <row r="1822" spans="2:9" ht="15" customHeight="1" x14ac:dyDescent="0.25">
      <c r="B1822" s="51" t="s">
        <v>125</v>
      </c>
      <c r="C1822" s="52">
        <v>752</v>
      </c>
      <c r="D1822" s="53" t="s">
        <v>4327</v>
      </c>
      <c r="E1822" s="54"/>
      <c r="F1822" s="52" t="str">
        <f>IF(INDEX(I.Performance.EndRange,752)="","",INDEX(I.Performance.EndRange,752))</f>
        <v/>
      </c>
      <c r="G1822" s="54"/>
      <c r="H1822" s="52" t="str">
        <f>IF(AND(I.Compliance.FulfilledPerformance&gt;0,I.Performance.RangeCount&gt;=752,F1822=""),"Incomplete","Complete")</f>
        <v>Complete</v>
      </c>
      <c r="I1822" s="55" t="s">
        <v>2020</v>
      </c>
    </row>
    <row r="1823" spans="2:9" ht="15" customHeight="1" x14ac:dyDescent="0.25">
      <c r="B1823" s="51" t="s">
        <v>125</v>
      </c>
      <c r="C1823" s="52">
        <v>753</v>
      </c>
      <c r="D1823" s="53" t="s">
        <v>4327</v>
      </c>
      <c r="E1823" s="54"/>
      <c r="F1823" s="52" t="str">
        <f>IF(INDEX(I.Performance.EndRange,753)="","",INDEX(I.Performance.EndRange,753))</f>
        <v/>
      </c>
      <c r="G1823" s="54"/>
      <c r="H1823" s="52" t="str">
        <f>IF(AND(I.Compliance.FulfilledPerformance&gt;0,I.Performance.RangeCount&gt;=753,F1823=""),"Incomplete","Complete")</f>
        <v>Complete</v>
      </c>
      <c r="I1823" s="55" t="s">
        <v>2021</v>
      </c>
    </row>
    <row r="1824" spans="2:9" ht="15" customHeight="1" x14ac:dyDescent="0.25">
      <c r="B1824" s="51" t="s">
        <v>125</v>
      </c>
      <c r="C1824" s="52">
        <v>754</v>
      </c>
      <c r="D1824" s="53" t="s">
        <v>4327</v>
      </c>
      <c r="E1824" s="54"/>
      <c r="F1824" s="52" t="str">
        <f>IF(INDEX(I.Performance.EndRange,754)="","",INDEX(I.Performance.EndRange,754))</f>
        <v/>
      </c>
      <c r="G1824" s="54"/>
      <c r="H1824" s="52" t="str">
        <f>IF(AND(I.Compliance.FulfilledPerformance&gt;0,I.Performance.RangeCount&gt;=754,F1824=""),"Incomplete","Complete")</f>
        <v>Complete</v>
      </c>
      <c r="I1824" s="55" t="s">
        <v>2022</v>
      </c>
    </row>
    <row r="1825" spans="2:9" ht="15" customHeight="1" x14ac:dyDescent="0.25">
      <c r="B1825" s="51" t="s">
        <v>125</v>
      </c>
      <c r="C1825" s="52">
        <v>755</v>
      </c>
      <c r="D1825" s="53" t="s">
        <v>4327</v>
      </c>
      <c r="E1825" s="54"/>
      <c r="F1825" s="52" t="str">
        <f>IF(INDEX(I.Performance.EndRange,755)="","",INDEX(I.Performance.EndRange,755))</f>
        <v/>
      </c>
      <c r="G1825" s="54"/>
      <c r="H1825" s="52" t="str">
        <f>IF(AND(I.Compliance.FulfilledPerformance&gt;0,I.Performance.RangeCount&gt;=755,F1825=""),"Incomplete","Complete")</f>
        <v>Complete</v>
      </c>
      <c r="I1825" s="55" t="s">
        <v>2023</v>
      </c>
    </row>
    <row r="1826" spans="2:9" ht="15" customHeight="1" x14ac:dyDescent="0.25">
      <c r="B1826" s="51" t="s">
        <v>125</v>
      </c>
      <c r="C1826" s="52">
        <v>756</v>
      </c>
      <c r="D1826" s="53" t="s">
        <v>4327</v>
      </c>
      <c r="E1826" s="54"/>
      <c r="F1826" s="52" t="str">
        <f>IF(INDEX(I.Performance.EndRange,756)="","",INDEX(I.Performance.EndRange,756))</f>
        <v/>
      </c>
      <c r="G1826" s="54"/>
      <c r="H1826" s="52" t="str">
        <f>IF(AND(I.Compliance.FulfilledPerformance&gt;0,I.Performance.RangeCount&gt;=756,F1826=""),"Incomplete","Complete")</f>
        <v>Complete</v>
      </c>
      <c r="I1826" s="55" t="s">
        <v>2024</v>
      </c>
    </row>
    <row r="1827" spans="2:9" ht="15" customHeight="1" x14ac:dyDescent="0.25">
      <c r="B1827" s="51" t="s">
        <v>125</v>
      </c>
      <c r="C1827" s="52">
        <v>757</v>
      </c>
      <c r="D1827" s="53" t="s">
        <v>4327</v>
      </c>
      <c r="E1827" s="54"/>
      <c r="F1827" s="52" t="str">
        <f>IF(INDEX(I.Performance.EndRange,757)="","",INDEX(I.Performance.EndRange,757))</f>
        <v/>
      </c>
      <c r="G1827" s="54"/>
      <c r="H1827" s="52" t="str">
        <f>IF(AND(I.Compliance.FulfilledPerformance&gt;0,I.Performance.RangeCount&gt;=757,F1827=""),"Incomplete","Complete")</f>
        <v>Complete</v>
      </c>
      <c r="I1827" s="55" t="s">
        <v>2025</v>
      </c>
    </row>
    <row r="1828" spans="2:9" ht="15" customHeight="1" x14ac:dyDescent="0.25">
      <c r="B1828" s="51" t="s">
        <v>125</v>
      </c>
      <c r="C1828" s="52">
        <v>758</v>
      </c>
      <c r="D1828" s="53" t="s">
        <v>4327</v>
      </c>
      <c r="E1828" s="54"/>
      <c r="F1828" s="52" t="str">
        <f>IF(INDEX(I.Performance.EndRange,758)="","",INDEX(I.Performance.EndRange,758))</f>
        <v/>
      </c>
      <c r="G1828" s="54"/>
      <c r="H1828" s="52" t="str">
        <f>IF(AND(I.Compliance.FulfilledPerformance&gt;0,I.Performance.RangeCount&gt;=758,F1828=""),"Incomplete","Complete")</f>
        <v>Complete</v>
      </c>
      <c r="I1828" s="55" t="s">
        <v>2026</v>
      </c>
    </row>
    <row r="1829" spans="2:9" ht="15" customHeight="1" x14ac:dyDescent="0.25">
      <c r="B1829" s="51" t="s">
        <v>125</v>
      </c>
      <c r="C1829" s="52">
        <v>759</v>
      </c>
      <c r="D1829" s="53" t="s">
        <v>4327</v>
      </c>
      <c r="E1829" s="54"/>
      <c r="F1829" s="52" t="str">
        <f>IF(INDEX(I.Performance.EndRange,759)="","",INDEX(I.Performance.EndRange,759))</f>
        <v/>
      </c>
      <c r="G1829" s="54"/>
      <c r="H1829" s="52" t="str">
        <f>IF(AND(I.Compliance.FulfilledPerformance&gt;0,I.Performance.RangeCount&gt;=759,F1829=""),"Incomplete","Complete")</f>
        <v>Complete</v>
      </c>
      <c r="I1829" s="55" t="s">
        <v>2027</v>
      </c>
    </row>
    <row r="1830" spans="2:9" ht="15" customHeight="1" x14ac:dyDescent="0.25">
      <c r="B1830" s="51" t="s">
        <v>125</v>
      </c>
      <c r="C1830" s="52">
        <v>760</v>
      </c>
      <c r="D1830" s="53" t="s">
        <v>4327</v>
      </c>
      <c r="E1830" s="54"/>
      <c r="F1830" s="52" t="str">
        <f>IF(INDEX(I.Performance.EndRange,760)="","",INDEX(I.Performance.EndRange,760))</f>
        <v/>
      </c>
      <c r="G1830" s="54"/>
      <c r="H1830" s="52" t="str">
        <f>IF(AND(I.Compliance.FulfilledPerformance&gt;0,I.Performance.RangeCount&gt;=760,F1830=""),"Incomplete","Complete")</f>
        <v>Complete</v>
      </c>
      <c r="I1830" s="55" t="s">
        <v>2028</v>
      </c>
    </row>
    <row r="1831" spans="2:9" ht="15" customHeight="1" x14ac:dyDescent="0.25">
      <c r="B1831" s="51" t="s">
        <v>125</v>
      </c>
      <c r="C1831" s="52">
        <v>761</v>
      </c>
      <c r="D1831" s="53" t="s">
        <v>4327</v>
      </c>
      <c r="E1831" s="54"/>
      <c r="F1831" s="52" t="str">
        <f>IF(INDEX(I.Performance.EndRange,761)="","",INDEX(I.Performance.EndRange,761))</f>
        <v/>
      </c>
      <c r="G1831" s="54"/>
      <c r="H1831" s="52" t="str">
        <f>IF(AND(I.Compliance.FulfilledPerformance&gt;0,I.Performance.RangeCount&gt;=761,F1831=""),"Incomplete","Complete")</f>
        <v>Complete</v>
      </c>
      <c r="I1831" s="55" t="s">
        <v>2029</v>
      </c>
    </row>
    <row r="1832" spans="2:9" ht="15" customHeight="1" x14ac:dyDescent="0.25">
      <c r="B1832" s="51" t="s">
        <v>125</v>
      </c>
      <c r="C1832" s="52">
        <v>762</v>
      </c>
      <c r="D1832" s="53" t="s">
        <v>4327</v>
      </c>
      <c r="E1832" s="54"/>
      <c r="F1832" s="52" t="str">
        <f>IF(INDEX(I.Performance.EndRange,762)="","",INDEX(I.Performance.EndRange,762))</f>
        <v/>
      </c>
      <c r="G1832" s="54"/>
      <c r="H1832" s="52" t="str">
        <f>IF(AND(I.Compliance.FulfilledPerformance&gt;0,I.Performance.RangeCount&gt;=762,F1832=""),"Incomplete","Complete")</f>
        <v>Complete</v>
      </c>
      <c r="I1832" s="55" t="s">
        <v>2030</v>
      </c>
    </row>
    <row r="1833" spans="2:9" ht="15" customHeight="1" x14ac:dyDescent="0.25">
      <c r="B1833" s="51" t="s">
        <v>125</v>
      </c>
      <c r="C1833" s="52">
        <v>763</v>
      </c>
      <c r="D1833" s="53" t="s">
        <v>4327</v>
      </c>
      <c r="E1833" s="54"/>
      <c r="F1833" s="52" t="str">
        <f>IF(INDEX(I.Performance.EndRange,763)="","",INDEX(I.Performance.EndRange,763))</f>
        <v/>
      </c>
      <c r="G1833" s="54"/>
      <c r="H1833" s="52" t="str">
        <f>IF(AND(I.Compliance.FulfilledPerformance&gt;0,I.Performance.RangeCount&gt;=763,F1833=""),"Incomplete","Complete")</f>
        <v>Complete</v>
      </c>
      <c r="I1833" s="55" t="s">
        <v>2031</v>
      </c>
    </row>
    <row r="1834" spans="2:9" ht="15" customHeight="1" x14ac:dyDescent="0.25">
      <c r="B1834" s="51" t="s">
        <v>125</v>
      </c>
      <c r="C1834" s="52">
        <v>764</v>
      </c>
      <c r="D1834" s="53" t="s">
        <v>4327</v>
      </c>
      <c r="E1834" s="54"/>
      <c r="F1834" s="52" t="str">
        <f>IF(INDEX(I.Performance.EndRange,764)="","",INDEX(I.Performance.EndRange,764))</f>
        <v/>
      </c>
      <c r="G1834" s="54"/>
      <c r="H1834" s="52" t="str">
        <f>IF(AND(I.Compliance.FulfilledPerformance&gt;0,I.Performance.RangeCount&gt;=764,F1834=""),"Incomplete","Complete")</f>
        <v>Complete</v>
      </c>
      <c r="I1834" s="55" t="s">
        <v>2032</v>
      </c>
    </row>
    <row r="1835" spans="2:9" ht="15" customHeight="1" x14ac:dyDescent="0.25">
      <c r="B1835" s="51" t="s">
        <v>125</v>
      </c>
      <c r="C1835" s="52">
        <v>765</v>
      </c>
      <c r="D1835" s="53" t="s">
        <v>4327</v>
      </c>
      <c r="E1835" s="54"/>
      <c r="F1835" s="52" t="str">
        <f>IF(INDEX(I.Performance.EndRange,765)="","",INDEX(I.Performance.EndRange,765))</f>
        <v/>
      </c>
      <c r="G1835" s="54"/>
      <c r="H1835" s="52" t="str">
        <f>IF(AND(I.Compliance.FulfilledPerformance&gt;0,I.Performance.RangeCount&gt;=765,F1835=""),"Incomplete","Complete")</f>
        <v>Complete</v>
      </c>
      <c r="I1835" s="55" t="s">
        <v>2033</v>
      </c>
    </row>
    <row r="1836" spans="2:9" ht="15" customHeight="1" x14ac:dyDescent="0.25">
      <c r="B1836" s="51" t="s">
        <v>125</v>
      </c>
      <c r="C1836" s="52">
        <v>766</v>
      </c>
      <c r="D1836" s="53" t="s">
        <v>4327</v>
      </c>
      <c r="E1836" s="54"/>
      <c r="F1836" s="52" t="str">
        <f>IF(INDEX(I.Performance.EndRange,766)="","",INDEX(I.Performance.EndRange,766))</f>
        <v/>
      </c>
      <c r="G1836" s="54"/>
      <c r="H1836" s="52" t="str">
        <f>IF(AND(I.Compliance.FulfilledPerformance&gt;0,I.Performance.RangeCount&gt;=766,F1836=""),"Incomplete","Complete")</f>
        <v>Complete</v>
      </c>
      <c r="I1836" s="55" t="s">
        <v>2034</v>
      </c>
    </row>
    <row r="1837" spans="2:9" ht="15" customHeight="1" x14ac:dyDescent="0.25">
      <c r="B1837" s="51" t="s">
        <v>125</v>
      </c>
      <c r="C1837" s="52">
        <v>767</v>
      </c>
      <c r="D1837" s="53" t="s">
        <v>4327</v>
      </c>
      <c r="E1837" s="54"/>
      <c r="F1837" s="52" t="str">
        <f>IF(INDEX(I.Performance.EndRange,767)="","",INDEX(I.Performance.EndRange,767))</f>
        <v/>
      </c>
      <c r="G1837" s="54"/>
      <c r="H1837" s="52" t="str">
        <f>IF(AND(I.Compliance.FulfilledPerformance&gt;0,I.Performance.RangeCount&gt;=767,F1837=""),"Incomplete","Complete")</f>
        <v>Complete</v>
      </c>
      <c r="I1837" s="55" t="s">
        <v>2035</v>
      </c>
    </row>
    <row r="1838" spans="2:9" ht="15" customHeight="1" x14ac:dyDescent="0.25">
      <c r="B1838" s="51" t="s">
        <v>125</v>
      </c>
      <c r="C1838" s="52">
        <v>768</v>
      </c>
      <c r="D1838" s="53" t="s">
        <v>4327</v>
      </c>
      <c r="E1838" s="54"/>
      <c r="F1838" s="52" t="str">
        <f>IF(INDEX(I.Performance.EndRange,768)="","",INDEX(I.Performance.EndRange,768))</f>
        <v/>
      </c>
      <c r="G1838" s="54"/>
      <c r="H1838" s="52" t="str">
        <f>IF(AND(I.Compliance.FulfilledPerformance&gt;0,I.Performance.RangeCount&gt;=768,F1838=""),"Incomplete","Complete")</f>
        <v>Complete</v>
      </c>
      <c r="I1838" s="55" t="s">
        <v>2036</v>
      </c>
    </row>
    <row r="1839" spans="2:9" ht="15" customHeight="1" x14ac:dyDescent="0.25">
      <c r="B1839" s="51" t="s">
        <v>125</v>
      </c>
      <c r="C1839" s="52">
        <v>769</v>
      </c>
      <c r="D1839" s="53" t="s">
        <v>4327</v>
      </c>
      <c r="E1839" s="54"/>
      <c r="F1839" s="52" t="str">
        <f>IF(INDEX(I.Performance.EndRange,769)="","",INDEX(I.Performance.EndRange,769))</f>
        <v/>
      </c>
      <c r="G1839" s="54"/>
      <c r="H1839" s="52" t="str">
        <f>IF(AND(I.Compliance.FulfilledPerformance&gt;0,I.Performance.RangeCount&gt;=769,F1839=""),"Incomplete","Complete")</f>
        <v>Complete</v>
      </c>
      <c r="I1839" s="55" t="s">
        <v>2037</v>
      </c>
    </row>
    <row r="1840" spans="2:9" ht="15" customHeight="1" x14ac:dyDescent="0.25">
      <c r="B1840" s="51" t="s">
        <v>125</v>
      </c>
      <c r="C1840" s="52">
        <v>770</v>
      </c>
      <c r="D1840" s="53" t="s">
        <v>4327</v>
      </c>
      <c r="E1840" s="54"/>
      <c r="F1840" s="52" t="str">
        <f>IF(INDEX(I.Performance.EndRange,770)="","",INDEX(I.Performance.EndRange,770))</f>
        <v/>
      </c>
      <c r="G1840" s="54"/>
      <c r="H1840" s="52" t="str">
        <f>IF(AND(I.Compliance.FulfilledPerformance&gt;0,I.Performance.RangeCount&gt;=770,F1840=""),"Incomplete","Complete")</f>
        <v>Complete</v>
      </c>
      <c r="I1840" s="55" t="s">
        <v>2038</v>
      </c>
    </row>
    <row r="1841" spans="2:9" ht="15" customHeight="1" x14ac:dyDescent="0.25">
      <c r="B1841" s="51" t="s">
        <v>125</v>
      </c>
      <c r="C1841" s="52">
        <v>771</v>
      </c>
      <c r="D1841" s="53" t="s">
        <v>4327</v>
      </c>
      <c r="E1841" s="54"/>
      <c r="F1841" s="52" t="str">
        <f>IF(INDEX(I.Performance.EndRange,771)="","",INDEX(I.Performance.EndRange,771))</f>
        <v/>
      </c>
      <c r="G1841" s="54"/>
      <c r="H1841" s="52" t="str">
        <f>IF(AND(I.Compliance.FulfilledPerformance&gt;0,I.Performance.RangeCount&gt;=771,F1841=""),"Incomplete","Complete")</f>
        <v>Complete</v>
      </c>
      <c r="I1841" s="55" t="s">
        <v>2039</v>
      </c>
    </row>
    <row r="1842" spans="2:9" ht="15" customHeight="1" x14ac:dyDescent="0.25">
      <c r="B1842" s="51" t="s">
        <v>125</v>
      </c>
      <c r="C1842" s="52">
        <v>772</v>
      </c>
      <c r="D1842" s="53" t="s">
        <v>4327</v>
      </c>
      <c r="E1842" s="54"/>
      <c r="F1842" s="52" t="str">
        <f>IF(INDEX(I.Performance.EndRange,772)="","",INDEX(I.Performance.EndRange,772))</f>
        <v/>
      </c>
      <c r="G1842" s="54"/>
      <c r="H1842" s="52" t="str">
        <f>IF(AND(I.Compliance.FulfilledPerformance&gt;0,I.Performance.RangeCount&gt;=772,F1842=""),"Incomplete","Complete")</f>
        <v>Complete</v>
      </c>
      <c r="I1842" s="55" t="s">
        <v>2040</v>
      </c>
    </row>
    <row r="1843" spans="2:9" ht="15" customHeight="1" x14ac:dyDescent="0.25">
      <c r="B1843" s="51" t="s">
        <v>125</v>
      </c>
      <c r="C1843" s="52">
        <v>773</v>
      </c>
      <c r="D1843" s="53" t="s">
        <v>4327</v>
      </c>
      <c r="E1843" s="54"/>
      <c r="F1843" s="52" t="str">
        <f>IF(INDEX(I.Performance.EndRange,773)="","",INDEX(I.Performance.EndRange,773))</f>
        <v/>
      </c>
      <c r="G1843" s="54"/>
      <c r="H1843" s="52" t="str">
        <f>IF(AND(I.Compliance.FulfilledPerformance&gt;0,I.Performance.RangeCount&gt;=773,F1843=""),"Incomplete","Complete")</f>
        <v>Complete</v>
      </c>
      <c r="I1843" s="55" t="s">
        <v>2041</v>
      </c>
    </row>
    <row r="1844" spans="2:9" ht="15" customHeight="1" x14ac:dyDescent="0.25">
      <c r="B1844" s="51" t="s">
        <v>125</v>
      </c>
      <c r="C1844" s="52">
        <v>774</v>
      </c>
      <c r="D1844" s="53" t="s">
        <v>4327</v>
      </c>
      <c r="E1844" s="54"/>
      <c r="F1844" s="52" t="str">
        <f>IF(INDEX(I.Performance.EndRange,774)="","",INDEX(I.Performance.EndRange,774))</f>
        <v/>
      </c>
      <c r="G1844" s="54"/>
      <c r="H1844" s="52" t="str">
        <f>IF(AND(I.Compliance.FulfilledPerformance&gt;0,I.Performance.RangeCount&gt;=774,F1844=""),"Incomplete","Complete")</f>
        <v>Complete</v>
      </c>
      <c r="I1844" s="55" t="s">
        <v>2042</v>
      </c>
    </row>
    <row r="1845" spans="2:9" ht="15" customHeight="1" x14ac:dyDescent="0.25">
      <c r="B1845" s="51" t="s">
        <v>125</v>
      </c>
      <c r="C1845" s="52">
        <v>775</v>
      </c>
      <c r="D1845" s="53" t="s">
        <v>4327</v>
      </c>
      <c r="E1845" s="54"/>
      <c r="F1845" s="52" t="str">
        <f>IF(INDEX(I.Performance.EndRange,775)="","",INDEX(I.Performance.EndRange,775))</f>
        <v/>
      </c>
      <c r="G1845" s="54"/>
      <c r="H1845" s="52" t="str">
        <f>IF(AND(I.Compliance.FulfilledPerformance&gt;0,I.Performance.RangeCount&gt;=775,F1845=""),"Incomplete","Complete")</f>
        <v>Complete</v>
      </c>
      <c r="I1845" s="55" t="s">
        <v>2043</v>
      </c>
    </row>
    <row r="1846" spans="2:9" ht="15" customHeight="1" x14ac:dyDescent="0.25">
      <c r="B1846" s="51" t="s">
        <v>125</v>
      </c>
      <c r="C1846" s="52">
        <v>776</v>
      </c>
      <c r="D1846" s="53" t="s">
        <v>4327</v>
      </c>
      <c r="E1846" s="54"/>
      <c r="F1846" s="52" t="str">
        <f>IF(INDEX(I.Performance.EndRange,776)="","",INDEX(I.Performance.EndRange,776))</f>
        <v/>
      </c>
      <c r="G1846" s="54"/>
      <c r="H1846" s="52" t="str">
        <f>IF(AND(I.Compliance.FulfilledPerformance&gt;0,I.Performance.RangeCount&gt;=776,F1846=""),"Incomplete","Complete")</f>
        <v>Complete</v>
      </c>
      <c r="I1846" s="55" t="s">
        <v>2044</v>
      </c>
    </row>
    <row r="1847" spans="2:9" ht="15" customHeight="1" x14ac:dyDescent="0.25">
      <c r="B1847" s="51" t="s">
        <v>125</v>
      </c>
      <c r="C1847" s="52">
        <v>777</v>
      </c>
      <c r="D1847" s="53" t="s">
        <v>4327</v>
      </c>
      <c r="E1847" s="54"/>
      <c r="F1847" s="52" t="str">
        <f>IF(INDEX(I.Performance.EndRange,777)="","",INDEX(I.Performance.EndRange,777))</f>
        <v/>
      </c>
      <c r="G1847" s="54"/>
      <c r="H1847" s="52" t="str">
        <f>IF(AND(I.Compliance.FulfilledPerformance&gt;0,I.Performance.RangeCount&gt;=777,F1847=""),"Incomplete","Complete")</f>
        <v>Complete</v>
      </c>
      <c r="I1847" s="55" t="s">
        <v>2045</v>
      </c>
    </row>
    <row r="1848" spans="2:9" ht="15" customHeight="1" x14ac:dyDescent="0.25">
      <c r="B1848" s="51" t="s">
        <v>125</v>
      </c>
      <c r="C1848" s="52">
        <v>778</v>
      </c>
      <c r="D1848" s="53" t="s">
        <v>4327</v>
      </c>
      <c r="E1848" s="54"/>
      <c r="F1848" s="52" t="str">
        <f>IF(INDEX(I.Performance.EndRange,778)="","",INDEX(I.Performance.EndRange,778))</f>
        <v/>
      </c>
      <c r="G1848" s="54"/>
      <c r="H1848" s="52" t="str">
        <f>IF(AND(I.Compliance.FulfilledPerformance&gt;0,I.Performance.RangeCount&gt;=778,F1848=""),"Incomplete","Complete")</f>
        <v>Complete</v>
      </c>
      <c r="I1848" s="55" t="s">
        <v>2046</v>
      </c>
    </row>
    <row r="1849" spans="2:9" ht="15" customHeight="1" x14ac:dyDescent="0.25">
      <c r="B1849" s="51" t="s">
        <v>125</v>
      </c>
      <c r="C1849" s="52">
        <v>779</v>
      </c>
      <c r="D1849" s="53" t="s">
        <v>4327</v>
      </c>
      <c r="E1849" s="54"/>
      <c r="F1849" s="52" t="str">
        <f>IF(INDEX(I.Performance.EndRange,779)="","",INDEX(I.Performance.EndRange,779))</f>
        <v/>
      </c>
      <c r="G1849" s="54"/>
      <c r="H1849" s="52" t="str">
        <f>IF(AND(I.Compliance.FulfilledPerformance&gt;0,I.Performance.RangeCount&gt;=779,F1849=""),"Incomplete","Complete")</f>
        <v>Complete</v>
      </c>
      <c r="I1849" s="55" t="s">
        <v>2047</v>
      </c>
    </row>
    <row r="1850" spans="2:9" ht="15" customHeight="1" x14ac:dyDescent="0.25">
      <c r="B1850" s="51" t="s">
        <v>125</v>
      </c>
      <c r="C1850" s="52">
        <v>780</v>
      </c>
      <c r="D1850" s="53" t="s">
        <v>4327</v>
      </c>
      <c r="E1850" s="54"/>
      <c r="F1850" s="52" t="str">
        <f>IF(INDEX(I.Performance.EndRange,780)="","",INDEX(I.Performance.EndRange,780))</f>
        <v/>
      </c>
      <c r="G1850" s="54"/>
      <c r="H1850" s="52" t="str">
        <f>IF(AND(I.Compliance.FulfilledPerformance&gt;0,I.Performance.RangeCount&gt;=780,F1850=""),"Incomplete","Complete")</f>
        <v>Complete</v>
      </c>
      <c r="I1850" s="55" t="s">
        <v>2048</v>
      </c>
    </row>
    <row r="1851" spans="2:9" ht="15" customHeight="1" x14ac:dyDescent="0.25">
      <c r="B1851" s="51" t="s">
        <v>125</v>
      </c>
      <c r="C1851" s="52">
        <v>781</v>
      </c>
      <c r="D1851" s="53" t="s">
        <v>4327</v>
      </c>
      <c r="E1851" s="54"/>
      <c r="F1851" s="52" t="str">
        <f>IF(INDEX(I.Performance.EndRange,781)="","",INDEX(I.Performance.EndRange,781))</f>
        <v/>
      </c>
      <c r="G1851" s="54"/>
      <c r="H1851" s="52" t="str">
        <f>IF(AND(I.Compliance.FulfilledPerformance&gt;0,I.Performance.RangeCount&gt;=781,F1851=""),"Incomplete","Complete")</f>
        <v>Complete</v>
      </c>
      <c r="I1851" s="55" t="s">
        <v>2049</v>
      </c>
    </row>
    <row r="1852" spans="2:9" ht="15" customHeight="1" x14ac:dyDescent="0.25">
      <c r="B1852" s="51" t="s">
        <v>125</v>
      </c>
      <c r="C1852" s="52">
        <v>782</v>
      </c>
      <c r="D1852" s="53" t="s">
        <v>4327</v>
      </c>
      <c r="E1852" s="54"/>
      <c r="F1852" s="52" t="str">
        <f>IF(INDEX(I.Performance.EndRange,782)="","",INDEX(I.Performance.EndRange,782))</f>
        <v/>
      </c>
      <c r="G1852" s="54"/>
      <c r="H1852" s="52" t="str">
        <f>IF(AND(I.Compliance.FulfilledPerformance&gt;0,I.Performance.RangeCount&gt;=782,F1852=""),"Incomplete","Complete")</f>
        <v>Complete</v>
      </c>
      <c r="I1852" s="55" t="s">
        <v>2050</v>
      </c>
    </row>
    <row r="1853" spans="2:9" ht="15" customHeight="1" x14ac:dyDescent="0.25">
      <c r="B1853" s="51" t="s">
        <v>125</v>
      </c>
      <c r="C1853" s="52">
        <v>783</v>
      </c>
      <c r="D1853" s="53" t="s">
        <v>4327</v>
      </c>
      <c r="E1853" s="54"/>
      <c r="F1853" s="52" t="str">
        <f>IF(INDEX(I.Performance.EndRange,783)="","",INDEX(I.Performance.EndRange,783))</f>
        <v/>
      </c>
      <c r="G1853" s="54"/>
      <c r="H1853" s="52" t="str">
        <f>IF(AND(I.Compliance.FulfilledPerformance&gt;0,I.Performance.RangeCount&gt;=783,F1853=""),"Incomplete","Complete")</f>
        <v>Complete</v>
      </c>
      <c r="I1853" s="55" t="s">
        <v>2051</v>
      </c>
    </row>
    <row r="1854" spans="2:9" ht="15" customHeight="1" x14ac:dyDescent="0.25">
      <c r="B1854" s="51" t="s">
        <v>125</v>
      </c>
      <c r="C1854" s="52">
        <v>784</v>
      </c>
      <c r="D1854" s="53" t="s">
        <v>4327</v>
      </c>
      <c r="E1854" s="54"/>
      <c r="F1854" s="52" t="str">
        <f>IF(INDEX(I.Performance.EndRange,784)="","",INDEX(I.Performance.EndRange,784))</f>
        <v/>
      </c>
      <c r="G1854" s="54"/>
      <c r="H1854" s="52" t="str">
        <f>IF(AND(I.Compliance.FulfilledPerformance&gt;0,I.Performance.RangeCount&gt;=784,F1854=""),"Incomplete","Complete")</f>
        <v>Complete</v>
      </c>
      <c r="I1854" s="55" t="s">
        <v>2052</v>
      </c>
    </row>
    <row r="1855" spans="2:9" ht="15" customHeight="1" x14ac:dyDescent="0.25">
      <c r="B1855" s="51" t="s">
        <v>125</v>
      </c>
      <c r="C1855" s="52">
        <v>785</v>
      </c>
      <c r="D1855" s="53" t="s">
        <v>4327</v>
      </c>
      <c r="E1855" s="54"/>
      <c r="F1855" s="52" t="str">
        <f>IF(INDEX(I.Performance.EndRange,785)="","",INDEX(I.Performance.EndRange,785))</f>
        <v/>
      </c>
      <c r="G1855" s="54"/>
      <c r="H1855" s="52" t="str">
        <f>IF(AND(I.Compliance.FulfilledPerformance&gt;0,I.Performance.RangeCount&gt;=785,F1855=""),"Incomplete","Complete")</f>
        <v>Complete</v>
      </c>
      <c r="I1855" s="55" t="s">
        <v>2053</v>
      </c>
    </row>
    <row r="1856" spans="2:9" ht="15" customHeight="1" x14ac:dyDescent="0.25">
      <c r="B1856" s="51" t="s">
        <v>125</v>
      </c>
      <c r="C1856" s="52">
        <v>786</v>
      </c>
      <c r="D1856" s="53" t="s">
        <v>4327</v>
      </c>
      <c r="E1856" s="54"/>
      <c r="F1856" s="52" t="str">
        <f>IF(INDEX(I.Performance.EndRange,786)="","",INDEX(I.Performance.EndRange,786))</f>
        <v/>
      </c>
      <c r="G1856" s="54"/>
      <c r="H1856" s="52" t="str">
        <f>IF(AND(I.Compliance.FulfilledPerformance&gt;0,I.Performance.RangeCount&gt;=786,F1856=""),"Incomplete","Complete")</f>
        <v>Complete</v>
      </c>
      <c r="I1856" s="55" t="s">
        <v>2054</v>
      </c>
    </row>
    <row r="1857" spans="2:9" ht="15" customHeight="1" x14ac:dyDescent="0.25">
      <c r="B1857" s="51" t="s">
        <v>125</v>
      </c>
      <c r="C1857" s="52">
        <v>787</v>
      </c>
      <c r="D1857" s="53" t="s">
        <v>4327</v>
      </c>
      <c r="E1857" s="54"/>
      <c r="F1857" s="52" t="str">
        <f>IF(INDEX(I.Performance.EndRange,787)="","",INDEX(I.Performance.EndRange,787))</f>
        <v/>
      </c>
      <c r="G1857" s="54"/>
      <c r="H1857" s="52" t="str">
        <f>IF(AND(I.Compliance.FulfilledPerformance&gt;0,I.Performance.RangeCount&gt;=787,F1857=""),"Incomplete","Complete")</f>
        <v>Complete</v>
      </c>
      <c r="I1857" s="55" t="s">
        <v>2055</v>
      </c>
    </row>
    <row r="1858" spans="2:9" ht="15" customHeight="1" x14ac:dyDescent="0.25">
      <c r="B1858" s="51" t="s">
        <v>125</v>
      </c>
      <c r="C1858" s="52">
        <v>788</v>
      </c>
      <c r="D1858" s="53" t="s">
        <v>4327</v>
      </c>
      <c r="E1858" s="54"/>
      <c r="F1858" s="52" t="str">
        <f>IF(INDEX(I.Performance.EndRange,788)="","",INDEX(I.Performance.EndRange,788))</f>
        <v/>
      </c>
      <c r="G1858" s="54"/>
      <c r="H1858" s="52" t="str">
        <f>IF(AND(I.Compliance.FulfilledPerformance&gt;0,I.Performance.RangeCount&gt;=788,F1858=""),"Incomplete","Complete")</f>
        <v>Complete</v>
      </c>
      <c r="I1858" s="55" t="s">
        <v>2056</v>
      </c>
    </row>
    <row r="1859" spans="2:9" ht="15" customHeight="1" x14ac:dyDescent="0.25">
      <c r="B1859" s="51" t="s">
        <v>125</v>
      </c>
      <c r="C1859" s="52">
        <v>789</v>
      </c>
      <c r="D1859" s="53" t="s">
        <v>4327</v>
      </c>
      <c r="E1859" s="54"/>
      <c r="F1859" s="52" t="str">
        <f>IF(INDEX(I.Performance.EndRange,789)="","",INDEX(I.Performance.EndRange,789))</f>
        <v/>
      </c>
      <c r="G1859" s="54"/>
      <c r="H1859" s="52" t="str">
        <f>IF(AND(I.Compliance.FulfilledPerformance&gt;0,I.Performance.RangeCount&gt;=789,F1859=""),"Incomplete","Complete")</f>
        <v>Complete</v>
      </c>
      <c r="I1859" s="55" t="s">
        <v>2057</v>
      </c>
    </row>
    <row r="1860" spans="2:9" ht="15" customHeight="1" x14ac:dyDescent="0.25">
      <c r="B1860" s="51" t="s">
        <v>125</v>
      </c>
      <c r="C1860" s="52">
        <v>790</v>
      </c>
      <c r="D1860" s="53" t="s">
        <v>4327</v>
      </c>
      <c r="E1860" s="54"/>
      <c r="F1860" s="52" t="str">
        <f>IF(INDEX(I.Performance.EndRange,790)="","",INDEX(I.Performance.EndRange,790))</f>
        <v/>
      </c>
      <c r="G1860" s="54"/>
      <c r="H1860" s="52" t="str">
        <f>IF(AND(I.Compliance.FulfilledPerformance&gt;0,I.Performance.RangeCount&gt;=790,F1860=""),"Incomplete","Complete")</f>
        <v>Complete</v>
      </c>
      <c r="I1860" s="55" t="s">
        <v>2058</v>
      </c>
    </row>
    <row r="1861" spans="2:9" ht="15" customHeight="1" x14ac:dyDescent="0.25">
      <c r="B1861" s="51" t="s">
        <v>125</v>
      </c>
      <c r="C1861" s="52">
        <v>791</v>
      </c>
      <c r="D1861" s="53" t="s">
        <v>4327</v>
      </c>
      <c r="E1861" s="54"/>
      <c r="F1861" s="52" t="str">
        <f>IF(INDEX(I.Performance.EndRange,791)="","",INDEX(I.Performance.EndRange,791))</f>
        <v/>
      </c>
      <c r="G1861" s="54"/>
      <c r="H1861" s="52" t="str">
        <f>IF(AND(I.Compliance.FulfilledPerformance&gt;0,I.Performance.RangeCount&gt;=791,F1861=""),"Incomplete","Complete")</f>
        <v>Complete</v>
      </c>
      <c r="I1861" s="55" t="s">
        <v>2059</v>
      </c>
    </row>
    <row r="1862" spans="2:9" ht="15" customHeight="1" x14ac:dyDescent="0.25">
      <c r="B1862" s="51" t="s">
        <v>125</v>
      </c>
      <c r="C1862" s="52">
        <v>792</v>
      </c>
      <c r="D1862" s="53" t="s">
        <v>4327</v>
      </c>
      <c r="E1862" s="54"/>
      <c r="F1862" s="52" t="str">
        <f>IF(INDEX(I.Performance.EndRange,792)="","",INDEX(I.Performance.EndRange,792))</f>
        <v/>
      </c>
      <c r="G1862" s="54"/>
      <c r="H1862" s="52" t="str">
        <f>IF(AND(I.Compliance.FulfilledPerformance&gt;0,I.Performance.RangeCount&gt;=792,F1862=""),"Incomplete","Complete")</f>
        <v>Complete</v>
      </c>
      <c r="I1862" s="55" t="s">
        <v>2060</v>
      </c>
    </row>
    <row r="1863" spans="2:9" ht="15" customHeight="1" x14ac:dyDescent="0.25">
      <c r="B1863" s="51" t="s">
        <v>125</v>
      </c>
      <c r="C1863" s="52">
        <v>793</v>
      </c>
      <c r="D1863" s="53" t="s">
        <v>4327</v>
      </c>
      <c r="E1863" s="54"/>
      <c r="F1863" s="52" t="str">
        <f>IF(INDEX(I.Performance.EndRange,793)="","",INDEX(I.Performance.EndRange,793))</f>
        <v/>
      </c>
      <c r="G1863" s="54"/>
      <c r="H1863" s="52" t="str">
        <f>IF(AND(I.Compliance.FulfilledPerformance&gt;0,I.Performance.RangeCount&gt;=793,F1863=""),"Incomplete","Complete")</f>
        <v>Complete</v>
      </c>
      <c r="I1863" s="55" t="s">
        <v>2061</v>
      </c>
    </row>
    <row r="1864" spans="2:9" ht="15" customHeight="1" x14ac:dyDescent="0.25">
      <c r="B1864" s="51" t="s">
        <v>125</v>
      </c>
      <c r="C1864" s="52">
        <v>794</v>
      </c>
      <c r="D1864" s="53" t="s">
        <v>4327</v>
      </c>
      <c r="E1864" s="54"/>
      <c r="F1864" s="52" t="str">
        <f>IF(INDEX(I.Performance.EndRange,794)="","",INDEX(I.Performance.EndRange,794))</f>
        <v/>
      </c>
      <c r="G1864" s="54"/>
      <c r="H1864" s="52" t="str">
        <f>IF(AND(I.Compliance.FulfilledPerformance&gt;0,I.Performance.RangeCount&gt;=794,F1864=""),"Incomplete","Complete")</f>
        <v>Complete</v>
      </c>
      <c r="I1864" s="55" t="s">
        <v>2062</v>
      </c>
    </row>
    <row r="1865" spans="2:9" ht="15" customHeight="1" x14ac:dyDescent="0.25">
      <c r="B1865" s="51" t="s">
        <v>125</v>
      </c>
      <c r="C1865" s="52">
        <v>795</v>
      </c>
      <c r="D1865" s="53" t="s">
        <v>4327</v>
      </c>
      <c r="E1865" s="54"/>
      <c r="F1865" s="52" t="str">
        <f>IF(INDEX(I.Performance.EndRange,795)="","",INDEX(I.Performance.EndRange,795))</f>
        <v/>
      </c>
      <c r="G1865" s="54"/>
      <c r="H1865" s="52" t="str">
        <f>IF(AND(I.Compliance.FulfilledPerformance&gt;0,I.Performance.RangeCount&gt;=795,F1865=""),"Incomplete","Complete")</f>
        <v>Complete</v>
      </c>
      <c r="I1865" s="55" t="s">
        <v>2063</v>
      </c>
    </row>
    <row r="1866" spans="2:9" ht="15" customHeight="1" x14ac:dyDescent="0.25">
      <c r="B1866" s="51" t="s">
        <v>125</v>
      </c>
      <c r="C1866" s="52">
        <v>796</v>
      </c>
      <c r="D1866" s="53" t="s">
        <v>4327</v>
      </c>
      <c r="E1866" s="54"/>
      <c r="F1866" s="52" t="str">
        <f>IF(INDEX(I.Performance.EndRange,796)="","",INDEX(I.Performance.EndRange,796))</f>
        <v/>
      </c>
      <c r="G1866" s="54"/>
      <c r="H1866" s="52" t="str">
        <f>IF(AND(I.Compliance.FulfilledPerformance&gt;0,I.Performance.RangeCount&gt;=796,F1866=""),"Incomplete","Complete")</f>
        <v>Complete</v>
      </c>
      <c r="I1866" s="55" t="s">
        <v>2064</v>
      </c>
    </row>
    <row r="1867" spans="2:9" ht="15" customHeight="1" x14ac:dyDescent="0.25">
      <c r="B1867" s="51" t="s">
        <v>125</v>
      </c>
      <c r="C1867" s="52">
        <v>797</v>
      </c>
      <c r="D1867" s="53" t="s">
        <v>4327</v>
      </c>
      <c r="E1867" s="54"/>
      <c r="F1867" s="52" t="str">
        <f>IF(INDEX(I.Performance.EndRange,797)="","",INDEX(I.Performance.EndRange,797))</f>
        <v/>
      </c>
      <c r="G1867" s="54"/>
      <c r="H1867" s="52" t="str">
        <f>IF(AND(I.Compliance.FulfilledPerformance&gt;0,I.Performance.RangeCount&gt;=797,F1867=""),"Incomplete","Complete")</f>
        <v>Complete</v>
      </c>
      <c r="I1867" s="55" t="s">
        <v>2065</v>
      </c>
    </row>
    <row r="1868" spans="2:9" ht="15" customHeight="1" x14ac:dyDescent="0.25">
      <c r="B1868" s="51" t="s">
        <v>125</v>
      </c>
      <c r="C1868" s="52">
        <v>798</v>
      </c>
      <c r="D1868" s="53" t="s">
        <v>4327</v>
      </c>
      <c r="E1868" s="54"/>
      <c r="F1868" s="52" t="str">
        <f>IF(INDEX(I.Performance.EndRange,798)="","",INDEX(I.Performance.EndRange,798))</f>
        <v/>
      </c>
      <c r="G1868" s="54"/>
      <c r="H1868" s="52" t="str">
        <f>IF(AND(I.Compliance.FulfilledPerformance&gt;0,I.Performance.RangeCount&gt;=798,F1868=""),"Incomplete","Complete")</f>
        <v>Complete</v>
      </c>
      <c r="I1868" s="55" t="s">
        <v>2066</v>
      </c>
    </row>
    <row r="1869" spans="2:9" ht="15" customHeight="1" x14ac:dyDescent="0.25">
      <c r="B1869" s="51" t="s">
        <v>125</v>
      </c>
      <c r="C1869" s="52">
        <v>799</v>
      </c>
      <c r="D1869" s="53" t="s">
        <v>4327</v>
      </c>
      <c r="E1869" s="54"/>
      <c r="F1869" s="52" t="str">
        <f>IF(INDEX(I.Performance.EndRange,799)="","",INDEX(I.Performance.EndRange,799))</f>
        <v/>
      </c>
      <c r="G1869" s="54"/>
      <c r="H1869" s="52" t="str">
        <f>IF(AND(I.Compliance.FulfilledPerformance&gt;0,I.Performance.RangeCount&gt;=799,F1869=""),"Incomplete","Complete")</f>
        <v>Complete</v>
      </c>
      <c r="I1869" s="55" t="s">
        <v>2067</v>
      </c>
    </row>
    <row r="1870" spans="2:9" ht="15" customHeight="1" x14ac:dyDescent="0.25">
      <c r="B1870" s="51" t="s">
        <v>125</v>
      </c>
      <c r="C1870" s="52">
        <v>800</v>
      </c>
      <c r="D1870" s="53" t="s">
        <v>4327</v>
      </c>
      <c r="E1870" s="54"/>
      <c r="F1870" s="52" t="str">
        <f>IF(INDEX(I.Performance.EndRange,800)="","",INDEX(I.Performance.EndRange,800))</f>
        <v/>
      </c>
      <c r="G1870" s="54"/>
      <c r="H1870" s="52" t="str">
        <f>IF(AND(I.Compliance.FulfilledPerformance&gt;0,I.Performance.RangeCount&gt;=800,F1870=""),"Incomplete","Complete")</f>
        <v>Complete</v>
      </c>
      <c r="I1870" s="55" t="s">
        <v>2068</v>
      </c>
    </row>
    <row r="1871" spans="2:9" ht="15" customHeight="1" x14ac:dyDescent="0.25">
      <c r="B1871" s="51" t="s">
        <v>125</v>
      </c>
      <c r="C1871" s="52">
        <v>801</v>
      </c>
      <c r="D1871" s="53" t="s">
        <v>4327</v>
      </c>
      <c r="E1871" s="54"/>
      <c r="F1871" s="52" t="str">
        <f>IF(INDEX(I.Performance.EndRange,801)="","",INDEX(I.Performance.EndRange,801))</f>
        <v/>
      </c>
      <c r="G1871" s="54"/>
      <c r="H1871" s="52" t="str">
        <f>IF(AND(I.Compliance.FulfilledPerformance&gt;0,I.Performance.RangeCount&gt;=801,F1871=""),"Incomplete","Complete")</f>
        <v>Complete</v>
      </c>
      <c r="I1871" s="55" t="s">
        <v>2069</v>
      </c>
    </row>
    <row r="1872" spans="2:9" ht="15" customHeight="1" x14ac:dyDescent="0.25">
      <c r="B1872" s="51" t="s">
        <v>125</v>
      </c>
      <c r="C1872" s="52">
        <v>802</v>
      </c>
      <c r="D1872" s="53" t="s">
        <v>4327</v>
      </c>
      <c r="E1872" s="54"/>
      <c r="F1872" s="52" t="str">
        <f>IF(INDEX(I.Performance.EndRange,802)="","",INDEX(I.Performance.EndRange,802))</f>
        <v/>
      </c>
      <c r="G1872" s="54"/>
      <c r="H1872" s="52" t="str">
        <f>IF(AND(I.Compliance.FulfilledPerformance&gt;0,I.Performance.RangeCount&gt;=802,F1872=""),"Incomplete","Complete")</f>
        <v>Complete</v>
      </c>
      <c r="I1872" s="55" t="s">
        <v>2070</v>
      </c>
    </row>
    <row r="1873" spans="2:9" ht="15" customHeight="1" x14ac:dyDescent="0.25">
      <c r="B1873" s="51" t="s">
        <v>125</v>
      </c>
      <c r="C1873" s="52">
        <v>803</v>
      </c>
      <c r="D1873" s="53" t="s">
        <v>4327</v>
      </c>
      <c r="E1873" s="54"/>
      <c r="F1873" s="52" t="str">
        <f>IF(INDEX(I.Performance.EndRange,803)="","",INDEX(I.Performance.EndRange,803))</f>
        <v/>
      </c>
      <c r="G1873" s="54"/>
      <c r="H1873" s="52" t="str">
        <f>IF(AND(I.Compliance.FulfilledPerformance&gt;0,I.Performance.RangeCount&gt;=803,F1873=""),"Incomplete","Complete")</f>
        <v>Complete</v>
      </c>
      <c r="I1873" s="55" t="s">
        <v>2071</v>
      </c>
    </row>
    <row r="1874" spans="2:9" ht="15" customHeight="1" x14ac:dyDescent="0.25">
      <c r="B1874" s="51" t="s">
        <v>125</v>
      </c>
      <c r="C1874" s="52">
        <v>804</v>
      </c>
      <c r="D1874" s="53" t="s">
        <v>4327</v>
      </c>
      <c r="E1874" s="54"/>
      <c r="F1874" s="52" t="str">
        <f>IF(INDEX(I.Performance.EndRange,804)="","",INDEX(I.Performance.EndRange,804))</f>
        <v/>
      </c>
      <c r="G1874" s="54"/>
      <c r="H1874" s="52" t="str">
        <f>IF(AND(I.Compliance.FulfilledPerformance&gt;0,I.Performance.RangeCount&gt;=804,F1874=""),"Incomplete","Complete")</f>
        <v>Complete</v>
      </c>
      <c r="I1874" s="55" t="s">
        <v>2072</v>
      </c>
    </row>
    <row r="1875" spans="2:9" ht="15" customHeight="1" x14ac:dyDescent="0.25">
      <c r="B1875" s="51" t="s">
        <v>125</v>
      </c>
      <c r="C1875" s="52">
        <v>805</v>
      </c>
      <c r="D1875" s="53" t="s">
        <v>4327</v>
      </c>
      <c r="E1875" s="54"/>
      <c r="F1875" s="52" t="str">
        <f>IF(INDEX(I.Performance.EndRange,805)="","",INDEX(I.Performance.EndRange,805))</f>
        <v/>
      </c>
      <c r="G1875" s="54"/>
      <c r="H1875" s="52" t="str">
        <f>IF(AND(I.Compliance.FulfilledPerformance&gt;0,I.Performance.RangeCount&gt;=805,F1875=""),"Incomplete","Complete")</f>
        <v>Complete</v>
      </c>
      <c r="I1875" s="55" t="s">
        <v>2073</v>
      </c>
    </row>
    <row r="1876" spans="2:9" ht="15" customHeight="1" x14ac:dyDescent="0.25">
      <c r="B1876" s="51" t="s">
        <v>125</v>
      </c>
      <c r="C1876" s="52">
        <v>806</v>
      </c>
      <c r="D1876" s="53" t="s">
        <v>4327</v>
      </c>
      <c r="E1876" s="54"/>
      <c r="F1876" s="52" t="str">
        <f>IF(INDEX(I.Performance.EndRange,806)="","",INDEX(I.Performance.EndRange,806))</f>
        <v/>
      </c>
      <c r="G1876" s="54"/>
      <c r="H1876" s="52" t="str">
        <f>IF(AND(I.Compliance.FulfilledPerformance&gt;0,I.Performance.RangeCount&gt;=806,F1876=""),"Incomplete","Complete")</f>
        <v>Complete</v>
      </c>
      <c r="I1876" s="55" t="s">
        <v>2074</v>
      </c>
    </row>
    <row r="1877" spans="2:9" ht="15" customHeight="1" x14ac:dyDescent="0.25">
      <c r="B1877" s="51" t="s">
        <v>125</v>
      </c>
      <c r="C1877" s="52">
        <v>807</v>
      </c>
      <c r="D1877" s="53" t="s">
        <v>4327</v>
      </c>
      <c r="E1877" s="54"/>
      <c r="F1877" s="52" t="str">
        <f>IF(INDEX(I.Performance.EndRange,807)="","",INDEX(I.Performance.EndRange,807))</f>
        <v/>
      </c>
      <c r="G1877" s="54"/>
      <c r="H1877" s="52" t="str">
        <f>IF(AND(I.Compliance.FulfilledPerformance&gt;0,I.Performance.RangeCount&gt;=807,F1877=""),"Incomplete","Complete")</f>
        <v>Complete</v>
      </c>
      <c r="I1877" s="55" t="s">
        <v>2075</v>
      </c>
    </row>
    <row r="1878" spans="2:9" ht="15" customHeight="1" x14ac:dyDescent="0.25">
      <c r="B1878" s="51" t="s">
        <v>125</v>
      </c>
      <c r="C1878" s="52">
        <v>808</v>
      </c>
      <c r="D1878" s="53" t="s">
        <v>4327</v>
      </c>
      <c r="E1878" s="54"/>
      <c r="F1878" s="52" t="str">
        <f>IF(INDEX(I.Performance.EndRange,808)="","",INDEX(I.Performance.EndRange,808))</f>
        <v/>
      </c>
      <c r="G1878" s="54"/>
      <c r="H1878" s="52" t="str">
        <f>IF(AND(I.Compliance.FulfilledPerformance&gt;0,I.Performance.RangeCount&gt;=808,F1878=""),"Incomplete","Complete")</f>
        <v>Complete</v>
      </c>
      <c r="I1878" s="55" t="s">
        <v>2076</v>
      </c>
    </row>
    <row r="1879" spans="2:9" ht="15" customHeight="1" x14ac:dyDescent="0.25">
      <c r="B1879" s="51" t="s">
        <v>125</v>
      </c>
      <c r="C1879" s="52">
        <v>809</v>
      </c>
      <c r="D1879" s="53" t="s">
        <v>4327</v>
      </c>
      <c r="E1879" s="54"/>
      <c r="F1879" s="52" t="str">
        <f>IF(INDEX(I.Performance.EndRange,809)="","",INDEX(I.Performance.EndRange,809))</f>
        <v/>
      </c>
      <c r="G1879" s="54"/>
      <c r="H1879" s="52" t="str">
        <f>IF(AND(I.Compliance.FulfilledPerformance&gt;0,I.Performance.RangeCount&gt;=809,F1879=""),"Incomplete","Complete")</f>
        <v>Complete</v>
      </c>
      <c r="I1879" s="55" t="s">
        <v>2077</v>
      </c>
    </row>
    <row r="1880" spans="2:9" ht="15" customHeight="1" x14ac:dyDescent="0.25">
      <c r="B1880" s="51" t="s">
        <v>125</v>
      </c>
      <c r="C1880" s="52">
        <v>810</v>
      </c>
      <c r="D1880" s="53" t="s">
        <v>4327</v>
      </c>
      <c r="E1880" s="54"/>
      <c r="F1880" s="52" t="str">
        <f>IF(INDEX(I.Performance.EndRange,810)="","",INDEX(I.Performance.EndRange,810))</f>
        <v/>
      </c>
      <c r="G1880" s="54"/>
      <c r="H1880" s="52" t="str">
        <f>IF(AND(I.Compliance.FulfilledPerformance&gt;0,I.Performance.RangeCount&gt;=810,F1880=""),"Incomplete","Complete")</f>
        <v>Complete</v>
      </c>
      <c r="I1880" s="55" t="s">
        <v>2078</v>
      </c>
    </row>
    <row r="1881" spans="2:9" ht="15" customHeight="1" x14ac:dyDescent="0.25">
      <c r="B1881" s="51" t="s">
        <v>125</v>
      </c>
      <c r="C1881" s="52">
        <v>811</v>
      </c>
      <c r="D1881" s="53" t="s">
        <v>4327</v>
      </c>
      <c r="E1881" s="54"/>
      <c r="F1881" s="52" t="str">
        <f>IF(INDEX(I.Performance.EndRange,811)="","",INDEX(I.Performance.EndRange,811))</f>
        <v/>
      </c>
      <c r="G1881" s="54"/>
      <c r="H1881" s="52" t="str">
        <f>IF(AND(I.Compliance.FulfilledPerformance&gt;0,I.Performance.RangeCount&gt;=811,F1881=""),"Incomplete","Complete")</f>
        <v>Complete</v>
      </c>
      <c r="I1881" s="55" t="s">
        <v>2079</v>
      </c>
    </row>
    <row r="1882" spans="2:9" ht="15" customHeight="1" x14ac:dyDescent="0.25">
      <c r="B1882" s="51" t="s">
        <v>125</v>
      </c>
      <c r="C1882" s="52">
        <v>812</v>
      </c>
      <c r="D1882" s="53" t="s">
        <v>4327</v>
      </c>
      <c r="E1882" s="54"/>
      <c r="F1882" s="52" t="str">
        <f>IF(INDEX(I.Performance.EndRange,812)="","",INDEX(I.Performance.EndRange,812))</f>
        <v/>
      </c>
      <c r="G1882" s="54"/>
      <c r="H1882" s="52" t="str">
        <f>IF(AND(I.Compliance.FulfilledPerformance&gt;0,I.Performance.RangeCount&gt;=812,F1882=""),"Incomplete","Complete")</f>
        <v>Complete</v>
      </c>
      <c r="I1882" s="55" t="s">
        <v>2080</v>
      </c>
    </row>
    <row r="1883" spans="2:9" ht="15" customHeight="1" x14ac:dyDescent="0.25">
      <c r="B1883" s="51" t="s">
        <v>125</v>
      </c>
      <c r="C1883" s="52">
        <v>813</v>
      </c>
      <c r="D1883" s="53" t="s">
        <v>4327</v>
      </c>
      <c r="E1883" s="54"/>
      <c r="F1883" s="52" t="str">
        <f>IF(INDEX(I.Performance.EndRange,813)="","",INDEX(I.Performance.EndRange,813))</f>
        <v/>
      </c>
      <c r="G1883" s="54"/>
      <c r="H1883" s="52" t="str">
        <f>IF(AND(I.Compliance.FulfilledPerformance&gt;0,I.Performance.RangeCount&gt;=813,F1883=""),"Incomplete","Complete")</f>
        <v>Complete</v>
      </c>
      <c r="I1883" s="55" t="s">
        <v>2081</v>
      </c>
    </row>
    <row r="1884" spans="2:9" ht="15" customHeight="1" x14ac:dyDescent="0.25">
      <c r="B1884" s="51" t="s">
        <v>125</v>
      </c>
      <c r="C1884" s="52">
        <v>814</v>
      </c>
      <c r="D1884" s="53" t="s">
        <v>4327</v>
      </c>
      <c r="E1884" s="54"/>
      <c r="F1884" s="52" t="str">
        <f>IF(INDEX(I.Performance.EndRange,814)="","",INDEX(I.Performance.EndRange,814))</f>
        <v/>
      </c>
      <c r="G1884" s="54"/>
      <c r="H1884" s="52" t="str">
        <f>IF(AND(I.Compliance.FulfilledPerformance&gt;0,I.Performance.RangeCount&gt;=814,F1884=""),"Incomplete","Complete")</f>
        <v>Complete</v>
      </c>
      <c r="I1884" s="55" t="s">
        <v>2082</v>
      </c>
    </row>
    <row r="1885" spans="2:9" ht="15" customHeight="1" x14ac:dyDescent="0.25">
      <c r="B1885" s="51" t="s">
        <v>125</v>
      </c>
      <c r="C1885" s="52">
        <v>815</v>
      </c>
      <c r="D1885" s="53" t="s">
        <v>4327</v>
      </c>
      <c r="E1885" s="54"/>
      <c r="F1885" s="52" t="str">
        <f>IF(INDEX(I.Performance.EndRange,815)="","",INDEX(I.Performance.EndRange,815))</f>
        <v/>
      </c>
      <c r="G1885" s="54"/>
      <c r="H1885" s="52" t="str">
        <f>IF(AND(I.Compliance.FulfilledPerformance&gt;0,I.Performance.RangeCount&gt;=815,F1885=""),"Incomplete","Complete")</f>
        <v>Complete</v>
      </c>
      <c r="I1885" s="55" t="s">
        <v>2083</v>
      </c>
    </row>
    <row r="1886" spans="2:9" ht="15" customHeight="1" x14ac:dyDescent="0.25">
      <c r="B1886" s="51" t="s">
        <v>125</v>
      </c>
      <c r="C1886" s="52">
        <v>816</v>
      </c>
      <c r="D1886" s="53" t="s">
        <v>4327</v>
      </c>
      <c r="E1886" s="54"/>
      <c r="F1886" s="52" t="str">
        <f>IF(INDEX(I.Performance.EndRange,816)="","",INDEX(I.Performance.EndRange,816))</f>
        <v/>
      </c>
      <c r="G1886" s="54"/>
      <c r="H1886" s="52" t="str">
        <f>IF(AND(I.Compliance.FulfilledPerformance&gt;0,I.Performance.RangeCount&gt;=816,F1886=""),"Incomplete","Complete")</f>
        <v>Complete</v>
      </c>
      <c r="I1886" s="55" t="s">
        <v>2084</v>
      </c>
    </row>
    <row r="1887" spans="2:9" ht="15" customHeight="1" x14ac:dyDescent="0.25">
      <c r="B1887" s="51" t="s">
        <v>125</v>
      </c>
      <c r="C1887" s="52">
        <v>817</v>
      </c>
      <c r="D1887" s="53" t="s">
        <v>4327</v>
      </c>
      <c r="E1887" s="54"/>
      <c r="F1887" s="52" t="str">
        <f>IF(INDEX(I.Performance.EndRange,817)="","",INDEX(I.Performance.EndRange,817))</f>
        <v/>
      </c>
      <c r="G1887" s="54"/>
      <c r="H1887" s="52" t="str">
        <f>IF(AND(I.Compliance.FulfilledPerformance&gt;0,I.Performance.RangeCount&gt;=817,F1887=""),"Incomplete","Complete")</f>
        <v>Complete</v>
      </c>
      <c r="I1887" s="55" t="s">
        <v>2085</v>
      </c>
    </row>
    <row r="1888" spans="2:9" ht="15" customHeight="1" x14ac:dyDescent="0.25">
      <c r="B1888" s="51" t="s">
        <v>125</v>
      </c>
      <c r="C1888" s="52">
        <v>818</v>
      </c>
      <c r="D1888" s="53" t="s">
        <v>4327</v>
      </c>
      <c r="E1888" s="54"/>
      <c r="F1888" s="52" t="str">
        <f>IF(INDEX(I.Performance.EndRange,818)="","",INDEX(I.Performance.EndRange,818))</f>
        <v/>
      </c>
      <c r="G1888" s="54"/>
      <c r="H1888" s="52" t="str">
        <f>IF(AND(I.Compliance.FulfilledPerformance&gt;0,I.Performance.RangeCount&gt;=818,F1888=""),"Incomplete","Complete")</f>
        <v>Complete</v>
      </c>
      <c r="I1888" s="55" t="s">
        <v>2086</v>
      </c>
    </row>
    <row r="1889" spans="2:9" ht="15" customHeight="1" x14ac:dyDescent="0.25">
      <c r="B1889" s="51" t="s">
        <v>125</v>
      </c>
      <c r="C1889" s="52">
        <v>819</v>
      </c>
      <c r="D1889" s="53" t="s">
        <v>4327</v>
      </c>
      <c r="E1889" s="54"/>
      <c r="F1889" s="52" t="str">
        <f>IF(INDEX(I.Performance.EndRange,819)="","",INDEX(I.Performance.EndRange,819))</f>
        <v/>
      </c>
      <c r="G1889" s="54"/>
      <c r="H1889" s="52" t="str">
        <f>IF(AND(I.Compliance.FulfilledPerformance&gt;0,I.Performance.RangeCount&gt;=819,F1889=""),"Incomplete","Complete")</f>
        <v>Complete</v>
      </c>
      <c r="I1889" s="55" t="s">
        <v>2087</v>
      </c>
    </row>
    <row r="1890" spans="2:9" ht="15" customHeight="1" x14ac:dyDescent="0.25">
      <c r="B1890" s="51" t="s">
        <v>125</v>
      </c>
      <c r="C1890" s="52">
        <v>820</v>
      </c>
      <c r="D1890" s="53" t="s">
        <v>4327</v>
      </c>
      <c r="E1890" s="54"/>
      <c r="F1890" s="52" t="str">
        <f>IF(INDEX(I.Performance.EndRange,820)="","",INDEX(I.Performance.EndRange,820))</f>
        <v/>
      </c>
      <c r="G1890" s="54"/>
      <c r="H1890" s="52" t="str">
        <f>IF(AND(I.Compliance.FulfilledPerformance&gt;0,I.Performance.RangeCount&gt;=820,F1890=""),"Incomplete","Complete")</f>
        <v>Complete</v>
      </c>
      <c r="I1890" s="55" t="s">
        <v>2088</v>
      </c>
    </row>
    <row r="1891" spans="2:9" ht="15" customHeight="1" x14ac:dyDescent="0.25">
      <c r="B1891" s="51" t="s">
        <v>125</v>
      </c>
      <c r="C1891" s="52">
        <v>821</v>
      </c>
      <c r="D1891" s="53" t="s">
        <v>4327</v>
      </c>
      <c r="E1891" s="54"/>
      <c r="F1891" s="52" t="str">
        <f>IF(INDEX(I.Performance.EndRange,821)="","",INDEX(I.Performance.EndRange,821))</f>
        <v/>
      </c>
      <c r="G1891" s="54"/>
      <c r="H1891" s="52" t="str">
        <f>IF(AND(I.Compliance.FulfilledPerformance&gt;0,I.Performance.RangeCount&gt;=821,F1891=""),"Incomplete","Complete")</f>
        <v>Complete</v>
      </c>
      <c r="I1891" s="55" t="s">
        <v>2089</v>
      </c>
    </row>
    <row r="1892" spans="2:9" ht="15" customHeight="1" x14ac:dyDescent="0.25">
      <c r="B1892" s="51" t="s">
        <v>125</v>
      </c>
      <c r="C1892" s="52">
        <v>822</v>
      </c>
      <c r="D1892" s="53" t="s">
        <v>4327</v>
      </c>
      <c r="E1892" s="54"/>
      <c r="F1892" s="52" t="str">
        <f>IF(INDEX(I.Performance.EndRange,822)="","",INDEX(I.Performance.EndRange,822))</f>
        <v/>
      </c>
      <c r="G1892" s="54"/>
      <c r="H1892" s="52" t="str">
        <f>IF(AND(I.Compliance.FulfilledPerformance&gt;0,I.Performance.RangeCount&gt;=822,F1892=""),"Incomplete","Complete")</f>
        <v>Complete</v>
      </c>
      <c r="I1892" s="55" t="s">
        <v>2090</v>
      </c>
    </row>
    <row r="1893" spans="2:9" ht="15" customHeight="1" x14ac:dyDescent="0.25">
      <c r="B1893" s="51" t="s">
        <v>125</v>
      </c>
      <c r="C1893" s="52">
        <v>823</v>
      </c>
      <c r="D1893" s="53" t="s">
        <v>4327</v>
      </c>
      <c r="E1893" s="54"/>
      <c r="F1893" s="52" t="str">
        <f>IF(INDEX(I.Performance.EndRange,823)="","",INDEX(I.Performance.EndRange,823))</f>
        <v/>
      </c>
      <c r="G1893" s="54"/>
      <c r="H1893" s="52" t="str">
        <f>IF(AND(I.Compliance.FulfilledPerformance&gt;0,I.Performance.RangeCount&gt;=823,F1893=""),"Incomplete","Complete")</f>
        <v>Complete</v>
      </c>
      <c r="I1893" s="55" t="s">
        <v>2091</v>
      </c>
    </row>
    <row r="1894" spans="2:9" ht="15" customHeight="1" x14ac:dyDescent="0.25">
      <c r="B1894" s="51" t="s">
        <v>125</v>
      </c>
      <c r="C1894" s="52">
        <v>824</v>
      </c>
      <c r="D1894" s="53" t="s">
        <v>4327</v>
      </c>
      <c r="E1894" s="54"/>
      <c r="F1894" s="52" t="str">
        <f>IF(INDEX(I.Performance.EndRange,824)="","",INDEX(I.Performance.EndRange,824))</f>
        <v/>
      </c>
      <c r="G1894" s="54"/>
      <c r="H1894" s="52" t="str">
        <f>IF(AND(I.Compliance.FulfilledPerformance&gt;0,I.Performance.RangeCount&gt;=824,F1894=""),"Incomplete","Complete")</f>
        <v>Complete</v>
      </c>
      <c r="I1894" s="55" t="s">
        <v>2092</v>
      </c>
    </row>
    <row r="1895" spans="2:9" ht="15" customHeight="1" x14ac:dyDescent="0.25">
      <c r="B1895" s="51" t="s">
        <v>125</v>
      </c>
      <c r="C1895" s="52">
        <v>825</v>
      </c>
      <c r="D1895" s="53" t="s">
        <v>4327</v>
      </c>
      <c r="E1895" s="54"/>
      <c r="F1895" s="52" t="str">
        <f>IF(INDEX(I.Performance.EndRange,825)="","",INDEX(I.Performance.EndRange,825))</f>
        <v/>
      </c>
      <c r="G1895" s="54"/>
      <c r="H1895" s="52" t="str">
        <f>IF(AND(I.Compliance.FulfilledPerformance&gt;0,I.Performance.RangeCount&gt;=825,F1895=""),"Incomplete","Complete")</f>
        <v>Complete</v>
      </c>
      <c r="I1895" s="55" t="s">
        <v>2093</v>
      </c>
    </row>
    <row r="1896" spans="2:9" ht="15" customHeight="1" x14ac:dyDescent="0.25">
      <c r="B1896" s="51" t="s">
        <v>125</v>
      </c>
      <c r="C1896" s="52">
        <v>826</v>
      </c>
      <c r="D1896" s="53" t="s">
        <v>4327</v>
      </c>
      <c r="E1896" s="54"/>
      <c r="F1896" s="52" t="str">
        <f>IF(INDEX(I.Performance.EndRange,826)="","",INDEX(I.Performance.EndRange,826))</f>
        <v/>
      </c>
      <c r="G1896" s="54"/>
      <c r="H1896" s="52" t="str">
        <f>IF(AND(I.Compliance.FulfilledPerformance&gt;0,I.Performance.RangeCount&gt;=826,F1896=""),"Incomplete","Complete")</f>
        <v>Complete</v>
      </c>
      <c r="I1896" s="55" t="s">
        <v>2094</v>
      </c>
    </row>
    <row r="1897" spans="2:9" ht="15" customHeight="1" x14ac:dyDescent="0.25">
      <c r="B1897" s="51" t="s">
        <v>125</v>
      </c>
      <c r="C1897" s="52">
        <v>827</v>
      </c>
      <c r="D1897" s="53" t="s">
        <v>4327</v>
      </c>
      <c r="E1897" s="54"/>
      <c r="F1897" s="52" t="str">
        <f>IF(INDEX(I.Performance.EndRange,827)="","",INDEX(I.Performance.EndRange,827))</f>
        <v/>
      </c>
      <c r="G1897" s="54"/>
      <c r="H1897" s="52" t="str">
        <f>IF(AND(I.Compliance.FulfilledPerformance&gt;0,I.Performance.RangeCount&gt;=827,F1897=""),"Incomplete","Complete")</f>
        <v>Complete</v>
      </c>
      <c r="I1897" s="55" t="s">
        <v>2095</v>
      </c>
    </row>
    <row r="1898" spans="2:9" ht="15" customHeight="1" x14ac:dyDescent="0.25">
      <c r="B1898" s="51" t="s">
        <v>125</v>
      </c>
      <c r="C1898" s="52">
        <v>828</v>
      </c>
      <c r="D1898" s="53" t="s">
        <v>4327</v>
      </c>
      <c r="E1898" s="54"/>
      <c r="F1898" s="52" t="str">
        <f>IF(INDEX(I.Performance.EndRange,828)="","",INDEX(I.Performance.EndRange,828))</f>
        <v/>
      </c>
      <c r="G1898" s="54"/>
      <c r="H1898" s="52" t="str">
        <f>IF(AND(I.Compliance.FulfilledPerformance&gt;0,I.Performance.RangeCount&gt;=828,F1898=""),"Incomplete","Complete")</f>
        <v>Complete</v>
      </c>
      <c r="I1898" s="55" t="s">
        <v>2096</v>
      </c>
    </row>
    <row r="1899" spans="2:9" ht="15" customHeight="1" x14ac:dyDescent="0.25">
      <c r="B1899" s="51" t="s">
        <v>125</v>
      </c>
      <c r="C1899" s="52">
        <v>829</v>
      </c>
      <c r="D1899" s="53" t="s">
        <v>4327</v>
      </c>
      <c r="E1899" s="54"/>
      <c r="F1899" s="52" t="str">
        <f>IF(INDEX(I.Performance.EndRange,829)="","",INDEX(I.Performance.EndRange,829))</f>
        <v/>
      </c>
      <c r="G1899" s="54"/>
      <c r="H1899" s="52" t="str">
        <f>IF(AND(I.Compliance.FulfilledPerformance&gt;0,I.Performance.RangeCount&gt;=829,F1899=""),"Incomplete","Complete")</f>
        <v>Complete</v>
      </c>
      <c r="I1899" s="55" t="s">
        <v>2097</v>
      </c>
    </row>
    <row r="1900" spans="2:9" ht="15" customHeight="1" x14ac:dyDescent="0.25">
      <c r="B1900" s="51" t="s">
        <v>125</v>
      </c>
      <c r="C1900" s="52">
        <v>830</v>
      </c>
      <c r="D1900" s="53" t="s">
        <v>4327</v>
      </c>
      <c r="E1900" s="54"/>
      <c r="F1900" s="52" t="str">
        <f>IF(INDEX(I.Performance.EndRange,830)="","",INDEX(I.Performance.EndRange,830))</f>
        <v/>
      </c>
      <c r="G1900" s="54"/>
      <c r="H1900" s="52" t="str">
        <f>IF(AND(I.Compliance.FulfilledPerformance&gt;0,I.Performance.RangeCount&gt;=830,F1900=""),"Incomplete","Complete")</f>
        <v>Complete</v>
      </c>
      <c r="I1900" s="55" t="s">
        <v>2098</v>
      </c>
    </row>
    <row r="1901" spans="2:9" ht="15" customHeight="1" x14ac:dyDescent="0.25">
      <c r="B1901" s="51" t="s">
        <v>125</v>
      </c>
      <c r="C1901" s="52">
        <v>831</v>
      </c>
      <c r="D1901" s="53" t="s">
        <v>4327</v>
      </c>
      <c r="E1901" s="54"/>
      <c r="F1901" s="52" t="str">
        <f>IF(INDEX(I.Performance.EndRange,831)="","",INDEX(I.Performance.EndRange,831))</f>
        <v/>
      </c>
      <c r="G1901" s="54"/>
      <c r="H1901" s="52" t="str">
        <f>IF(AND(I.Compliance.FulfilledPerformance&gt;0,I.Performance.RangeCount&gt;=831,F1901=""),"Incomplete","Complete")</f>
        <v>Complete</v>
      </c>
      <c r="I1901" s="55" t="s">
        <v>2099</v>
      </c>
    </row>
    <row r="1902" spans="2:9" ht="15" customHeight="1" x14ac:dyDescent="0.25">
      <c r="B1902" s="51" t="s">
        <v>125</v>
      </c>
      <c r="C1902" s="52">
        <v>832</v>
      </c>
      <c r="D1902" s="53" t="s">
        <v>4327</v>
      </c>
      <c r="E1902" s="54"/>
      <c r="F1902" s="52" t="str">
        <f>IF(INDEX(I.Performance.EndRange,832)="","",INDEX(I.Performance.EndRange,832))</f>
        <v/>
      </c>
      <c r="G1902" s="54"/>
      <c r="H1902" s="52" t="str">
        <f>IF(AND(I.Compliance.FulfilledPerformance&gt;0,I.Performance.RangeCount&gt;=832,F1902=""),"Incomplete","Complete")</f>
        <v>Complete</v>
      </c>
      <c r="I1902" s="55" t="s">
        <v>2100</v>
      </c>
    </row>
    <row r="1903" spans="2:9" ht="15" customHeight="1" x14ac:dyDescent="0.25">
      <c r="B1903" s="51" t="s">
        <v>125</v>
      </c>
      <c r="C1903" s="52">
        <v>833</v>
      </c>
      <c r="D1903" s="53" t="s">
        <v>4327</v>
      </c>
      <c r="E1903" s="54"/>
      <c r="F1903" s="52" t="str">
        <f>IF(INDEX(I.Performance.EndRange,833)="","",INDEX(I.Performance.EndRange,833))</f>
        <v/>
      </c>
      <c r="G1903" s="54"/>
      <c r="H1903" s="52" t="str">
        <f>IF(AND(I.Compliance.FulfilledPerformance&gt;0,I.Performance.RangeCount&gt;=833,F1903=""),"Incomplete","Complete")</f>
        <v>Complete</v>
      </c>
      <c r="I1903" s="55" t="s">
        <v>2101</v>
      </c>
    </row>
    <row r="1904" spans="2:9" ht="15" customHeight="1" x14ac:dyDescent="0.25">
      <c r="B1904" s="51" t="s">
        <v>125</v>
      </c>
      <c r="C1904" s="52">
        <v>834</v>
      </c>
      <c r="D1904" s="53" t="s">
        <v>4327</v>
      </c>
      <c r="E1904" s="54"/>
      <c r="F1904" s="52" t="str">
        <f>IF(INDEX(I.Performance.EndRange,834)="","",INDEX(I.Performance.EndRange,834))</f>
        <v/>
      </c>
      <c r="G1904" s="54"/>
      <c r="H1904" s="52" t="str">
        <f>IF(AND(I.Compliance.FulfilledPerformance&gt;0,I.Performance.RangeCount&gt;=834,F1904=""),"Incomplete","Complete")</f>
        <v>Complete</v>
      </c>
      <c r="I1904" s="55" t="s">
        <v>2102</v>
      </c>
    </row>
    <row r="1905" spans="2:9" ht="15" customHeight="1" x14ac:dyDescent="0.25">
      <c r="B1905" s="51" t="s">
        <v>125</v>
      </c>
      <c r="C1905" s="52">
        <v>835</v>
      </c>
      <c r="D1905" s="53" t="s">
        <v>4327</v>
      </c>
      <c r="E1905" s="54"/>
      <c r="F1905" s="52" t="str">
        <f>IF(INDEX(I.Performance.EndRange,835)="","",INDEX(I.Performance.EndRange,835))</f>
        <v/>
      </c>
      <c r="G1905" s="54"/>
      <c r="H1905" s="52" t="str">
        <f>IF(AND(I.Compliance.FulfilledPerformance&gt;0,I.Performance.RangeCount&gt;=835,F1905=""),"Incomplete","Complete")</f>
        <v>Complete</v>
      </c>
      <c r="I1905" s="55" t="s">
        <v>2103</v>
      </c>
    </row>
    <row r="1906" spans="2:9" ht="15" customHeight="1" x14ac:dyDescent="0.25">
      <c r="B1906" s="51" t="s">
        <v>125</v>
      </c>
      <c r="C1906" s="52">
        <v>836</v>
      </c>
      <c r="D1906" s="53" t="s">
        <v>4327</v>
      </c>
      <c r="E1906" s="54"/>
      <c r="F1906" s="52" t="str">
        <f>IF(INDEX(I.Performance.EndRange,836)="","",INDEX(I.Performance.EndRange,836))</f>
        <v/>
      </c>
      <c r="G1906" s="54"/>
      <c r="H1906" s="52" t="str">
        <f>IF(AND(I.Compliance.FulfilledPerformance&gt;0,I.Performance.RangeCount&gt;=836,F1906=""),"Incomplete","Complete")</f>
        <v>Complete</v>
      </c>
      <c r="I1906" s="55" t="s">
        <v>2104</v>
      </c>
    </row>
    <row r="1907" spans="2:9" ht="15" customHeight="1" x14ac:dyDescent="0.25">
      <c r="B1907" s="51" t="s">
        <v>125</v>
      </c>
      <c r="C1907" s="52">
        <v>837</v>
      </c>
      <c r="D1907" s="53" t="s">
        <v>4327</v>
      </c>
      <c r="E1907" s="54"/>
      <c r="F1907" s="52" t="str">
        <f>IF(INDEX(I.Performance.EndRange,837)="","",INDEX(I.Performance.EndRange,837))</f>
        <v/>
      </c>
      <c r="G1907" s="54"/>
      <c r="H1907" s="52" t="str">
        <f>IF(AND(I.Compliance.FulfilledPerformance&gt;0,I.Performance.RangeCount&gt;=837,F1907=""),"Incomplete","Complete")</f>
        <v>Complete</v>
      </c>
      <c r="I1907" s="55" t="s">
        <v>2105</v>
      </c>
    </row>
    <row r="1908" spans="2:9" ht="15" customHeight="1" x14ac:dyDescent="0.25">
      <c r="B1908" s="51" t="s">
        <v>125</v>
      </c>
      <c r="C1908" s="52">
        <v>838</v>
      </c>
      <c r="D1908" s="53" t="s">
        <v>4327</v>
      </c>
      <c r="E1908" s="54"/>
      <c r="F1908" s="52" t="str">
        <f>IF(INDEX(I.Performance.EndRange,838)="","",INDEX(I.Performance.EndRange,838))</f>
        <v/>
      </c>
      <c r="G1908" s="54"/>
      <c r="H1908" s="52" t="str">
        <f>IF(AND(I.Compliance.FulfilledPerformance&gt;0,I.Performance.RangeCount&gt;=838,F1908=""),"Incomplete","Complete")</f>
        <v>Complete</v>
      </c>
      <c r="I1908" s="55" t="s">
        <v>2106</v>
      </c>
    </row>
    <row r="1909" spans="2:9" ht="15" customHeight="1" x14ac:dyDescent="0.25">
      <c r="B1909" s="51" t="s">
        <v>125</v>
      </c>
      <c r="C1909" s="52">
        <v>839</v>
      </c>
      <c r="D1909" s="53" t="s">
        <v>4327</v>
      </c>
      <c r="E1909" s="54"/>
      <c r="F1909" s="52" t="str">
        <f>IF(INDEX(I.Performance.EndRange,839)="","",INDEX(I.Performance.EndRange,839))</f>
        <v/>
      </c>
      <c r="G1909" s="54"/>
      <c r="H1909" s="52" t="str">
        <f>IF(AND(I.Compliance.FulfilledPerformance&gt;0,I.Performance.RangeCount&gt;=839,F1909=""),"Incomplete","Complete")</f>
        <v>Complete</v>
      </c>
      <c r="I1909" s="55" t="s">
        <v>2107</v>
      </c>
    </row>
    <row r="1910" spans="2:9" ht="15" customHeight="1" x14ac:dyDescent="0.25">
      <c r="B1910" s="51" t="s">
        <v>125</v>
      </c>
      <c r="C1910" s="52">
        <v>840</v>
      </c>
      <c r="D1910" s="53" t="s">
        <v>4327</v>
      </c>
      <c r="E1910" s="54"/>
      <c r="F1910" s="52" t="str">
        <f>IF(INDEX(I.Performance.EndRange,840)="","",INDEX(I.Performance.EndRange,840))</f>
        <v/>
      </c>
      <c r="G1910" s="54"/>
      <c r="H1910" s="52" t="str">
        <f>IF(AND(I.Compliance.FulfilledPerformance&gt;0,I.Performance.RangeCount&gt;=840,F1910=""),"Incomplete","Complete")</f>
        <v>Complete</v>
      </c>
      <c r="I1910" s="55" t="s">
        <v>2108</v>
      </c>
    </row>
    <row r="1911" spans="2:9" ht="15" customHeight="1" x14ac:dyDescent="0.25">
      <c r="B1911" s="51" t="s">
        <v>125</v>
      </c>
      <c r="C1911" s="52">
        <v>841</v>
      </c>
      <c r="D1911" s="53" t="s">
        <v>4327</v>
      </c>
      <c r="E1911" s="54"/>
      <c r="F1911" s="52" t="str">
        <f>IF(INDEX(I.Performance.EndRange,841)="","",INDEX(I.Performance.EndRange,841))</f>
        <v/>
      </c>
      <c r="G1911" s="54"/>
      <c r="H1911" s="52" t="str">
        <f>IF(AND(I.Compliance.FulfilledPerformance&gt;0,I.Performance.RangeCount&gt;=841,F1911=""),"Incomplete","Complete")</f>
        <v>Complete</v>
      </c>
      <c r="I1911" s="55" t="s">
        <v>2109</v>
      </c>
    </row>
    <row r="1912" spans="2:9" ht="15" customHeight="1" x14ac:dyDescent="0.25">
      <c r="B1912" s="51" t="s">
        <v>125</v>
      </c>
      <c r="C1912" s="52">
        <v>842</v>
      </c>
      <c r="D1912" s="53" t="s">
        <v>4327</v>
      </c>
      <c r="E1912" s="54"/>
      <c r="F1912" s="52" t="str">
        <f>IF(INDEX(I.Performance.EndRange,842)="","",INDEX(I.Performance.EndRange,842))</f>
        <v/>
      </c>
      <c r="G1912" s="54"/>
      <c r="H1912" s="52" t="str">
        <f>IF(AND(I.Compliance.FulfilledPerformance&gt;0,I.Performance.RangeCount&gt;=842,F1912=""),"Incomplete","Complete")</f>
        <v>Complete</v>
      </c>
      <c r="I1912" s="55" t="s">
        <v>2110</v>
      </c>
    </row>
    <row r="1913" spans="2:9" ht="15" customHeight="1" x14ac:dyDescent="0.25">
      <c r="B1913" s="51" t="s">
        <v>125</v>
      </c>
      <c r="C1913" s="52">
        <v>843</v>
      </c>
      <c r="D1913" s="53" t="s">
        <v>4327</v>
      </c>
      <c r="E1913" s="54"/>
      <c r="F1913" s="52" t="str">
        <f>IF(INDEX(I.Performance.EndRange,843)="","",INDEX(I.Performance.EndRange,843))</f>
        <v/>
      </c>
      <c r="G1913" s="54"/>
      <c r="H1913" s="52" t="str">
        <f>IF(AND(I.Compliance.FulfilledPerformance&gt;0,I.Performance.RangeCount&gt;=843,F1913=""),"Incomplete","Complete")</f>
        <v>Complete</v>
      </c>
      <c r="I1913" s="55" t="s">
        <v>2111</v>
      </c>
    </row>
    <row r="1914" spans="2:9" ht="15" customHeight="1" x14ac:dyDescent="0.25">
      <c r="B1914" s="51" t="s">
        <v>125</v>
      </c>
      <c r="C1914" s="52">
        <v>844</v>
      </c>
      <c r="D1914" s="53" t="s">
        <v>4327</v>
      </c>
      <c r="E1914" s="54"/>
      <c r="F1914" s="52" t="str">
        <f>IF(INDEX(I.Performance.EndRange,844)="","",INDEX(I.Performance.EndRange,844))</f>
        <v/>
      </c>
      <c r="G1914" s="54"/>
      <c r="H1914" s="52" t="str">
        <f>IF(AND(I.Compliance.FulfilledPerformance&gt;0,I.Performance.RangeCount&gt;=844,F1914=""),"Incomplete","Complete")</f>
        <v>Complete</v>
      </c>
      <c r="I1914" s="55" t="s">
        <v>2112</v>
      </c>
    </row>
    <row r="1915" spans="2:9" ht="15" customHeight="1" x14ac:dyDescent="0.25">
      <c r="B1915" s="51" t="s">
        <v>125</v>
      </c>
      <c r="C1915" s="52">
        <v>845</v>
      </c>
      <c r="D1915" s="53" t="s">
        <v>4327</v>
      </c>
      <c r="E1915" s="54"/>
      <c r="F1915" s="52" t="str">
        <f>IF(INDEX(I.Performance.EndRange,845)="","",INDEX(I.Performance.EndRange,845))</f>
        <v/>
      </c>
      <c r="G1915" s="54"/>
      <c r="H1915" s="52" t="str">
        <f>IF(AND(I.Compliance.FulfilledPerformance&gt;0,I.Performance.RangeCount&gt;=845,F1915=""),"Incomplete","Complete")</f>
        <v>Complete</v>
      </c>
      <c r="I1915" s="55" t="s">
        <v>2113</v>
      </c>
    </row>
    <row r="1916" spans="2:9" ht="15" customHeight="1" x14ac:dyDescent="0.25">
      <c r="B1916" s="51" t="s">
        <v>125</v>
      </c>
      <c r="C1916" s="52">
        <v>846</v>
      </c>
      <c r="D1916" s="53" t="s">
        <v>4327</v>
      </c>
      <c r="E1916" s="54"/>
      <c r="F1916" s="52" t="str">
        <f>IF(INDEX(I.Performance.EndRange,846)="","",INDEX(I.Performance.EndRange,846))</f>
        <v/>
      </c>
      <c r="G1916" s="54"/>
      <c r="H1916" s="52" t="str">
        <f>IF(AND(I.Compliance.FulfilledPerformance&gt;0,I.Performance.RangeCount&gt;=846,F1916=""),"Incomplete","Complete")</f>
        <v>Complete</v>
      </c>
      <c r="I1916" s="55" t="s">
        <v>2114</v>
      </c>
    </row>
    <row r="1917" spans="2:9" ht="15" customHeight="1" x14ac:dyDescent="0.25">
      <c r="B1917" s="51" t="s">
        <v>125</v>
      </c>
      <c r="C1917" s="52">
        <v>847</v>
      </c>
      <c r="D1917" s="53" t="s">
        <v>4327</v>
      </c>
      <c r="E1917" s="54"/>
      <c r="F1917" s="52" t="str">
        <f>IF(INDEX(I.Performance.EndRange,847)="","",INDEX(I.Performance.EndRange,847))</f>
        <v/>
      </c>
      <c r="G1917" s="54"/>
      <c r="H1917" s="52" t="str">
        <f>IF(AND(I.Compliance.FulfilledPerformance&gt;0,I.Performance.RangeCount&gt;=847,F1917=""),"Incomplete","Complete")</f>
        <v>Complete</v>
      </c>
      <c r="I1917" s="55" t="s">
        <v>2115</v>
      </c>
    </row>
    <row r="1918" spans="2:9" ht="15" customHeight="1" x14ac:dyDescent="0.25">
      <c r="B1918" s="51" t="s">
        <v>125</v>
      </c>
      <c r="C1918" s="52">
        <v>848</v>
      </c>
      <c r="D1918" s="53" t="s">
        <v>4327</v>
      </c>
      <c r="E1918" s="54"/>
      <c r="F1918" s="52" t="str">
        <f>IF(INDEX(I.Performance.EndRange,848)="","",INDEX(I.Performance.EndRange,848))</f>
        <v/>
      </c>
      <c r="G1918" s="54"/>
      <c r="H1918" s="52" t="str">
        <f>IF(AND(I.Compliance.FulfilledPerformance&gt;0,I.Performance.RangeCount&gt;=848,F1918=""),"Incomplete","Complete")</f>
        <v>Complete</v>
      </c>
      <c r="I1918" s="55" t="s">
        <v>2116</v>
      </c>
    </row>
    <row r="1919" spans="2:9" ht="15" customHeight="1" x14ac:dyDescent="0.25">
      <c r="B1919" s="51" t="s">
        <v>125</v>
      </c>
      <c r="C1919" s="52">
        <v>849</v>
      </c>
      <c r="D1919" s="53" t="s">
        <v>4327</v>
      </c>
      <c r="E1919" s="54"/>
      <c r="F1919" s="52" t="str">
        <f>IF(INDEX(I.Performance.EndRange,849)="","",INDEX(I.Performance.EndRange,849))</f>
        <v/>
      </c>
      <c r="G1919" s="54"/>
      <c r="H1919" s="52" t="str">
        <f>IF(AND(I.Compliance.FulfilledPerformance&gt;0,I.Performance.RangeCount&gt;=849,F1919=""),"Incomplete","Complete")</f>
        <v>Complete</v>
      </c>
      <c r="I1919" s="55" t="s">
        <v>2117</v>
      </c>
    </row>
    <row r="1920" spans="2:9" ht="15" customHeight="1" x14ac:dyDescent="0.25">
      <c r="B1920" s="51" t="s">
        <v>125</v>
      </c>
      <c r="C1920" s="52">
        <v>850</v>
      </c>
      <c r="D1920" s="53" t="s">
        <v>4327</v>
      </c>
      <c r="E1920" s="54"/>
      <c r="F1920" s="52" t="str">
        <f>IF(INDEX(I.Performance.EndRange,850)="","",INDEX(I.Performance.EndRange,850))</f>
        <v/>
      </c>
      <c r="G1920" s="54"/>
      <c r="H1920" s="52" t="str">
        <f>IF(AND(I.Compliance.FulfilledPerformance&gt;0,I.Performance.RangeCount&gt;=850,F1920=""),"Incomplete","Complete")</f>
        <v>Complete</v>
      </c>
      <c r="I1920" s="55" t="s">
        <v>2118</v>
      </c>
    </row>
    <row r="1921" spans="2:9" ht="15" customHeight="1" x14ac:dyDescent="0.25">
      <c r="B1921" s="51" t="s">
        <v>125</v>
      </c>
      <c r="C1921" s="52">
        <v>851</v>
      </c>
      <c r="D1921" s="53" t="s">
        <v>4327</v>
      </c>
      <c r="E1921" s="54"/>
      <c r="F1921" s="52" t="str">
        <f>IF(INDEX(I.Performance.EndRange,851)="","",INDEX(I.Performance.EndRange,851))</f>
        <v/>
      </c>
      <c r="G1921" s="54"/>
      <c r="H1921" s="52" t="str">
        <f>IF(AND(I.Compliance.FulfilledPerformance&gt;0,I.Performance.RangeCount&gt;=851,F1921=""),"Incomplete","Complete")</f>
        <v>Complete</v>
      </c>
      <c r="I1921" s="55" t="s">
        <v>2119</v>
      </c>
    </row>
    <row r="1922" spans="2:9" ht="15" customHeight="1" x14ac:dyDescent="0.25">
      <c r="B1922" s="51" t="s">
        <v>125</v>
      </c>
      <c r="C1922" s="52">
        <v>852</v>
      </c>
      <c r="D1922" s="53" t="s">
        <v>4327</v>
      </c>
      <c r="E1922" s="54"/>
      <c r="F1922" s="52" t="str">
        <f>IF(INDEX(I.Performance.EndRange,852)="","",INDEX(I.Performance.EndRange,852))</f>
        <v/>
      </c>
      <c r="G1922" s="54"/>
      <c r="H1922" s="52" t="str">
        <f>IF(AND(I.Compliance.FulfilledPerformance&gt;0,I.Performance.RangeCount&gt;=852,F1922=""),"Incomplete","Complete")</f>
        <v>Complete</v>
      </c>
      <c r="I1922" s="55" t="s">
        <v>2120</v>
      </c>
    </row>
    <row r="1923" spans="2:9" ht="15" customHeight="1" x14ac:dyDescent="0.25">
      <c r="B1923" s="51" t="s">
        <v>125</v>
      </c>
      <c r="C1923" s="52">
        <v>853</v>
      </c>
      <c r="D1923" s="53" t="s">
        <v>4327</v>
      </c>
      <c r="E1923" s="54"/>
      <c r="F1923" s="52" t="str">
        <f>IF(INDEX(I.Performance.EndRange,853)="","",INDEX(I.Performance.EndRange,853))</f>
        <v/>
      </c>
      <c r="G1923" s="54"/>
      <c r="H1923" s="52" t="str">
        <f>IF(AND(I.Compliance.FulfilledPerformance&gt;0,I.Performance.RangeCount&gt;=853,F1923=""),"Incomplete","Complete")</f>
        <v>Complete</v>
      </c>
      <c r="I1923" s="55" t="s">
        <v>2121</v>
      </c>
    </row>
    <row r="1924" spans="2:9" ht="15" customHeight="1" x14ac:dyDescent="0.25">
      <c r="B1924" s="51" t="s">
        <v>125</v>
      </c>
      <c r="C1924" s="52">
        <v>854</v>
      </c>
      <c r="D1924" s="53" t="s">
        <v>4327</v>
      </c>
      <c r="E1924" s="54"/>
      <c r="F1924" s="52" t="str">
        <f>IF(INDEX(I.Performance.EndRange,854)="","",INDEX(I.Performance.EndRange,854))</f>
        <v/>
      </c>
      <c r="G1924" s="54"/>
      <c r="H1924" s="52" t="str">
        <f>IF(AND(I.Compliance.FulfilledPerformance&gt;0,I.Performance.RangeCount&gt;=854,F1924=""),"Incomplete","Complete")</f>
        <v>Complete</v>
      </c>
      <c r="I1924" s="55" t="s">
        <v>2122</v>
      </c>
    </row>
    <row r="1925" spans="2:9" ht="15" customHeight="1" x14ac:dyDescent="0.25">
      <c r="B1925" s="51" t="s">
        <v>125</v>
      </c>
      <c r="C1925" s="52">
        <v>855</v>
      </c>
      <c r="D1925" s="53" t="s">
        <v>4327</v>
      </c>
      <c r="E1925" s="54"/>
      <c r="F1925" s="52" t="str">
        <f>IF(INDEX(I.Performance.EndRange,855)="","",INDEX(I.Performance.EndRange,855))</f>
        <v/>
      </c>
      <c r="G1925" s="54"/>
      <c r="H1925" s="52" t="str">
        <f>IF(AND(I.Compliance.FulfilledPerformance&gt;0,I.Performance.RangeCount&gt;=855,F1925=""),"Incomplete","Complete")</f>
        <v>Complete</v>
      </c>
      <c r="I1925" s="55" t="s">
        <v>2123</v>
      </c>
    </row>
    <row r="1926" spans="2:9" ht="15" customHeight="1" x14ac:dyDescent="0.25">
      <c r="B1926" s="51" t="s">
        <v>125</v>
      </c>
      <c r="C1926" s="52">
        <v>856</v>
      </c>
      <c r="D1926" s="53" t="s">
        <v>4327</v>
      </c>
      <c r="E1926" s="54"/>
      <c r="F1926" s="52" t="str">
        <f>IF(INDEX(I.Performance.EndRange,856)="","",INDEX(I.Performance.EndRange,856))</f>
        <v/>
      </c>
      <c r="G1926" s="54"/>
      <c r="H1926" s="52" t="str">
        <f>IF(AND(I.Compliance.FulfilledPerformance&gt;0,I.Performance.RangeCount&gt;=856,F1926=""),"Incomplete","Complete")</f>
        <v>Complete</v>
      </c>
      <c r="I1926" s="55" t="s">
        <v>2124</v>
      </c>
    </row>
    <row r="1927" spans="2:9" ht="15" customHeight="1" x14ac:dyDescent="0.25">
      <c r="B1927" s="51" t="s">
        <v>125</v>
      </c>
      <c r="C1927" s="52">
        <v>857</v>
      </c>
      <c r="D1927" s="53" t="s">
        <v>4327</v>
      </c>
      <c r="E1927" s="54"/>
      <c r="F1927" s="52" t="str">
        <f>IF(INDEX(I.Performance.EndRange,857)="","",INDEX(I.Performance.EndRange,857))</f>
        <v/>
      </c>
      <c r="G1927" s="54"/>
      <c r="H1927" s="52" t="str">
        <f>IF(AND(I.Compliance.FulfilledPerformance&gt;0,I.Performance.RangeCount&gt;=857,F1927=""),"Incomplete","Complete")</f>
        <v>Complete</v>
      </c>
      <c r="I1927" s="55" t="s">
        <v>2125</v>
      </c>
    </row>
    <row r="1928" spans="2:9" ht="15" customHeight="1" x14ac:dyDescent="0.25">
      <c r="B1928" s="51" t="s">
        <v>125</v>
      </c>
      <c r="C1928" s="52">
        <v>858</v>
      </c>
      <c r="D1928" s="53" t="s">
        <v>4327</v>
      </c>
      <c r="E1928" s="54"/>
      <c r="F1928" s="52" t="str">
        <f>IF(INDEX(I.Performance.EndRange,858)="","",INDEX(I.Performance.EndRange,858))</f>
        <v/>
      </c>
      <c r="G1928" s="54"/>
      <c r="H1928" s="52" t="str">
        <f>IF(AND(I.Compliance.FulfilledPerformance&gt;0,I.Performance.RangeCount&gt;=858,F1928=""),"Incomplete","Complete")</f>
        <v>Complete</v>
      </c>
      <c r="I1928" s="55" t="s">
        <v>2126</v>
      </c>
    </row>
    <row r="1929" spans="2:9" ht="15" customHeight="1" x14ac:dyDescent="0.25">
      <c r="B1929" s="51" t="s">
        <v>125</v>
      </c>
      <c r="C1929" s="52">
        <v>859</v>
      </c>
      <c r="D1929" s="53" t="s">
        <v>4327</v>
      </c>
      <c r="E1929" s="54"/>
      <c r="F1929" s="52" t="str">
        <f>IF(INDEX(I.Performance.EndRange,859)="","",INDEX(I.Performance.EndRange,859))</f>
        <v/>
      </c>
      <c r="G1929" s="54"/>
      <c r="H1929" s="52" t="str">
        <f>IF(AND(I.Compliance.FulfilledPerformance&gt;0,I.Performance.RangeCount&gt;=859,F1929=""),"Incomplete","Complete")</f>
        <v>Complete</v>
      </c>
      <c r="I1929" s="55" t="s">
        <v>2127</v>
      </c>
    </row>
    <row r="1930" spans="2:9" ht="15" customHeight="1" x14ac:dyDescent="0.25">
      <c r="B1930" s="51" t="s">
        <v>125</v>
      </c>
      <c r="C1930" s="52">
        <v>860</v>
      </c>
      <c r="D1930" s="53" t="s">
        <v>4327</v>
      </c>
      <c r="E1930" s="54"/>
      <c r="F1930" s="52" t="str">
        <f>IF(INDEX(I.Performance.EndRange,860)="","",INDEX(I.Performance.EndRange,860))</f>
        <v/>
      </c>
      <c r="G1930" s="54"/>
      <c r="H1930" s="52" t="str">
        <f>IF(AND(I.Compliance.FulfilledPerformance&gt;0,I.Performance.RangeCount&gt;=860,F1930=""),"Incomplete","Complete")</f>
        <v>Complete</v>
      </c>
      <c r="I1930" s="55" t="s">
        <v>2128</v>
      </c>
    </row>
    <row r="1931" spans="2:9" ht="15" customHeight="1" x14ac:dyDescent="0.25">
      <c r="B1931" s="51" t="s">
        <v>125</v>
      </c>
      <c r="C1931" s="52">
        <v>861</v>
      </c>
      <c r="D1931" s="53" t="s">
        <v>4327</v>
      </c>
      <c r="E1931" s="54"/>
      <c r="F1931" s="52" t="str">
        <f>IF(INDEX(I.Performance.EndRange,861)="","",INDEX(I.Performance.EndRange,861))</f>
        <v/>
      </c>
      <c r="G1931" s="54"/>
      <c r="H1931" s="52" t="str">
        <f>IF(AND(I.Compliance.FulfilledPerformance&gt;0,I.Performance.RangeCount&gt;=861,F1931=""),"Incomplete","Complete")</f>
        <v>Complete</v>
      </c>
      <c r="I1931" s="55" t="s">
        <v>2129</v>
      </c>
    </row>
    <row r="1932" spans="2:9" ht="15" customHeight="1" x14ac:dyDescent="0.25">
      <c r="B1932" s="51" t="s">
        <v>125</v>
      </c>
      <c r="C1932" s="52">
        <v>862</v>
      </c>
      <c r="D1932" s="53" t="s">
        <v>4327</v>
      </c>
      <c r="E1932" s="54"/>
      <c r="F1932" s="52" t="str">
        <f>IF(INDEX(I.Performance.EndRange,862)="","",INDEX(I.Performance.EndRange,862))</f>
        <v/>
      </c>
      <c r="G1932" s="54"/>
      <c r="H1932" s="52" t="str">
        <f>IF(AND(I.Compliance.FulfilledPerformance&gt;0,I.Performance.RangeCount&gt;=862,F1932=""),"Incomplete","Complete")</f>
        <v>Complete</v>
      </c>
      <c r="I1932" s="55" t="s">
        <v>2130</v>
      </c>
    </row>
    <row r="1933" spans="2:9" ht="15" customHeight="1" x14ac:dyDescent="0.25">
      <c r="B1933" s="51" t="s">
        <v>125</v>
      </c>
      <c r="C1933" s="52">
        <v>863</v>
      </c>
      <c r="D1933" s="53" t="s">
        <v>4327</v>
      </c>
      <c r="E1933" s="54"/>
      <c r="F1933" s="52" t="str">
        <f>IF(INDEX(I.Performance.EndRange,863)="","",INDEX(I.Performance.EndRange,863))</f>
        <v/>
      </c>
      <c r="G1933" s="54"/>
      <c r="H1933" s="52" t="str">
        <f>IF(AND(I.Compliance.FulfilledPerformance&gt;0,I.Performance.RangeCount&gt;=863,F1933=""),"Incomplete","Complete")</f>
        <v>Complete</v>
      </c>
      <c r="I1933" s="55" t="s">
        <v>2131</v>
      </c>
    </row>
    <row r="1934" spans="2:9" ht="15" customHeight="1" x14ac:dyDescent="0.25">
      <c r="B1934" s="51" t="s">
        <v>125</v>
      </c>
      <c r="C1934" s="52">
        <v>864</v>
      </c>
      <c r="D1934" s="53" t="s">
        <v>4327</v>
      </c>
      <c r="E1934" s="54"/>
      <c r="F1934" s="52" t="str">
        <f>IF(INDEX(I.Performance.EndRange,864)="","",INDEX(I.Performance.EndRange,864))</f>
        <v/>
      </c>
      <c r="G1934" s="54"/>
      <c r="H1934" s="52" t="str">
        <f>IF(AND(I.Compliance.FulfilledPerformance&gt;0,I.Performance.RangeCount&gt;=864,F1934=""),"Incomplete","Complete")</f>
        <v>Complete</v>
      </c>
      <c r="I1934" s="55" t="s">
        <v>2132</v>
      </c>
    </row>
    <row r="1935" spans="2:9" ht="15" customHeight="1" x14ac:dyDescent="0.25">
      <c r="B1935" s="51" t="s">
        <v>125</v>
      </c>
      <c r="C1935" s="52">
        <v>865</v>
      </c>
      <c r="D1935" s="53" t="s">
        <v>4327</v>
      </c>
      <c r="E1935" s="54"/>
      <c r="F1935" s="52" t="str">
        <f>IF(INDEX(I.Performance.EndRange,865)="","",INDEX(I.Performance.EndRange,865))</f>
        <v/>
      </c>
      <c r="G1935" s="54"/>
      <c r="H1935" s="52" t="str">
        <f>IF(AND(I.Compliance.FulfilledPerformance&gt;0,I.Performance.RangeCount&gt;=865,F1935=""),"Incomplete","Complete")</f>
        <v>Complete</v>
      </c>
      <c r="I1935" s="55" t="s">
        <v>2133</v>
      </c>
    </row>
    <row r="1936" spans="2:9" ht="15" customHeight="1" x14ac:dyDescent="0.25">
      <c r="B1936" s="51" t="s">
        <v>125</v>
      </c>
      <c r="C1936" s="52">
        <v>866</v>
      </c>
      <c r="D1936" s="53" t="s">
        <v>4327</v>
      </c>
      <c r="E1936" s="54"/>
      <c r="F1936" s="52" t="str">
        <f>IF(INDEX(I.Performance.EndRange,866)="","",INDEX(I.Performance.EndRange,866))</f>
        <v/>
      </c>
      <c r="G1936" s="54"/>
      <c r="H1936" s="52" t="str">
        <f>IF(AND(I.Compliance.FulfilledPerformance&gt;0,I.Performance.RangeCount&gt;=866,F1936=""),"Incomplete","Complete")</f>
        <v>Complete</v>
      </c>
      <c r="I1936" s="55" t="s">
        <v>2134</v>
      </c>
    </row>
    <row r="1937" spans="2:9" ht="15" customHeight="1" x14ac:dyDescent="0.25">
      <c r="B1937" s="51" t="s">
        <v>125</v>
      </c>
      <c r="C1937" s="52">
        <v>867</v>
      </c>
      <c r="D1937" s="53" t="s">
        <v>4327</v>
      </c>
      <c r="E1937" s="54"/>
      <c r="F1937" s="52" t="str">
        <f>IF(INDEX(I.Performance.EndRange,867)="","",INDEX(I.Performance.EndRange,867))</f>
        <v/>
      </c>
      <c r="G1937" s="54"/>
      <c r="H1937" s="52" t="str">
        <f>IF(AND(I.Compliance.FulfilledPerformance&gt;0,I.Performance.RangeCount&gt;=867,F1937=""),"Incomplete","Complete")</f>
        <v>Complete</v>
      </c>
      <c r="I1937" s="55" t="s">
        <v>2135</v>
      </c>
    </row>
    <row r="1938" spans="2:9" ht="15" customHeight="1" x14ac:dyDescent="0.25">
      <c r="B1938" s="51" t="s">
        <v>125</v>
      </c>
      <c r="C1938" s="52">
        <v>868</v>
      </c>
      <c r="D1938" s="53" t="s">
        <v>4327</v>
      </c>
      <c r="E1938" s="54"/>
      <c r="F1938" s="52" t="str">
        <f>IF(INDEX(I.Performance.EndRange,868)="","",INDEX(I.Performance.EndRange,868))</f>
        <v/>
      </c>
      <c r="G1938" s="54"/>
      <c r="H1938" s="52" t="str">
        <f>IF(AND(I.Compliance.FulfilledPerformance&gt;0,I.Performance.RangeCount&gt;=868,F1938=""),"Incomplete","Complete")</f>
        <v>Complete</v>
      </c>
      <c r="I1938" s="55" t="s">
        <v>2136</v>
      </c>
    </row>
    <row r="1939" spans="2:9" ht="15" customHeight="1" x14ac:dyDescent="0.25">
      <c r="B1939" s="51" t="s">
        <v>125</v>
      </c>
      <c r="C1939" s="52">
        <v>869</v>
      </c>
      <c r="D1939" s="53" t="s">
        <v>4327</v>
      </c>
      <c r="E1939" s="54"/>
      <c r="F1939" s="52" t="str">
        <f>IF(INDEX(I.Performance.EndRange,869)="","",INDEX(I.Performance.EndRange,869))</f>
        <v/>
      </c>
      <c r="G1939" s="54"/>
      <c r="H1939" s="52" t="str">
        <f>IF(AND(I.Compliance.FulfilledPerformance&gt;0,I.Performance.RangeCount&gt;=869,F1939=""),"Incomplete","Complete")</f>
        <v>Complete</v>
      </c>
      <c r="I1939" s="55" t="s">
        <v>2137</v>
      </c>
    </row>
    <row r="1940" spans="2:9" ht="15" customHeight="1" x14ac:dyDescent="0.25">
      <c r="B1940" s="51" t="s">
        <v>125</v>
      </c>
      <c r="C1940" s="52">
        <v>870</v>
      </c>
      <c r="D1940" s="53" t="s">
        <v>4327</v>
      </c>
      <c r="E1940" s="54"/>
      <c r="F1940" s="52" t="str">
        <f>IF(INDEX(I.Performance.EndRange,870)="","",INDEX(I.Performance.EndRange,870))</f>
        <v/>
      </c>
      <c r="G1940" s="54"/>
      <c r="H1940" s="52" t="str">
        <f>IF(AND(I.Compliance.FulfilledPerformance&gt;0,I.Performance.RangeCount&gt;=870,F1940=""),"Incomplete","Complete")</f>
        <v>Complete</v>
      </c>
      <c r="I1940" s="55" t="s">
        <v>2138</v>
      </c>
    </row>
    <row r="1941" spans="2:9" ht="15" customHeight="1" x14ac:dyDescent="0.25">
      <c r="B1941" s="51" t="s">
        <v>125</v>
      </c>
      <c r="C1941" s="52">
        <v>871</v>
      </c>
      <c r="D1941" s="53" t="s">
        <v>4327</v>
      </c>
      <c r="E1941" s="54"/>
      <c r="F1941" s="52" t="str">
        <f>IF(INDEX(I.Performance.EndRange,871)="","",INDEX(I.Performance.EndRange,871))</f>
        <v/>
      </c>
      <c r="G1941" s="54"/>
      <c r="H1941" s="52" t="str">
        <f>IF(AND(I.Compliance.FulfilledPerformance&gt;0,I.Performance.RangeCount&gt;=871,F1941=""),"Incomplete","Complete")</f>
        <v>Complete</v>
      </c>
      <c r="I1941" s="55" t="s">
        <v>2139</v>
      </c>
    </row>
    <row r="1942" spans="2:9" ht="15" customHeight="1" x14ac:dyDescent="0.25">
      <c r="B1942" s="51" t="s">
        <v>125</v>
      </c>
      <c r="C1942" s="52">
        <v>872</v>
      </c>
      <c r="D1942" s="53" t="s">
        <v>4327</v>
      </c>
      <c r="E1942" s="54"/>
      <c r="F1942" s="52" t="str">
        <f>IF(INDEX(I.Performance.EndRange,872)="","",INDEX(I.Performance.EndRange,872))</f>
        <v/>
      </c>
      <c r="G1942" s="54"/>
      <c r="H1942" s="52" t="str">
        <f>IF(AND(I.Compliance.FulfilledPerformance&gt;0,I.Performance.RangeCount&gt;=872,F1942=""),"Incomplete","Complete")</f>
        <v>Complete</v>
      </c>
      <c r="I1942" s="55" t="s">
        <v>2140</v>
      </c>
    </row>
    <row r="1943" spans="2:9" ht="15" customHeight="1" x14ac:dyDescent="0.25">
      <c r="B1943" s="51" t="s">
        <v>125</v>
      </c>
      <c r="C1943" s="52">
        <v>873</v>
      </c>
      <c r="D1943" s="53" t="s">
        <v>4327</v>
      </c>
      <c r="E1943" s="54"/>
      <c r="F1943" s="52" t="str">
        <f>IF(INDEX(I.Performance.EndRange,873)="","",INDEX(I.Performance.EndRange,873))</f>
        <v/>
      </c>
      <c r="G1943" s="54"/>
      <c r="H1943" s="52" t="str">
        <f>IF(AND(I.Compliance.FulfilledPerformance&gt;0,I.Performance.RangeCount&gt;=873,F1943=""),"Incomplete","Complete")</f>
        <v>Complete</v>
      </c>
      <c r="I1943" s="55" t="s">
        <v>2141</v>
      </c>
    </row>
    <row r="1944" spans="2:9" ht="15" customHeight="1" x14ac:dyDescent="0.25">
      <c r="B1944" s="51" t="s">
        <v>125</v>
      </c>
      <c r="C1944" s="52">
        <v>874</v>
      </c>
      <c r="D1944" s="53" t="s">
        <v>4327</v>
      </c>
      <c r="E1944" s="54"/>
      <c r="F1944" s="52" t="str">
        <f>IF(INDEX(I.Performance.EndRange,874)="","",INDEX(I.Performance.EndRange,874))</f>
        <v/>
      </c>
      <c r="G1944" s="54"/>
      <c r="H1944" s="52" t="str">
        <f>IF(AND(I.Compliance.FulfilledPerformance&gt;0,I.Performance.RangeCount&gt;=874,F1944=""),"Incomplete","Complete")</f>
        <v>Complete</v>
      </c>
      <c r="I1944" s="55" t="s">
        <v>2142</v>
      </c>
    </row>
    <row r="1945" spans="2:9" ht="15" customHeight="1" x14ac:dyDescent="0.25">
      <c r="B1945" s="51" t="s">
        <v>125</v>
      </c>
      <c r="C1945" s="52">
        <v>875</v>
      </c>
      <c r="D1945" s="53" t="s">
        <v>4327</v>
      </c>
      <c r="E1945" s="54"/>
      <c r="F1945" s="52" t="str">
        <f>IF(INDEX(I.Performance.EndRange,875)="","",INDEX(I.Performance.EndRange,875))</f>
        <v/>
      </c>
      <c r="G1945" s="54"/>
      <c r="H1945" s="52" t="str">
        <f>IF(AND(I.Compliance.FulfilledPerformance&gt;0,I.Performance.RangeCount&gt;=875,F1945=""),"Incomplete","Complete")</f>
        <v>Complete</v>
      </c>
      <c r="I1945" s="55" t="s">
        <v>2143</v>
      </c>
    </row>
    <row r="1946" spans="2:9" ht="15" customHeight="1" x14ac:dyDescent="0.25">
      <c r="B1946" s="51" t="s">
        <v>125</v>
      </c>
      <c r="C1946" s="52">
        <v>876</v>
      </c>
      <c r="D1946" s="53" t="s">
        <v>4327</v>
      </c>
      <c r="E1946" s="54"/>
      <c r="F1946" s="52" t="str">
        <f>IF(INDEX(I.Performance.EndRange,876)="","",INDEX(I.Performance.EndRange,876))</f>
        <v/>
      </c>
      <c r="G1946" s="54"/>
      <c r="H1946" s="52" t="str">
        <f>IF(AND(I.Compliance.FulfilledPerformance&gt;0,I.Performance.RangeCount&gt;=876,F1946=""),"Incomplete","Complete")</f>
        <v>Complete</v>
      </c>
      <c r="I1946" s="55" t="s">
        <v>2144</v>
      </c>
    </row>
    <row r="1947" spans="2:9" ht="15" customHeight="1" x14ac:dyDescent="0.25">
      <c r="B1947" s="51" t="s">
        <v>125</v>
      </c>
      <c r="C1947" s="52">
        <v>877</v>
      </c>
      <c r="D1947" s="53" t="s">
        <v>4327</v>
      </c>
      <c r="E1947" s="54"/>
      <c r="F1947" s="52" t="str">
        <f>IF(INDEX(I.Performance.EndRange,877)="","",INDEX(I.Performance.EndRange,877))</f>
        <v/>
      </c>
      <c r="G1947" s="54"/>
      <c r="H1947" s="52" t="str">
        <f>IF(AND(I.Compliance.FulfilledPerformance&gt;0,I.Performance.RangeCount&gt;=877,F1947=""),"Incomplete","Complete")</f>
        <v>Complete</v>
      </c>
      <c r="I1947" s="55" t="s">
        <v>2145</v>
      </c>
    </row>
    <row r="1948" spans="2:9" ht="15" customHeight="1" x14ac:dyDescent="0.25">
      <c r="B1948" s="51" t="s">
        <v>125</v>
      </c>
      <c r="C1948" s="52">
        <v>878</v>
      </c>
      <c r="D1948" s="53" t="s">
        <v>4327</v>
      </c>
      <c r="E1948" s="54"/>
      <c r="F1948" s="52" t="str">
        <f>IF(INDEX(I.Performance.EndRange,878)="","",INDEX(I.Performance.EndRange,878))</f>
        <v/>
      </c>
      <c r="G1948" s="54"/>
      <c r="H1948" s="52" t="str">
        <f>IF(AND(I.Compliance.FulfilledPerformance&gt;0,I.Performance.RangeCount&gt;=878,F1948=""),"Incomplete","Complete")</f>
        <v>Complete</v>
      </c>
      <c r="I1948" s="55" t="s">
        <v>2146</v>
      </c>
    </row>
    <row r="1949" spans="2:9" ht="15" customHeight="1" x14ac:dyDescent="0.25">
      <c r="B1949" s="51" t="s">
        <v>125</v>
      </c>
      <c r="C1949" s="52">
        <v>879</v>
      </c>
      <c r="D1949" s="53" t="s">
        <v>4327</v>
      </c>
      <c r="E1949" s="54"/>
      <c r="F1949" s="52" t="str">
        <f>IF(INDEX(I.Performance.EndRange,879)="","",INDEX(I.Performance.EndRange,879))</f>
        <v/>
      </c>
      <c r="G1949" s="54"/>
      <c r="H1949" s="52" t="str">
        <f>IF(AND(I.Compliance.FulfilledPerformance&gt;0,I.Performance.RangeCount&gt;=879,F1949=""),"Incomplete","Complete")</f>
        <v>Complete</v>
      </c>
      <c r="I1949" s="55" t="s">
        <v>2147</v>
      </c>
    </row>
    <row r="1950" spans="2:9" ht="15" customHeight="1" x14ac:dyDescent="0.25">
      <c r="B1950" s="51" t="s">
        <v>125</v>
      </c>
      <c r="C1950" s="52">
        <v>880</v>
      </c>
      <c r="D1950" s="53" t="s">
        <v>4327</v>
      </c>
      <c r="E1950" s="54"/>
      <c r="F1950" s="52" t="str">
        <f>IF(INDEX(I.Performance.EndRange,880)="","",INDEX(I.Performance.EndRange,880))</f>
        <v/>
      </c>
      <c r="G1950" s="54"/>
      <c r="H1950" s="52" t="str">
        <f>IF(AND(I.Compliance.FulfilledPerformance&gt;0,I.Performance.RangeCount&gt;=880,F1950=""),"Incomplete","Complete")</f>
        <v>Complete</v>
      </c>
      <c r="I1950" s="55" t="s">
        <v>2148</v>
      </c>
    </row>
    <row r="1951" spans="2:9" ht="15" customHeight="1" x14ac:dyDescent="0.25">
      <c r="B1951" s="51" t="s">
        <v>125</v>
      </c>
      <c r="C1951" s="52">
        <v>881</v>
      </c>
      <c r="D1951" s="53" t="s">
        <v>4327</v>
      </c>
      <c r="E1951" s="54"/>
      <c r="F1951" s="52" t="str">
        <f>IF(INDEX(I.Performance.EndRange,881)="","",INDEX(I.Performance.EndRange,881))</f>
        <v/>
      </c>
      <c r="G1951" s="54"/>
      <c r="H1951" s="52" t="str">
        <f>IF(AND(I.Compliance.FulfilledPerformance&gt;0,I.Performance.RangeCount&gt;=881,F1951=""),"Incomplete","Complete")</f>
        <v>Complete</v>
      </c>
      <c r="I1951" s="55" t="s">
        <v>2149</v>
      </c>
    </row>
    <row r="1952" spans="2:9" ht="15" customHeight="1" x14ac:dyDescent="0.25">
      <c r="B1952" s="51" t="s">
        <v>125</v>
      </c>
      <c r="C1952" s="52">
        <v>882</v>
      </c>
      <c r="D1952" s="53" t="s">
        <v>4327</v>
      </c>
      <c r="E1952" s="54"/>
      <c r="F1952" s="52" t="str">
        <f>IF(INDEX(I.Performance.EndRange,882)="","",INDEX(I.Performance.EndRange,882))</f>
        <v/>
      </c>
      <c r="G1952" s="54"/>
      <c r="H1952" s="52" t="str">
        <f>IF(AND(I.Compliance.FulfilledPerformance&gt;0,I.Performance.RangeCount&gt;=882,F1952=""),"Incomplete","Complete")</f>
        <v>Complete</v>
      </c>
      <c r="I1952" s="55" t="s">
        <v>2150</v>
      </c>
    </row>
    <row r="1953" spans="2:9" ht="15" customHeight="1" x14ac:dyDescent="0.25">
      <c r="B1953" s="51" t="s">
        <v>125</v>
      </c>
      <c r="C1953" s="52">
        <v>883</v>
      </c>
      <c r="D1953" s="53" t="s">
        <v>4327</v>
      </c>
      <c r="E1953" s="54"/>
      <c r="F1953" s="52" t="str">
        <f>IF(INDEX(I.Performance.EndRange,883)="","",INDEX(I.Performance.EndRange,883))</f>
        <v/>
      </c>
      <c r="G1953" s="54"/>
      <c r="H1953" s="52" t="str">
        <f>IF(AND(I.Compliance.FulfilledPerformance&gt;0,I.Performance.RangeCount&gt;=883,F1953=""),"Incomplete","Complete")</f>
        <v>Complete</v>
      </c>
      <c r="I1953" s="55" t="s">
        <v>2151</v>
      </c>
    </row>
    <row r="1954" spans="2:9" ht="15" customHeight="1" x14ac:dyDescent="0.25">
      <c r="B1954" s="51" t="s">
        <v>125</v>
      </c>
      <c r="C1954" s="52">
        <v>884</v>
      </c>
      <c r="D1954" s="53" t="s">
        <v>4327</v>
      </c>
      <c r="E1954" s="54"/>
      <c r="F1954" s="52" t="str">
        <f>IF(INDEX(I.Performance.EndRange,884)="","",INDEX(I.Performance.EndRange,884))</f>
        <v/>
      </c>
      <c r="G1954" s="54"/>
      <c r="H1954" s="52" t="str">
        <f>IF(AND(I.Compliance.FulfilledPerformance&gt;0,I.Performance.RangeCount&gt;=884,F1954=""),"Incomplete","Complete")</f>
        <v>Complete</v>
      </c>
      <c r="I1954" s="55" t="s">
        <v>2152</v>
      </c>
    </row>
    <row r="1955" spans="2:9" ht="15" customHeight="1" x14ac:dyDescent="0.25">
      <c r="B1955" s="51" t="s">
        <v>125</v>
      </c>
      <c r="C1955" s="52">
        <v>885</v>
      </c>
      <c r="D1955" s="53" t="s">
        <v>4327</v>
      </c>
      <c r="E1955" s="54"/>
      <c r="F1955" s="52" t="str">
        <f>IF(INDEX(I.Performance.EndRange,885)="","",INDEX(I.Performance.EndRange,885))</f>
        <v/>
      </c>
      <c r="G1955" s="54"/>
      <c r="H1955" s="52" t="str">
        <f>IF(AND(I.Compliance.FulfilledPerformance&gt;0,I.Performance.RangeCount&gt;=885,F1955=""),"Incomplete","Complete")</f>
        <v>Complete</v>
      </c>
      <c r="I1955" s="55" t="s">
        <v>2153</v>
      </c>
    </row>
    <row r="1956" spans="2:9" ht="15" customHeight="1" x14ac:dyDescent="0.25">
      <c r="B1956" s="51" t="s">
        <v>125</v>
      </c>
      <c r="C1956" s="52">
        <v>886</v>
      </c>
      <c r="D1956" s="53" t="s">
        <v>4327</v>
      </c>
      <c r="E1956" s="54"/>
      <c r="F1956" s="52" t="str">
        <f>IF(INDEX(I.Performance.EndRange,886)="","",INDEX(I.Performance.EndRange,886))</f>
        <v/>
      </c>
      <c r="G1956" s="54"/>
      <c r="H1956" s="52" t="str">
        <f>IF(AND(I.Compliance.FulfilledPerformance&gt;0,I.Performance.RangeCount&gt;=886,F1956=""),"Incomplete","Complete")</f>
        <v>Complete</v>
      </c>
      <c r="I1956" s="55" t="s">
        <v>2154</v>
      </c>
    </row>
    <row r="1957" spans="2:9" ht="15" customHeight="1" x14ac:dyDescent="0.25">
      <c r="B1957" s="51" t="s">
        <v>125</v>
      </c>
      <c r="C1957" s="52">
        <v>887</v>
      </c>
      <c r="D1957" s="53" t="s">
        <v>4327</v>
      </c>
      <c r="E1957" s="54"/>
      <c r="F1957" s="52" t="str">
        <f>IF(INDEX(I.Performance.EndRange,887)="","",INDEX(I.Performance.EndRange,887))</f>
        <v/>
      </c>
      <c r="G1957" s="54"/>
      <c r="H1957" s="52" t="str">
        <f>IF(AND(I.Compliance.FulfilledPerformance&gt;0,I.Performance.RangeCount&gt;=887,F1957=""),"Incomplete","Complete")</f>
        <v>Complete</v>
      </c>
      <c r="I1957" s="55" t="s">
        <v>2155</v>
      </c>
    </row>
    <row r="1958" spans="2:9" ht="15" customHeight="1" x14ac:dyDescent="0.25">
      <c r="B1958" s="51" t="s">
        <v>125</v>
      </c>
      <c r="C1958" s="52">
        <v>888</v>
      </c>
      <c r="D1958" s="53" t="s">
        <v>4327</v>
      </c>
      <c r="E1958" s="54"/>
      <c r="F1958" s="52" t="str">
        <f>IF(INDEX(I.Performance.EndRange,888)="","",INDEX(I.Performance.EndRange,888))</f>
        <v/>
      </c>
      <c r="G1958" s="54"/>
      <c r="H1958" s="52" t="str">
        <f>IF(AND(I.Compliance.FulfilledPerformance&gt;0,I.Performance.RangeCount&gt;=888,F1958=""),"Incomplete","Complete")</f>
        <v>Complete</v>
      </c>
      <c r="I1958" s="55" t="s">
        <v>2156</v>
      </c>
    </row>
    <row r="1959" spans="2:9" ht="15" customHeight="1" x14ac:dyDescent="0.25">
      <c r="B1959" s="51" t="s">
        <v>125</v>
      </c>
      <c r="C1959" s="52">
        <v>889</v>
      </c>
      <c r="D1959" s="53" t="s">
        <v>4327</v>
      </c>
      <c r="E1959" s="54"/>
      <c r="F1959" s="52" t="str">
        <f>IF(INDEX(I.Performance.EndRange,889)="","",INDEX(I.Performance.EndRange,889))</f>
        <v/>
      </c>
      <c r="G1959" s="54"/>
      <c r="H1959" s="52" t="str">
        <f>IF(AND(I.Compliance.FulfilledPerformance&gt;0,I.Performance.RangeCount&gt;=889,F1959=""),"Incomplete","Complete")</f>
        <v>Complete</v>
      </c>
      <c r="I1959" s="55" t="s">
        <v>2157</v>
      </c>
    </row>
    <row r="1960" spans="2:9" ht="15" customHeight="1" x14ac:dyDescent="0.25">
      <c r="B1960" s="51" t="s">
        <v>125</v>
      </c>
      <c r="C1960" s="52">
        <v>890</v>
      </c>
      <c r="D1960" s="53" t="s">
        <v>4327</v>
      </c>
      <c r="E1960" s="54"/>
      <c r="F1960" s="52" t="str">
        <f>IF(INDEX(I.Performance.EndRange,890)="","",INDEX(I.Performance.EndRange,890))</f>
        <v/>
      </c>
      <c r="G1960" s="54"/>
      <c r="H1960" s="52" t="str">
        <f>IF(AND(I.Compliance.FulfilledPerformance&gt;0,I.Performance.RangeCount&gt;=890,F1960=""),"Incomplete","Complete")</f>
        <v>Complete</v>
      </c>
      <c r="I1960" s="55" t="s">
        <v>2158</v>
      </c>
    </row>
    <row r="1961" spans="2:9" ht="15" customHeight="1" x14ac:dyDescent="0.25">
      <c r="B1961" s="51" t="s">
        <v>125</v>
      </c>
      <c r="C1961" s="52">
        <v>891</v>
      </c>
      <c r="D1961" s="53" t="s">
        <v>4327</v>
      </c>
      <c r="E1961" s="54"/>
      <c r="F1961" s="52" t="str">
        <f>IF(INDEX(I.Performance.EndRange,891)="","",INDEX(I.Performance.EndRange,891))</f>
        <v/>
      </c>
      <c r="G1961" s="54"/>
      <c r="H1961" s="52" t="str">
        <f>IF(AND(I.Compliance.FulfilledPerformance&gt;0,I.Performance.RangeCount&gt;=891,F1961=""),"Incomplete","Complete")</f>
        <v>Complete</v>
      </c>
      <c r="I1961" s="55" t="s">
        <v>2159</v>
      </c>
    </row>
    <row r="1962" spans="2:9" ht="15" customHeight="1" x14ac:dyDescent="0.25">
      <c r="B1962" s="51" t="s">
        <v>125</v>
      </c>
      <c r="C1962" s="52">
        <v>892</v>
      </c>
      <c r="D1962" s="53" t="s">
        <v>4327</v>
      </c>
      <c r="E1962" s="54"/>
      <c r="F1962" s="52" t="str">
        <f>IF(INDEX(I.Performance.EndRange,892)="","",INDEX(I.Performance.EndRange,892))</f>
        <v/>
      </c>
      <c r="G1962" s="54"/>
      <c r="H1962" s="52" t="str">
        <f>IF(AND(I.Compliance.FulfilledPerformance&gt;0,I.Performance.RangeCount&gt;=892,F1962=""),"Incomplete","Complete")</f>
        <v>Complete</v>
      </c>
      <c r="I1962" s="55" t="s">
        <v>2160</v>
      </c>
    </row>
    <row r="1963" spans="2:9" ht="15" customHeight="1" x14ac:dyDescent="0.25">
      <c r="B1963" s="51" t="s">
        <v>125</v>
      </c>
      <c r="C1963" s="52">
        <v>893</v>
      </c>
      <c r="D1963" s="53" t="s">
        <v>4327</v>
      </c>
      <c r="E1963" s="54"/>
      <c r="F1963" s="52" t="str">
        <f>IF(INDEX(I.Performance.EndRange,893)="","",INDEX(I.Performance.EndRange,893))</f>
        <v/>
      </c>
      <c r="G1963" s="54"/>
      <c r="H1963" s="52" t="str">
        <f>IF(AND(I.Compliance.FulfilledPerformance&gt;0,I.Performance.RangeCount&gt;=893,F1963=""),"Incomplete","Complete")</f>
        <v>Complete</v>
      </c>
      <c r="I1963" s="55" t="s">
        <v>2161</v>
      </c>
    </row>
    <row r="1964" spans="2:9" ht="15" customHeight="1" x14ac:dyDescent="0.25">
      <c r="B1964" s="51" t="s">
        <v>125</v>
      </c>
      <c r="C1964" s="52">
        <v>894</v>
      </c>
      <c r="D1964" s="53" t="s">
        <v>4327</v>
      </c>
      <c r="E1964" s="54"/>
      <c r="F1964" s="52" t="str">
        <f>IF(INDEX(I.Performance.EndRange,894)="","",INDEX(I.Performance.EndRange,894))</f>
        <v/>
      </c>
      <c r="G1964" s="54"/>
      <c r="H1964" s="52" t="str">
        <f>IF(AND(I.Compliance.FulfilledPerformance&gt;0,I.Performance.RangeCount&gt;=894,F1964=""),"Incomplete","Complete")</f>
        <v>Complete</v>
      </c>
      <c r="I1964" s="55" t="s">
        <v>2162</v>
      </c>
    </row>
    <row r="1965" spans="2:9" ht="15" customHeight="1" x14ac:dyDescent="0.25">
      <c r="B1965" s="51" t="s">
        <v>125</v>
      </c>
      <c r="C1965" s="52">
        <v>895</v>
      </c>
      <c r="D1965" s="53" t="s">
        <v>4327</v>
      </c>
      <c r="E1965" s="54"/>
      <c r="F1965" s="52" t="str">
        <f>IF(INDEX(I.Performance.EndRange,895)="","",INDEX(I.Performance.EndRange,895))</f>
        <v/>
      </c>
      <c r="G1965" s="54"/>
      <c r="H1965" s="52" t="str">
        <f>IF(AND(I.Compliance.FulfilledPerformance&gt;0,I.Performance.RangeCount&gt;=895,F1965=""),"Incomplete","Complete")</f>
        <v>Complete</v>
      </c>
      <c r="I1965" s="55" t="s">
        <v>2163</v>
      </c>
    </row>
    <row r="1966" spans="2:9" ht="15" customHeight="1" x14ac:dyDescent="0.25">
      <c r="B1966" s="51" t="s">
        <v>125</v>
      </c>
      <c r="C1966" s="52">
        <v>896</v>
      </c>
      <c r="D1966" s="53" t="s">
        <v>4327</v>
      </c>
      <c r="E1966" s="54"/>
      <c r="F1966" s="52" t="str">
        <f>IF(INDEX(I.Performance.EndRange,896)="","",INDEX(I.Performance.EndRange,896))</f>
        <v/>
      </c>
      <c r="G1966" s="54"/>
      <c r="H1966" s="52" t="str">
        <f>IF(AND(I.Compliance.FulfilledPerformance&gt;0,I.Performance.RangeCount&gt;=896,F1966=""),"Incomplete","Complete")</f>
        <v>Complete</v>
      </c>
      <c r="I1966" s="55" t="s">
        <v>2164</v>
      </c>
    </row>
    <row r="1967" spans="2:9" ht="15" customHeight="1" x14ac:dyDescent="0.25">
      <c r="B1967" s="51" t="s">
        <v>125</v>
      </c>
      <c r="C1967" s="52">
        <v>897</v>
      </c>
      <c r="D1967" s="53" t="s">
        <v>4327</v>
      </c>
      <c r="E1967" s="54"/>
      <c r="F1967" s="52" t="str">
        <f>IF(INDEX(I.Performance.EndRange,897)="","",INDEX(I.Performance.EndRange,897))</f>
        <v/>
      </c>
      <c r="G1967" s="54"/>
      <c r="H1967" s="52" t="str">
        <f>IF(AND(I.Compliance.FulfilledPerformance&gt;0,I.Performance.RangeCount&gt;=897,F1967=""),"Incomplete","Complete")</f>
        <v>Complete</v>
      </c>
      <c r="I1967" s="55" t="s">
        <v>2165</v>
      </c>
    </row>
    <row r="1968" spans="2:9" ht="15" customHeight="1" x14ac:dyDescent="0.25">
      <c r="B1968" s="51" t="s">
        <v>125</v>
      </c>
      <c r="C1968" s="52">
        <v>898</v>
      </c>
      <c r="D1968" s="53" t="s">
        <v>4327</v>
      </c>
      <c r="E1968" s="54"/>
      <c r="F1968" s="52" t="str">
        <f>IF(INDEX(I.Performance.EndRange,898)="","",INDEX(I.Performance.EndRange,898))</f>
        <v/>
      </c>
      <c r="G1968" s="54"/>
      <c r="H1968" s="52" t="str">
        <f>IF(AND(I.Compliance.FulfilledPerformance&gt;0,I.Performance.RangeCount&gt;=898,F1968=""),"Incomplete","Complete")</f>
        <v>Complete</v>
      </c>
      <c r="I1968" s="55" t="s">
        <v>2166</v>
      </c>
    </row>
    <row r="1969" spans="2:9" ht="15" customHeight="1" x14ac:dyDescent="0.25">
      <c r="B1969" s="51" t="s">
        <v>125</v>
      </c>
      <c r="C1969" s="52">
        <v>899</v>
      </c>
      <c r="D1969" s="53" t="s">
        <v>4327</v>
      </c>
      <c r="E1969" s="54"/>
      <c r="F1969" s="52" t="str">
        <f>IF(INDEX(I.Performance.EndRange,899)="","",INDEX(I.Performance.EndRange,899))</f>
        <v/>
      </c>
      <c r="G1969" s="54"/>
      <c r="H1969" s="52" t="str">
        <f>IF(AND(I.Compliance.FulfilledPerformance&gt;0,I.Performance.RangeCount&gt;=899,F1969=""),"Incomplete","Complete")</f>
        <v>Complete</v>
      </c>
      <c r="I1969" s="55" t="s">
        <v>2167</v>
      </c>
    </row>
    <row r="1970" spans="2:9" ht="15" customHeight="1" x14ac:dyDescent="0.25">
      <c r="B1970" s="51" t="s">
        <v>125</v>
      </c>
      <c r="C1970" s="52">
        <v>900</v>
      </c>
      <c r="D1970" s="53" t="s">
        <v>4327</v>
      </c>
      <c r="E1970" s="54"/>
      <c r="F1970" s="52" t="str">
        <f>IF(INDEX(I.Performance.EndRange,900)="","",INDEX(I.Performance.EndRange,900))</f>
        <v/>
      </c>
      <c r="G1970" s="54"/>
      <c r="H1970" s="52" t="str">
        <f>IF(AND(I.Compliance.FulfilledPerformance&gt;0,I.Performance.RangeCount&gt;=900,F1970=""),"Incomplete","Complete")</f>
        <v>Complete</v>
      </c>
      <c r="I1970" s="55" t="s">
        <v>2168</v>
      </c>
    </row>
    <row r="1971" spans="2:9" ht="15" customHeight="1" x14ac:dyDescent="0.25">
      <c r="B1971" s="51" t="s">
        <v>125</v>
      </c>
      <c r="C1971" s="52">
        <v>901</v>
      </c>
      <c r="D1971" s="53" t="s">
        <v>4327</v>
      </c>
      <c r="E1971" s="54"/>
      <c r="F1971" s="52" t="str">
        <f>IF(INDEX(I.Performance.EndRange,901)="","",INDEX(I.Performance.EndRange,901))</f>
        <v/>
      </c>
      <c r="G1971" s="54"/>
      <c r="H1971" s="52" t="str">
        <f>IF(AND(I.Compliance.FulfilledPerformance&gt;0,I.Performance.RangeCount&gt;=901,F1971=""),"Incomplete","Complete")</f>
        <v>Complete</v>
      </c>
      <c r="I1971" s="55" t="s">
        <v>2169</v>
      </c>
    </row>
    <row r="1972" spans="2:9" ht="15" customHeight="1" x14ac:dyDescent="0.25">
      <c r="B1972" s="51" t="s">
        <v>125</v>
      </c>
      <c r="C1972" s="52">
        <v>902</v>
      </c>
      <c r="D1972" s="53" t="s">
        <v>4327</v>
      </c>
      <c r="E1972" s="54"/>
      <c r="F1972" s="52" t="str">
        <f>IF(INDEX(I.Performance.EndRange,902)="","",INDEX(I.Performance.EndRange,902))</f>
        <v/>
      </c>
      <c r="G1972" s="54"/>
      <c r="H1972" s="52" t="str">
        <f>IF(AND(I.Compliance.FulfilledPerformance&gt;0,I.Performance.RangeCount&gt;=902,F1972=""),"Incomplete","Complete")</f>
        <v>Complete</v>
      </c>
      <c r="I1972" s="55" t="s">
        <v>2170</v>
      </c>
    </row>
    <row r="1973" spans="2:9" ht="15" customHeight="1" x14ac:dyDescent="0.25">
      <c r="B1973" s="51" t="s">
        <v>125</v>
      </c>
      <c r="C1973" s="52">
        <v>903</v>
      </c>
      <c r="D1973" s="53" t="s">
        <v>4327</v>
      </c>
      <c r="E1973" s="54"/>
      <c r="F1973" s="52" t="str">
        <f>IF(INDEX(I.Performance.EndRange,903)="","",INDEX(I.Performance.EndRange,903))</f>
        <v/>
      </c>
      <c r="G1973" s="54"/>
      <c r="H1973" s="52" t="str">
        <f>IF(AND(I.Compliance.FulfilledPerformance&gt;0,I.Performance.RangeCount&gt;=903,F1973=""),"Incomplete","Complete")</f>
        <v>Complete</v>
      </c>
      <c r="I1973" s="55" t="s">
        <v>2171</v>
      </c>
    </row>
    <row r="1974" spans="2:9" ht="15" customHeight="1" x14ac:dyDescent="0.25">
      <c r="B1974" s="51" t="s">
        <v>125</v>
      </c>
      <c r="C1974" s="52">
        <v>904</v>
      </c>
      <c r="D1974" s="53" t="s">
        <v>4327</v>
      </c>
      <c r="E1974" s="54"/>
      <c r="F1974" s="52" t="str">
        <f>IF(INDEX(I.Performance.EndRange,904)="","",INDEX(I.Performance.EndRange,904))</f>
        <v/>
      </c>
      <c r="G1974" s="54"/>
      <c r="H1974" s="52" t="str">
        <f>IF(AND(I.Compliance.FulfilledPerformance&gt;0,I.Performance.RangeCount&gt;=904,F1974=""),"Incomplete","Complete")</f>
        <v>Complete</v>
      </c>
      <c r="I1974" s="55" t="s">
        <v>2172</v>
      </c>
    </row>
    <row r="1975" spans="2:9" ht="15" customHeight="1" x14ac:dyDescent="0.25">
      <c r="B1975" s="51" t="s">
        <v>125</v>
      </c>
      <c r="C1975" s="52">
        <v>905</v>
      </c>
      <c r="D1975" s="53" t="s">
        <v>4327</v>
      </c>
      <c r="E1975" s="54"/>
      <c r="F1975" s="52" t="str">
        <f>IF(INDEX(I.Performance.EndRange,905)="","",INDEX(I.Performance.EndRange,905))</f>
        <v/>
      </c>
      <c r="G1975" s="54"/>
      <c r="H1975" s="52" t="str">
        <f>IF(AND(I.Compliance.FulfilledPerformance&gt;0,I.Performance.RangeCount&gt;=905,F1975=""),"Incomplete","Complete")</f>
        <v>Complete</v>
      </c>
      <c r="I1975" s="55" t="s">
        <v>2173</v>
      </c>
    </row>
    <row r="1976" spans="2:9" ht="15" customHeight="1" x14ac:dyDescent="0.25">
      <c r="B1976" s="51" t="s">
        <v>125</v>
      </c>
      <c r="C1976" s="52">
        <v>906</v>
      </c>
      <c r="D1976" s="53" t="s">
        <v>4327</v>
      </c>
      <c r="E1976" s="54"/>
      <c r="F1976" s="52" t="str">
        <f>IF(INDEX(I.Performance.EndRange,906)="","",INDEX(I.Performance.EndRange,906))</f>
        <v/>
      </c>
      <c r="G1976" s="54"/>
      <c r="H1976" s="52" t="str">
        <f>IF(AND(I.Compliance.FulfilledPerformance&gt;0,I.Performance.RangeCount&gt;=906,F1976=""),"Incomplete","Complete")</f>
        <v>Complete</v>
      </c>
      <c r="I1976" s="55" t="s">
        <v>2174</v>
      </c>
    </row>
    <row r="1977" spans="2:9" ht="15" customHeight="1" x14ac:dyDescent="0.25">
      <c r="B1977" s="51" t="s">
        <v>125</v>
      </c>
      <c r="C1977" s="52">
        <v>907</v>
      </c>
      <c r="D1977" s="53" t="s">
        <v>4327</v>
      </c>
      <c r="E1977" s="54"/>
      <c r="F1977" s="52" t="str">
        <f>IF(INDEX(I.Performance.EndRange,907)="","",INDEX(I.Performance.EndRange,907))</f>
        <v/>
      </c>
      <c r="G1977" s="54"/>
      <c r="H1977" s="52" t="str">
        <f>IF(AND(I.Compliance.FulfilledPerformance&gt;0,I.Performance.RangeCount&gt;=907,F1977=""),"Incomplete","Complete")</f>
        <v>Complete</v>
      </c>
      <c r="I1977" s="55" t="s">
        <v>2175</v>
      </c>
    </row>
    <row r="1978" spans="2:9" ht="15" customHeight="1" x14ac:dyDescent="0.25">
      <c r="B1978" s="51" t="s">
        <v>125</v>
      </c>
      <c r="C1978" s="52">
        <v>908</v>
      </c>
      <c r="D1978" s="53" t="s">
        <v>4327</v>
      </c>
      <c r="E1978" s="54"/>
      <c r="F1978" s="52" t="str">
        <f>IF(INDEX(I.Performance.EndRange,908)="","",INDEX(I.Performance.EndRange,908))</f>
        <v/>
      </c>
      <c r="G1978" s="54"/>
      <c r="H1978" s="52" t="str">
        <f>IF(AND(I.Compliance.FulfilledPerformance&gt;0,I.Performance.RangeCount&gt;=908,F1978=""),"Incomplete","Complete")</f>
        <v>Complete</v>
      </c>
      <c r="I1978" s="55" t="s">
        <v>2176</v>
      </c>
    </row>
    <row r="1979" spans="2:9" ht="15" customHeight="1" x14ac:dyDescent="0.25">
      <c r="B1979" s="51" t="s">
        <v>125</v>
      </c>
      <c r="C1979" s="52">
        <v>909</v>
      </c>
      <c r="D1979" s="53" t="s">
        <v>4327</v>
      </c>
      <c r="E1979" s="54"/>
      <c r="F1979" s="52" t="str">
        <f>IF(INDEX(I.Performance.EndRange,909)="","",INDEX(I.Performance.EndRange,909))</f>
        <v/>
      </c>
      <c r="G1979" s="54"/>
      <c r="H1979" s="52" t="str">
        <f>IF(AND(I.Compliance.FulfilledPerformance&gt;0,I.Performance.RangeCount&gt;=909,F1979=""),"Incomplete","Complete")</f>
        <v>Complete</v>
      </c>
      <c r="I1979" s="55" t="s">
        <v>2177</v>
      </c>
    </row>
    <row r="1980" spans="2:9" ht="15" customHeight="1" x14ac:dyDescent="0.25">
      <c r="B1980" s="51" t="s">
        <v>125</v>
      </c>
      <c r="C1980" s="52">
        <v>910</v>
      </c>
      <c r="D1980" s="53" t="s">
        <v>4327</v>
      </c>
      <c r="E1980" s="54"/>
      <c r="F1980" s="52" t="str">
        <f>IF(INDEX(I.Performance.EndRange,910)="","",INDEX(I.Performance.EndRange,910))</f>
        <v/>
      </c>
      <c r="G1980" s="54"/>
      <c r="H1980" s="52" t="str">
        <f>IF(AND(I.Compliance.FulfilledPerformance&gt;0,I.Performance.RangeCount&gt;=910,F1980=""),"Incomplete","Complete")</f>
        <v>Complete</v>
      </c>
      <c r="I1980" s="55" t="s">
        <v>2178</v>
      </c>
    </row>
    <row r="1981" spans="2:9" ht="15" customHeight="1" x14ac:dyDescent="0.25">
      <c r="B1981" s="51" t="s">
        <v>125</v>
      </c>
      <c r="C1981" s="52">
        <v>911</v>
      </c>
      <c r="D1981" s="53" t="s">
        <v>4327</v>
      </c>
      <c r="E1981" s="54"/>
      <c r="F1981" s="52" t="str">
        <f>IF(INDEX(I.Performance.EndRange,911)="","",INDEX(I.Performance.EndRange,911))</f>
        <v/>
      </c>
      <c r="G1981" s="54"/>
      <c r="H1981" s="52" t="str">
        <f>IF(AND(I.Compliance.FulfilledPerformance&gt;0,I.Performance.RangeCount&gt;=911,F1981=""),"Incomplete","Complete")</f>
        <v>Complete</v>
      </c>
      <c r="I1981" s="55" t="s">
        <v>2179</v>
      </c>
    </row>
    <row r="1982" spans="2:9" ht="15" customHeight="1" x14ac:dyDescent="0.25">
      <c r="B1982" s="51" t="s">
        <v>125</v>
      </c>
      <c r="C1982" s="52">
        <v>912</v>
      </c>
      <c r="D1982" s="53" t="s">
        <v>4327</v>
      </c>
      <c r="E1982" s="54"/>
      <c r="F1982" s="52" t="str">
        <f>IF(INDEX(I.Performance.EndRange,912)="","",INDEX(I.Performance.EndRange,912))</f>
        <v/>
      </c>
      <c r="G1982" s="54"/>
      <c r="H1982" s="52" t="str">
        <f>IF(AND(I.Compliance.FulfilledPerformance&gt;0,I.Performance.RangeCount&gt;=912,F1982=""),"Incomplete","Complete")</f>
        <v>Complete</v>
      </c>
      <c r="I1982" s="55" t="s">
        <v>2180</v>
      </c>
    </row>
    <row r="1983" spans="2:9" ht="15" customHeight="1" x14ac:dyDescent="0.25">
      <c r="B1983" s="51" t="s">
        <v>125</v>
      </c>
      <c r="C1983" s="52">
        <v>913</v>
      </c>
      <c r="D1983" s="53" t="s">
        <v>4327</v>
      </c>
      <c r="E1983" s="54"/>
      <c r="F1983" s="52" t="str">
        <f>IF(INDEX(I.Performance.EndRange,913)="","",INDEX(I.Performance.EndRange,913))</f>
        <v/>
      </c>
      <c r="G1983" s="54"/>
      <c r="H1983" s="52" t="str">
        <f>IF(AND(I.Compliance.FulfilledPerformance&gt;0,I.Performance.RangeCount&gt;=913,F1983=""),"Incomplete","Complete")</f>
        <v>Complete</v>
      </c>
      <c r="I1983" s="55" t="s">
        <v>2181</v>
      </c>
    </row>
    <row r="1984" spans="2:9" ht="15" customHeight="1" x14ac:dyDescent="0.25">
      <c r="B1984" s="51" t="s">
        <v>125</v>
      </c>
      <c r="C1984" s="52">
        <v>914</v>
      </c>
      <c r="D1984" s="53" t="s">
        <v>4327</v>
      </c>
      <c r="E1984" s="54"/>
      <c r="F1984" s="52" t="str">
        <f>IF(INDEX(I.Performance.EndRange,914)="","",INDEX(I.Performance.EndRange,914))</f>
        <v/>
      </c>
      <c r="G1984" s="54"/>
      <c r="H1984" s="52" t="str">
        <f>IF(AND(I.Compliance.FulfilledPerformance&gt;0,I.Performance.RangeCount&gt;=914,F1984=""),"Incomplete","Complete")</f>
        <v>Complete</v>
      </c>
      <c r="I1984" s="55" t="s">
        <v>2182</v>
      </c>
    </row>
    <row r="1985" spans="2:9" ht="15" customHeight="1" x14ac:dyDescent="0.25">
      <c r="B1985" s="51" t="s">
        <v>125</v>
      </c>
      <c r="C1985" s="52">
        <v>915</v>
      </c>
      <c r="D1985" s="53" t="s">
        <v>4327</v>
      </c>
      <c r="E1985" s="54"/>
      <c r="F1985" s="52" t="str">
        <f>IF(INDEX(I.Performance.EndRange,915)="","",INDEX(I.Performance.EndRange,915))</f>
        <v/>
      </c>
      <c r="G1985" s="54"/>
      <c r="H1985" s="52" t="str">
        <f>IF(AND(I.Compliance.FulfilledPerformance&gt;0,I.Performance.RangeCount&gt;=915,F1985=""),"Incomplete","Complete")</f>
        <v>Complete</v>
      </c>
      <c r="I1985" s="55" t="s">
        <v>2183</v>
      </c>
    </row>
    <row r="1986" spans="2:9" ht="15" customHeight="1" x14ac:dyDescent="0.25">
      <c r="B1986" s="51" t="s">
        <v>125</v>
      </c>
      <c r="C1986" s="52">
        <v>916</v>
      </c>
      <c r="D1986" s="53" t="s">
        <v>4327</v>
      </c>
      <c r="E1986" s="54"/>
      <c r="F1986" s="52" t="str">
        <f>IF(INDEX(I.Performance.EndRange,916)="","",INDEX(I.Performance.EndRange,916))</f>
        <v/>
      </c>
      <c r="G1986" s="54"/>
      <c r="H1986" s="52" t="str">
        <f>IF(AND(I.Compliance.FulfilledPerformance&gt;0,I.Performance.RangeCount&gt;=916,F1986=""),"Incomplete","Complete")</f>
        <v>Complete</v>
      </c>
      <c r="I1986" s="55" t="s">
        <v>2184</v>
      </c>
    </row>
    <row r="1987" spans="2:9" ht="15" customHeight="1" x14ac:dyDescent="0.25">
      <c r="B1987" s="51" t="s">
        <v>125</v>
      </c>
      <c r="C1987" s="52">
        <v>917</v>
      </c>
      <c r="D1987" s="53" t="s">
        <v>4327</v>
      </c>
      <c r="E1987" s="54"/>
      <c r="F1987" s="52" t="str">
        <f>IF(INDEX(I.Performance.EndRange,917)="","",INDEX(I.Performance.EndRange,917))</f>
        <v/>
      </c>
      <c r="G1987" s="54"/>
      <c r="H1987" s="52" t="str">
        <f>IF(AND(I.Compliance.FulfilledPerformance&gt;0,I.Performance.RangeCount&gt;=917,F1987=""),"Incomplete","Complete")</f>
        <v>Complete</v>
      </c>
      <c r="I1987" s="55" t="s">
        <v>2185</v>
      </c>
    </row>
    <row r="1988" spans="2:9" ht="15" customHeight="1" x14ac:dyDescent="0.25">
      <c r="B1988" s="51" t="s">
        <v>125</v>
      </c>
      <c r="C1988" s="52">
        <v>918</v>
      </c>
      <c r="D1988" s="53" t="s">
        <v>4327</v>
      </c>
      <c r="E1988" s="54"/>
      <c r="F1988" s="52" t="str">
        <f>IF(INDEX(I.Performance.EndRange,918)="","",INDEX(I.Performance.EndRange,918))</f>
        <v/>
      </c>
      <c r="G1988" s="54"/>
      <c r="H1988" s="52" t="str">
        <f>IF(AND(I.Compliance.FulfilledPerformance&gt;0,I.Performance.RangeCount&gt;=918,F1988=""),"Incomplete","Complete")</f>
        <v>Complete</v>
      </c>
      <c r="I1988" s="55" t="s">
        <v>2186</v>
      </c>
    </row>
    <row r="1989" spans="2:9" ht="15" customHeight="1" x14ac:dyDescent="0.25">
      <c r="B1989" s="51" t="s">
        <v>125</v>
      </c>
      <c r="C1989" s="52">
        <v>919</v>
      </c>
      <c r="D1989" s="53" t="s">
        <v>4327</v>
      </c>
      <c r="E1989" s="54"/>
      <c r="F1989" s="52" t="str">
        <f>IF(INDEX(I.Performance.EndRange,919)="","",INDEX(I.Performance.EndRange,919))</f>
        <v/>
      </c>
      <c r="G1989" s="54"/>
      <c r="H1989" s="52" t="str">
        <f>IF(AND(I.Compliance.FulfilledPerformance&gt;0,I.Performance.RangeCount&gt;=919,F1989=""),"Incomplete","Complete")</f>
        <v>Complete</v>
      </c>
      <c r="I1989" s="55" t="s">
        <v>2187</v>
      </c>
    </row>
    <row r="1990" spans="2:9" ht="15" customHeight="1" x14ac:dyDescent="0.25">
      <c r="B1990" s="51" t="s">
        <v>125</v>
      </c>
      <c r="C1990" s="52">
        <v>920</v>
      </c>
      <c r="D1990" s="53" t="s">
        <v>4327</v>
      </c>
      <c r="E1990" s="54"/>
      <c r="F1990" s="52" t="str">
        <f>IF(INDEX(I.Performance.EndRange,920)="","",INDEX(I.Performance.EndRange,920))</f>
        <v/>
      </c>
      <c r="G1990" s="54"/>
      <c r="H1990" s="52" t="str">
        <f>IF(AND(I.Compliance.FulfilledPerformance&gt;0,I.Performance.RangeCount&gt;=920,F1990=""),"Incomplete","Complete")</f>
        <v>Complete</v>
      </c>
      <c r="I1990" s="55" t="s">
        <v>2188</v>
      </c>
    </row>
    <row r="1991" spans="2:9" ht="15" customHeight="1" x14ac:dyDescent="0.25">
      <c r="B1991" s="51" t="s">
        <v>125</v>
      </c>
      <c r="C1991" s="52">
        <v>921</v>
      </c>
      <c r="D1991" s="53" t="s">
        <v>4327</v>
      </c>
      <c r="E1991" s="54"/>
      <c r="F1991" s="52" t="str">
        <f>IF(INDEX(I.Performance.EndRange,921)="","",INDEX(I.Performance.EndRange,921))</f>
        <v/>
      </c>
      <c r="G1991" s="54"/>
      <c r="H1991" s="52" t="str">
        <f>IF(AND(I.Compliance.FulfilledPerformance&gt;0,I.Performance.RangeCount&gt;=921,F1991=""),"Incomplete","Complete")</f>
        <v>Complete</v>
      </c>
      <c r="I1991" s="55" t="s">
        <v>2189</v>
      </c>
    </row>
    <row r="1992" spans="2:9" ht="15" customHeight="1" x14ac:dyDescent="0.25">
      <c r="B1992" s="51" t="s">
        <v>125</v>
      </c>
      <c r="C1992" s="52">
        <v>922</v>
      </c>
      <c r="D1992" s="53" t="s">
        <v>4327</v>
      </c>
      <c r="E1992" s="54"/>
      <c r="F1992" s="52" t="str">
        <f>IF(INDEX(I.Performance.EndRange,922)="","",INDEX(I.Performance.EndRange,922))</f>
        <v/>
      </c>
      <c r="G1992" s="54"/>
      <c r="H1992" s="52" t="str">
        <f>IF(AND(I.Compliance.FulfilledPerformance&gt;0,I.Performance.RangeCount&gt;=922,F1992=""),"Incomplete","Complete")</f>
        <v>Complete</v>
      </c>
      <c r="I1992" s="55" t="s">
        <v>2190</v>
      </c>
    </row>
    <row r="1993" spans="2:9" ht="15" customHeight="1" x14ac:dyDescent="0.25">
      <c r="B1993" s="51" t="s">
        <v>125</v>
      </c>
      <c r="C1993" s="52">
        <v>923</v>
      </c>
      <c r="D1993" s="53" t="s">
        <v>4327</v>
      </c>
      <c r="E1993" s="54"/>
      <c r="F1993" s="52" t="str">
        <f>IF(INDEX(I.Performance.EndRange,923)="","",INDEX(I.Performance.EndRange,923))</f>
        <v/>
      </c>
      <c r="G1993" s="54"/>
      <c r="H1993" s="52" t="str">
        <f>IF(AND(I.Compliance.FulfilledPerformance&gt;0,I.Performance.RangeCount&gt;=923,F1993=""),"Incomplete","Complete")</f>
        <v>Complete</v>
      </c>
      <c r="I1993" s="55" t="s">
        <v>2191</v>
      </c>
    </row>
    <row r="1994" spans="2:9" ht="15" customHeight="1" x14ac:dyDescent="0.25">
      <c r="B1994" s="51" t="s">
        <v>125</v>
      </c>
      <c r="C1994" s="52">
        <v>924</v>
      </c>
      <c r="D1994" s="53" t="s">
        <v>4327</v>
      </c>
      <c r="E1994" s="54"/>
      <c r="F1994" s="52" t="str">
        <f>IF(INDEX(I.Performance.EndRange,924)="","",INDEX(I.Performance.EndRange,924))</f>
        <v/>
      </c>
      <c r="G1994" s="54"/>
      <c r="H1994" s="52" t="str">
        <f>IF(AND(I.Compliance.FulfilledPerformance&gt;0,I.Performance.RangeCount&gt;=924,F1994=""),"Incomplete","Complete")</f>
        <v>Complete</v>
      </c>
      <c r="I1994" s="55" t="s">
        <v>2192</v>
      </c>
    </row>
    <row r="1995" spans="2:9" ht="15" customHeight="1" x14ac:dyDescent="0.25">
      <c r="B1995" s="51" t="s">
        <v>125</v>
      </c>
      <c r="C1995" s="52">
        <v>925</v>
      </c>
      <c r="D1995" s="53" t="s">
        <v>4327</v>
      </c>
      <c r="E1995" s="54"/>
      <c r="F1995" s="52" t="str">
        <f>IF(INDEX(I.Performance.EndRange,925)="","",INDEX(I.Performance.EndRange,925))</f>
        <v/>
      </c>
      <c r="G1995" s="54"/>
      <c r="H1995" s="52" t="str">
        <f>IF(AND(I.Compliance.FulfilledPerformance&gt;0,I.Performance.RangeCount&gt;=925,F1995=""),"Incomplete","Complete")</f>
        <v>Complete</v>
      </c>
      <c r="I1995" s="55" t="s">
        <v>2193</v>
      </c>
    </row>
    <row r="1996" spans="2:9" ht="15" customHeight="1" x14ac:dyDescent="0.25">
      <c r="B1996" s="51" t="s">
        <v>125</v>
      </c>
      <c r="C1996" s="52">
        <v>926</v>
      </c>
      <c r="D1996" s="53" t="s">
        <v>4327</v>
      </c>
      <c r="E1996" s="54"/>
      <c r="F1996" s="52" t="str">
        <f>IF(INDEX(I.Performance.EndRange,926)="","",INDEX(I.Performance.EndRange,926))</f>
        <v/>
      </c>
      <c r="G1996" s="54"/>
      <c r="H1996" s="52" t="str">
        <f>IF(AND(I.Compliance.FulfilledPerformance&gt;0,I.Performance.RangeCount&gt;=926,F1996=""),"Incomplete","Complete")</f>
        <v>Complete</v>
      </c>
      <c r="I1996" s="55" t="s">
        <v>2194</v>
      </c>
    </row>
    <row r="1997" spans="2:9" ht="15" customHeight="1" x14ac:dyDescent="0.25">
      <c r="B1997" s="51" t="s">
        <v>125</v>
      </c>
      <c r="C1997" s="52">
        <v>927</v>
      </c>
      <c r="D1997" s="53" t="s">
        <v>4327</v>
      </c>
      <c r="E1997" s="54"/>
      <c r="F1997" s="52" t="str">
        <f>IF(INDEX(I.Performance.EndRange,927)="","",INDEX(I.Performance.EndRange,927))</f>
        <v/>
      </c>
      <c r="G1997" s="54"/>
      <c r="H1997" s="52" t="str">
        <f>IF(AND(I.Compliance.FulfilledPerformance&gt;0,I.Performance.RangeCount&gt;=927,F1997=""),"Incomplete","Complete")</f>
        <v>Complete</v>
      </c>
      <c r="I1997" s="55" t="s">
        <v>2195</v>
      </c>
    </row>
    <row r="1998" spans="2:9" ht="15" customHeight="1" x14ac:dyDescent="0.25">
      <c r="B1998" s="51" t="s">
        <v>125</v>
      </c>
      <c r="C1998" s="52">
        <v>928</v>
      </c>
      <c r="D1998" s="53" t="s">
        <v>4327</v>
      </c>
      <c r="E1998" s="54"/>
      <c r="F1998" s="52" t="str">
        <f>IF(INDEX(I.Performance.EndRange,928)="","",INDEX(I.Performance.EndRange,928))</f>
        <v/>
      </c>
      <c r="G1998" s="54"/>
      <c r="H1998" s="52" t="str">
        <f>IF(AND(I.Compliance.FulfilledPerformance&gt;0,I.Performance.RangeCount&gt;=928,F1998=""),"Incomplete","Complete")</f>
        <v>Complete</v>
      </c>
      <c r="I1998" s="55" t="s">
        <v>2196</v>
      </c>
    </row>
    <row r="1999" spans="2:9" ht="15" customHeight="1" x14ac:dyDescent="0.25">
      <c r="B1999" s="51" t="s">
        <v>125</v>
      </c>
      <c r="C1999" s="52">
        <v>929</v>
      </c>
      <c r="D1999" s="53" t="s">
        <v>4327</v>
      </c>
      <c r="E1999" s="54"/>
      <c r="F1999" s="52" t="str">
        <f>IF(INDEX(I.Performance.EndRange,929)="","",INDEX(I.Performance.EndRange,929))</f>
        <v/>
      </c>
      <c r="G1999" s="54"/>
      <c r="H1999" s="52" t="str">
        <f>IF(AND(I.Compliance.FulfilledPerformance&gt;0,I.Performance.RangeCount&gt;=929,F1999=""),"Incomplete","Complete")</f>
        <v>Complete</v>
      </c>
      <c r="I1999" s="55" t="s">
        <v>2197</v>
      </c>
    </row>
    <row r="2000" spans="2:9" ht="15" customHeight="1" x14ac:dyDescent="0.25">
      <c r="B2000" s="51" t="s">
        <v>125</v>
      </c>
      <c r="C2000" s="52">
        <v>930</v>
      </c>
      <c r="D2000" s="53" t="s">
        <v>4327</v>
      </c>
      <c r="E2000" s="54"/>
      <c r="F2000" s="52" t="str">
        <f>IF(INDEX(I.Performance.EndRange,930)="","",INDEX(I.Performance.EndRange,930))</f>
        <v/>
      </c>
      <c r="G2000" s="54"/>
      <c r="H2000" s="52" t="str">
        <f>IF(AND(I.Compliance.FulfilledPerformance&gt;0,I.Performance.RangeCount&gt;=930,F2000=""),"Incomplete","Complete")</f>
        <v>Complete</v>
      </c>
      <c r="I2000" s="55" t="s">
        <v>2198</v>
      </c>
    </row>
    <row r="2001" spans="2:9" ht="15" customHeight="1" x14ac:dyDescent="0.25">
      <c r="B2001" s="51" t="s">
        <v>125</v>
      </c>
      <c r="C2001" s="52">
        <v>931</v>
      </c>
      <c r="D2001" s="53" t="s">
        <v>4327</v>
      </c>
      <c r="E2001" s="54"/>
      <c r="F2001" s="52" t="str">
        <f>IF(INDEX(I.Performance.EndRange,931)="","",INDEX(I.Performance.EndRange,931))</f>
        <v/>
      </c>
      <c r="G2001" s="54"/>
      <c r="H2001" s="52" t="str">
        <f>IF(AND(I.Compliance.FulfilledPerformance&gt;0,I.Performance.RangeCount&gt;=931,F2001=""),"Incomplete","Complete")</f>
        <v>Complete</v>
      </c>
      <c r="I2001" s="55" t="s">
        <v>2199</v>
      </c>
    </row>
    <row r="2002" spans="2:9" ht="15" customHeight="1" x14ac:dyDescent="0.25">
      <c r="B2002" s="51" t="s">
        <v>125</v>
      </c>
      <c r="C2002" s="52">
        <v>932</v>
      </c>
      <c r="D2002" s="53" t="s">
        <v>4327</v>
      </c>
      <c r="E2002" s="54"/>
      <c r="F2002" s="52" t="str">
        <f>IF(INDEX(I.Performance.EndRange,932)="","",INDEX(I.Performance.EndRange,932))</f>
        <v/>
      </c>
      <c r="G2002" s="54"/>
      <c r="H2002" s="52" t="str">
        <f>IF(AND(I.Compliance.FulfilledPerformance&gt;0,I.Performance.RangeCount&gt;=932,F2002=""),"Incomplete","Complete")</f>
        <v>Complete</v>
      </c>
      <c r="I2002" s="55" t="s">
        <v>2200</v>
      </c>
    </row>
    <row r="2003" spans="2:9" ht="15" customHeight="1" x14ac:dyDescent="0.25">
      <c r="B2003" s="51" t="s">
        <v>125</v>
      </c>
      <c r="C2003" s="52">
        <v>933</v>
      </c>
      <c r="D2003" s="53" t="s">
        <v>4327</v>
      </c>
      <c r="E2003" s="54"/>
      <c r="F2003" s="52" t="str">
        <f>IF(INDEX(I.Performance.EndRange,933)="","",INDEX(I.Performance.EndRange,933))</f>
        <v/>
      </c>
      <c r="G2003" s="54"/>
      <c r="H2003" s="52" t="str">
        <f>IF(AND(I.Compliance.FulfilledPerformance&gt;0,I.Performance.RangeCount&gt;=933,F2003=""),"Incomplete","Complete")</f>
        <v>Complete</v>
      </c>
      <c r="I2003" s="55" t="s">
        <v>2201</v>
      </c>
    </row>
    <row r="2004" spans="2:9" ht="15" customHeight="1" x14ac:dyDescent="0.25">
      <c r="B2004" s="51" t="s">
        <v>125</v>
      </c>
      <c r="C2004" s="52">
        <v>934</v>
      </c>
      <c r="D2004" s="53" t="s">
        <v>4327</v>
      </c>
      <c r="E2004" s="54"/>
      <c r="F2004" s="52" t="str">
        <f>IF(INDEX(I.Performance.EndRange,934)="","",INDEX(I.Performance.EndRange,934))</f>
        <v/>
      </c>
      <c r="G2004" s="54"/>
      <c r="H2004" s="52" t="str">
        <f>IF(AND(I.Compliance.FulfilledPerformance&gt;0,I.Performance.RangeCount&gt;=934,F2004=""),"Incomplete","Complete")</f>
        <v>Complete</v>
      </c>
      <c r="I2004" s="55" t="s">
        <v>2202</v>
      </c>
    </row>
    <row r="2005" spans="2:9" ht="15" customHeight="1" x14ac:dyDescent="0.25">
      <c r="B2005" s="51" t="s">
        <v>125</v>
      </c>
      <c r="C2005" s="52">
        <v>935</v>
      </c>
      <c r="D2005" s="53" t="s">
        <v>4327</v>
      </c>
      <c r="E2005" s="54"/>
      <c r="F2005" s="52" t="str">
        <f>IF(INDEX(I.Performance.EndRange,935)="","",INDEX(I.Performance.EndRange,935))</f>
        <v/>
      </c>
      <c r="G2005" s="54"/>
      <c r="H2005" s="52" t="str">
        <f>IF(AND(I.Compliance.FulfilledPerformance&gt;0,I.Performance.RangeCount&gt;=935,F2005=""),"Incomplete","Complete")</f>
        <v>Complete</v>
      </c>
      <c r="I2005" s="55" t="s">
        <v>2203</v>
      </c>
    </row>
    <row r="2006" spans="2:9" ht="15" customHeight="1" x14ac:dyDescent="0.25">
      <c r="B2006" s="51" t="s">
        <v>125</v>
      </c>
      <c r="C2006" s="52">
        <v>936</v>
      </c>
      <c r="D2006" s="53" t="s">
        <v>4327</v>
      </c>
      <c r="E2006" s="54"/>
      <c r="F2006" s="52" t="str">
        <f>IF(INDEX(I.Performance.EndRange,936)="","",INDEX(I.Performance.EndRange,936))</f>
        <v/>
      </c>
      <c r="G2006" s="54"/>
      <c r="H2006" s="52" t="str">
        <f>IF(AND(I.Compliance.FulfilledPerformance&gt;0,I.Performance.RangeCount&gt;=936,F2006=""),"Incomplete","Complete")</f>
        <v>Complete</v>
      </c>
      <c r="I2006" s="55" t="s">
        <v>2204</v>
      </c>
    </row>
    <row r="2007" spans="2:9" ht="15" customHeight="1" x14ac:dyDescent="0.25">
      <c r="B2007" s="51" t="s">
        <v>125</v>
      </c>
      <c r="C2007" s="52">
        <v>937</v>
      </c>
      <c r="D2007" s="53" t="s">
        <v>4327</v>
      </c>
      <c r="E2007" s="54"/>
      <c r="F2007" s="52" t="str">
        <f>IF(INDEX(I.Performance.EndRange,937)="","",INDEX(I.Performance.EndRange,937))</f>
        <v/>
      </c>
      <c r="G2007" s="54"/>
      <c r="H2007" s="52" t="str">
        <f>IF(AND(I.Compliance.FulfilledPerformance&gt;0,I.Performance.RangeCount&gt;=937,F2007=""),"Incomplete","Complete")</f>
        <v>Complete</v>
      </c>
      <c r="I2007" s="55" t="s">
        <v>2205</v>
      </c>
    </row>
    <row r="2008" spans="2:9" ht="15" customHeight="1" x14ac:dyDescent="0.25">
      <c r="B2008" s="51" t="s">
        <v>125</v>
      </c>
      <c r="C2008" s="52">
        <v>938</v>
      </c>
      <c r="D2008" s="53" t="s">
        <v>4327</v>
      </c>
      <c r="E2008" s="54"/>
      <c r="F2008" s="52" t="str">
        <f>IF(INDEX(I.Performance.EndRange,938)="","",INDEX(I.Performance.EndRange,938))</f>
        <v/>
      </c>
      <c r="G2008" s="54"/>
      <c r="H2008" s="52" t="str">
        <f>IF(AND(I.Compliance.FulfilledPerformance&gt;0,I.Performance.RangeCount&gt;=938,F2008=""),"Incomplete","Complete")</f>
        <v>Complete</v>
      </c>
      <c r="I2008" s="55" t="s">
        <v>2206</v>
      </c>
    </row>
    <row r="2009" spans="2:9" ht="15" customHeight="1" x14ac:dyDescent="0.25">
      <c r="B2009" s="51" t="s">
        <v>125</v>
      </c>
      <c r="C2009" s="52">
        <v>939</v>
      </c>
      <c r="D2009" s="53" t="s">
        <v>4327</v>
      </c>
      <c r="E2009" s="54"/>
      <c r="F2009" s="52" t="str">
        <f>IF(INDEX(I.Performance.EndRange,939)="","",INDEX(I.Performance.EndRange,939))</f>
        <v/>
      </c>
      <c r="G2009" s="54"/>
      <c r="H2009" s="52" t="str">
        <f>IF(AND(I.Compliance.FulfilledPerformance&gt;0,I.Performance.RangeCount&gt;=939,F2009=""),"Incomplete","Complete")</f>
        <v>Complete</v>
      </c>
      <c r="I2009" s="55" t="s">
        <v>2207</v>
      </c>
    </row>
    <row r="2010" spans="2:9" ht="15" customHeight="1" x14ac:dyDescent="0.25">
      <c r="B2010" s="51" t="s">
        <v>125</v>
      </c>
      <c r="C2010" s="52">
        <v>940</v>
      </c>
      <c r="D2010" s="53" t="s">
        <v>4327</v>
      </c>
      <c r="E2010" s="54"/>
      <c r="F2010" s="52" t="str">
        <f>IF(INDEX(I.Performance.EndRange,940)="","",INDEX(I.Performance.EndRange,940))</f>
        <v/>
      </c>
      <c r="G2010" s="54"/>
      <c r="H2010" s="52" t="str">
        <f>IF(AND(I.Compliance.FulfilledPerformance&gt;0,I.Performance.RangeCount&gt;=940,F2010=""),"Incomplete","Complete")</f>
        <v>Complete</v>
      </c>
      <c r="I2010" s="55" t="s">
        <v>2208</v>
      </c>
    </row>
    <row r="2011" spans="2:9" ht="15" customHeight="1" x14ac:dyDescent="0.25">
      <c r="B2011" s="51" t="s">
        <v>125</v>
      </c>
      <c r="C2011" s="52">
        <v>941</v>
      </c>
      <c r="D2011" s="53" t="s">
        <v>4327</v>
      </c>
      <c r="E2011" s="54"/>
      <c r="F2011" s="52" t="str">
        <f>IF(INDEX(I.Performance.EndRange,941)="","",INDEX(I.Performance.EndRange,941))</f>
        <v/>
      </c>
      <c r="G2011" s="54"/>
      <c r="H2011" s="52" t="str">
        <f>IF(AND(I.Compliance.FulfilledPerformance&gt;0,I.Performance.RangeCount&gt;=941,F2011=""),"Incomplete","Complete")</f>
        <v>Complete</v>
      </c>
      <c r="I2011" s="55" t="s">
        <v>2209</v>
      </c>
    </row>
    <row r="2012" spans="2:9" ht="15" customHeight="1" x14ac:dyDescent="0.25">
      <c r="B2012" s="51" t="s">
        <v>125</v>
      </c>
      <c r="C2012" s="52">
        <v>942</v>
      </c>
      <c r="D2012" s="53" t="s">
        <v>4327</v>
      </c>
      <c r="E2012" s="54"/>
      <c r="F2012" s="52" t="str">
        <f>IF(INDEX(I.Performance.EndRange,942)="","",INDEX(I.Performance.EndRange,942))</f>
        <v/>
      </c>
      <c r="G2012" s="54"/>
      <c r="H2012" s="52" t="str">
        <f>IF(AND(I.Compliance.FulfilledPerformance&gt;0,I.Performance.RangeCount&gt;=942,F2012=""),"Incomplete","Complete")</f>
        <v>Complete</v>
      </c>
      <c r="I2012" s="55" t="s">
        <v>2210</v>
      </c>
    </row>
    <row r="2013" spans="2:9" ht="15" customHeight="1" x14ac:dyDescent="0.25">
      <c r="B2013" s="51" t="s">
        <v>125</v>
      </c>
      <c r="C2013" s="52">
        <v>943</v>
      </c>
      <c r="D2013" s="53" t="s">
        <v>4327</v>
      </c>
      <c r="E2013" s="54"/>
      <c r="F2013" s="52" t="str">
        <f>IF(INDEX(I.Performance.EndRange,943)="","",INDEX(I.Performance.EndRange,943))</f>
        <v/>
      </c>
      <c r="G2013" s="54"/>
      <c r="H2013" s="52" t="str">
        <f>IF(AND(I.Compliance.FulfilledPerformance&gt;0,I.Performance.RangeCount&gt;=943,F2013=""),"Incomplete","Complete")</f>
        <v>Complete</v>
      </c>
      <c r="I2013" s="55" t="s">
        <v>2211</v>
      </c>
    </row>
    <row r="2014" spans="2:9" ht="15" customHeight="1" x14ac:dyDescent="0.25">
      <c r="B2014" s="51" t="s">
        <v>125</v>
      </c>
      <c r="C2014" s="52">
        <v>944</v>
      </c>
      <c r="D2014" s="53" t="s">
        <v>4327</v>
      </c>
      <c r="E2014" s="54"/>
      <c r="F2014" s="52" t="str">
        <f>IF(INDEX(I.Performance.EndRange,944)="","",INDEX(I.Performance.EndRange,944))</f>
        <v/>
      </c>
      <c r="G2014" s="54"/>
      <c r="H2014" s="52" t="str">
        <f>IF(AND(I.Compliance.FulfilledPerformance&gt;0,I.Performance.RangeCount&gt;=944,F2014=""),"Incomplete","Complete")</f>
        <v>Complete</v>
      </c>
      <c r="I2014" s="55" t="s">
        <v>2212</v>
      </c>
    </row>
    <row r="2015" spans="2:9" ht="15" customHeight="1" x14ac:dyDescent="0.25">
      <c r="B2015" s="51" t="s">
        <v>125</v>
      </c>
      <c r="C2015" s="52">
        <v>945</v>
      </c>
      <c r="D2015" s="53" t="s">
        <v>4327</v>
      </c>
      <c r="E2015" s="54"/>
      <c r="F2015" s="52" t="str">
        <f>IF(INDEX(I.Performance.EndRange,945)="","",INDEX(I.Performance.EndRange,945))</f>
        <v/>
      </c>
      <c r="G2015" s="54"/>
      <c r="H2015" s="52" t="str">
        <f>IF(AND(I.Compliance.FulfilledPerformance&gt;0,I.Performance.RangeCount&gt;=945,F2015=""),"Incomplete","Complete")</f>
        <v>Complete</v>
      </c>
      <c r="I2015" s="55" t="s">
        <v>2213</v>
      </c>
    </row>
    <row r="2016" spans="2:9" ht="15" customHeight="1" x14ac:dyDescent="0.25">
      <c r="B2016" s="51" t="s">
        <v>125</v>
      </c>
      <c r="C2016" s="52">
        <v>946</v>
      </c>
      <c r="D2016" s="53" t="s">
        <v>4327</v>
      </c>
      <c r="E2016" s="54"/>
      <c r="F2016" s="52" t="str">
        <f>IF(INDEX(I.Performance.EndRange,946)="","",INDEX(I.Performance.EndRange,946))</f>
        <v/>
      </c>
      <c r="G2016" s="54"/>
      <c r="H2016" s="52" t="str">
        <f>IF(AND(I.Compliance.FulfilledPerformance&gt;0,I.Performance.RangeCount&gt;=946,F2016=""),"Incomplete","Complete")</f>
        <v>Complete</v>
      </c>
      <c r="I2016" s="55" t="s">
        <v>2214</v>
      </c>
    </row>
    <row r="2017" spans="2:9" ht="15" customHeight="1" x14ac:dyDescent="0.25">
      <c r="B2017" s="51" t="s">
        <v>125</v>
      </c>
      <c r="C2017" s="52">
        <v>947</v>
      </c>
      <c r="D2017" s="53" t="s">
        <v>4327</v>
      </c>
      <c r="E2017" s="54"/>
      <c r="F2017" s="52" t="str">
        <f>IF(INDEX(I.Performance.EndRange,947)="","",INDEX(I.Performance.EndRange,947))</f>
        <v/>
      </c>
      <c r="G2017" s="54"/>
      <c r="H2017" s="52" t="str">
        <f>IF(AND(I.Compliance.FulfilledPerformance&gt;0,I.Performance.RangeCount&gt;=947,F2017=""),"Incomplete","Complete")</f>
        <v>Complete</v>
      </c>
      <c r="I2017" s="55" t="s">
        <v>2215</v>
      </c>
    </row>
    <row r="2018" spans="2:9" ht="15" customHeight="1" x14ac:dyDescent="0.25">
      <c r="B2018" s="51" t="s">
        <v>125</v>
      </c>
      <c r="C2018" s="52">
        <v>948</v>
      </c>
      <c r="D2018" s="53" t="s">
        <v>4327</v>
      </c>
      <c r="E2018" s="54"/>
      <c r="F2018" s="52" t="str">
        <f>IF(INDEX(I.Performance.EndRange,948)="","",INDEX(I.Performance.EndRange,948))</f>
        <v/>
      </c>
      <c r="G2018" s="54"/>
      <c r="H2018" s="52" t="str">
        <f>IF(AND(I.Compliance.FulfilledPerformance&gt;0,I.Performance.RangeCount&gt;=948,F2018=""),"Incomplete","Complete")</f>
        <v>Complete</v>
      </c>
      <c r="I2018" s="55" t="s">
        <v>2216</v>
      </c>
    </row>
    <row r="2019" spans="2:9" ht="15" customHeight="1" x14ac:dyDescent="0.25">
      <c r="B2019" s="51" t="s">
        <v>125</v>
      </c>
      <c r="C2019" s="52">
        <v>949</v>
      </c>
      <c r="D2019" s="53" t="s">
        <v>4327</v>
      </c>
      <c r="E2019" s="54"/>
      <c r="F2019" s="52" t="str">
        <f>IF(INDEX(I.Performance.EndRange,949)="","",INDEX(I.Performance.EndRange,949))</f>
        <v/>
      </c>
      <c r="G2019" s="54"/>
      <c r="H2019" s="52" t="str">
        <f>IF(AND(I.Compliance.FulfilledPerformance&gt;0,I.Performance.RangeCount&gt;=949,F2019=""),"Incomplete","Complete")</f>
        <v>Complete</v>
      </c>
      <c r="I2019" s="55" t="s">
        <v>2217</v>
      </c>
    </row>
    <row r="2020" spans="2:9" ht="15" customHeight="1" x14ac:dyDescent="0.25">
      <c r="B2020" s="51" t="s">
        <v>125</v>
      </c>
      <c r="C2020" s="52">
        <v>950</v>
      </c>
      <c r="D2020" s="53" t="s">
        <v>4327</v>
      </c>
      <c r="E2020" s="54"/>
      <c r="F2020" s="52" t="str">
        <f>IF(INDEX(I.Performance.EndRange,950)="","",INDEX(I.Performance.EndRange,950))</f>
        <v/>
      </c>
      <c r="G2020" s="54"/>
      <c r="H2020" s="52" t="str">
        <f>IF(AND(I.Compliance.FulfilledPerformance&gt;0,I.Performance.RangeCount&gt;=950,F2020=""),"Incomplete","Complete")</f>
        <v>Complete</v>
      </c>
      <c r="I2020" s="55" t="s">
        <v>2218</v>
      </c>
    </row>
    <row r="2021" spans="2:9" ht="15" customHeight="1" x14ac:dyDescent="0.25">
      <c r="B2021" s="51" t="s">
        <v>125</v>
      </c>
      <c r="C2021" s="52">
        <v>951</v>
      </c>
      <c r="D2021" s="53" t="s">
        <v>4327</v>
      </c>
      <c r="E2021" s="54"/>
      <c r="F2021" s="52" t="str">
        <f>IF(INDEX(I.Performance.EndRange,951)="","",INDEX(I.Performance.EndRange,951))</f>
        <v/>
      </c>
      <c r="G2021" s="54"/>
      <c r="H2021" s="52" t="str">
        <f>IF(AND(I.Compliance.FulfilledPerformance&gt;0,I.Performance.RangeCount&gt;=951,F2021=""),"Incomplete","Complete")</f>
        <v>Complete</v>
      </c>
      <c r="I2021" s="55" t="s">
        <v>2219</v>
      </c>
    </row>
    <row r="2022" spans="2:9" ht="15" customHeight="1" x14ac:dyDescent="0.25">
      <c r="B2022" s="51" t="s">
        <v>125</v>
      </c>
      <c r="C2022" s="52">
        <v>952</v>
      </c>
      <c r="D2022" s="53" t="s">
        <v>4327</v>
      </c>
      <c r="E2022" s="54"/>
      <c r="F2022" s="52" t="str">
        <f>IF(INDEX(I.Performance.EndRange,952)="","",INDEX(I.Performance.EndRange,952))</f>
        <v/>
      </c>
      <c r="G2022" s="54"/>
      <c r="H2022" s="52" t="str">
        <f>IF(AND(I.Compliance.FulfilledPerformance&gt;0,I.Performance.RangeCount&gt;=952,F2022=""),"Incomplete","Complete")</f>
        <v>Complete</v>
      </c>
      <c r="I2022" s="55" t="s">
        <v>2220</v>
      </c>
    </row>
    <row r="2023" spans="2:9" ht="15" customHeight="1" x14ac:dyDescent="0.25">
      <c r="B2023" s="51" t="s">
        <v>125</v>
      </c>
      <c r="C2023" s="52">
        <v>953</v>
      </c>
      <c r="D2023" s="53" t="s">
        <v>4327</v>
      </c>
      <c r="E2023" s="54"/>
      <c r="F2023" s="52" t="str">
        <f>IF(INDEX(I.Performance.EndRange,953)="","",INDEX(I.Performance.EndRange,953))</f>
        <v/>
      </c>
      <c r="G2023" s="54"/>
      <c r="H2023" s="52" t="str">
        <f>IF(AND(I.Compliance.FulfilledPerformance&gt;0,I.Performance.RangeCount&gt;=953,F2023=""),"Incomplete","Complete")</f>
        <v>Complete</v>
      </c>
      <c r="I2023" s="55" t="s">
        <v>2221</v>
      </c>
    </row>
    <row r="2024" spans="2:9" ht="15" customHeight="1" x14ac:dyDescent="0.25">
      <c r="B2024" s="51" t="s">
        <v>125</v>
      </c>
      <c r="C2024" s="52">
        <v>954</v>
      </c>
      <c r="D2024" s="53" t="s">
        <v>4327</v>
      </c>
      <c r="E2024" s="54"/>
      <c r="F2024" s="52" t="str">
        <f>IF(INDEX(I.Performance.EndRange,954)="","",INDEX(I.Performance.EndRange,954))</f>
        <v/>
      </c>
      <c r="G2024" s="54"/>
      <c r="H2024" s="52" t="str">
        <f>IF(AND(I.Compliance.FulfilledPerformance&gt;0,I.Performance.RangeCount&gt;=954,F2024=""),"Incomplete","Complete")</f>
        <v>Complete</v>
      </c>
      <c r="I2024" s="55" t="s">
        <v>2222</v>
      </c>
    </row>
    <row r="2025" spans="2:9" ht="15" customHeight="1" x14ac:dyDescent="0.25">
      <c r="B2025" s="51" t="s">
        <v>125</v>
      </c>
      <c r="C2025" s="52">
        <v>955</v>
      </c>
      <c r="D2025" s="53" t="s">
        <v>4327</v>
      </c>
      <c r="E2025" s="54"/>
      <c r="F2025" s="52" t="str">
        <f>IF(INDEX(I.Performance.EndRange,955)="","",INDEX(I.Performance.EndRange,955))</f>
        <v/>
      </c>
      <c r="G2025" s="54"/>
      <c r="H2025" s="52" t="str">
        <f>IF(AND(I.Compliance.FulfilledPerformance&gt;0,I.Performance.RangeCount&gt;=955,F2025=""),"Incomplete","Complete")</f>
        <v>Complete</v>
      </c>
      <c r="I2025" s="55" t="s">
        <v>2223</v>
      </c>
    </row>
    <row r="2026" spans="2:9" ht="15" customHeight="1" x14ac:dyDescent="0.25">
      <c r="B2026" s="51" t="s">
        <v>125</v>
      </c>
      <c r="C2026" s="52">
        <v>956</v>
      </c>
      <c r="D2026" s="53" t="s">
        <v>4327</v>
      </c>
      <c r="E2026" s="54"/>
      <c r="F2026" s="52" t="str">
        <f>IF(INDEX(I.Performance.EndRange,956)="","",INDEX(I.Performance.EndRange,956))</f>
        <v/>
      </c>
      <c r="G2026" s="54"/>
      <c r="H2026" s="52" t="str">
        <f>IF(AND(I.Compliance.FulfilledPerformance&gt;0,I.Performance.RangeCount&gt;=956,F2026=""),"Incomplete","Complete")</f>
        <v>Complete</v>
      </c>
      <c r="I2026" s="55" t="s">
        <v>2224</v>
      </c>
    </row>
    <row r="2027" spans="2:9" ht="15" customHeight="1" x14ac:dyDescent="0.25">
      <c r="B2027" s="51" t="s">
        <v>125</v>
      </c>
      <c r="C2027" s="52">
        <v>957</v>
      </c>
      <c r="D2027" s="53" t="s">
        <v>4327</v>
      </c>
      <c r="E2027" s="54"/>
      <c r="F2027" s="52" t="str">
        <f>IF(INDEX(I.Performance.EndRange,957)="","",INDEX(I.Performance.EndRange,957))</f>
        <v/>
      </c>
      <c r="G2027" s="54"/>
      <c r="H2027" s="52" t="str">
        <f>IF(AND(I.Compliance.FulfilledPerformance&gt;0,I.Performance.RangeCount&gt;=957,F2027=""),"Incomplete","Complete")</f>
        <v>Complete</v>
      </c>
      <c r="I2027" s="55" t="s">
        <v>2225</v>
      </c>
    </row>
    <row r="2028" spans="2:9" ht="15" customHeight="1" x14ac:dyDescent="0.25">
      <c r="B2028" s="51" t="s">
        <v>125</v>
      </c>
      <c r="C2028" s="52">
        <v>958</v>
      </c>
      <c r="D2028" s="53" t="s">
        <v>4327</v>
      </c>
      <c r="E2028" s="54"/>
      <c r="F2028" s="52" t="str">
        <f>IF(INDEX(I.Performance.EndRange,958)="","",INDEX(I.Performance.EndRange,958))</f>
        <v/>
      </c>
      <c r="G2028" s="54"/>
      <c r="H2028" s="52" t="str">
        <f>IF(AND(I.Compliance.FulfilledPerformance&gt;0,I.Performance.RangeCount&gt;=958,F2028=""),"Incomplete","Complete")</f>
        <v>Complete</v>
      </c>
      <c r="I2028" s="55" t="s">
        <v>2226</v>
      </c>
    </row>
    <row r="2029" spans="2:9" ht="15" customHeight="1" x14ac:dyDescent="0.25">
      <c r="B2029" s="51" t="s">
        <v>125</v>
      </c>
      <c r="C2029" s="52">
        <v>959</v>
      </c>
      <c r="D2029" s="53" t="s">
        <v>4327</v>
      </c>
      <c r="E2029" s="54"/>
      <c r="F2029" s="52" t="str">
        <f>IF(INDEX(I.Performance.EndRange,959)="","",INDEX(I.Performance.EndRange,959))</f>
        <v/>
      </c>
      <c r="G2029" s="54"/>
      <c r="H2029" s="52" t="str">
        <f>IF(AND(I.Compliance.FulfilledPerformance&gt;0,I.Performance.RangeCount&gt;=959,F2029=""),"Incomplete","Complete")</f>
        <v>Complete</v>
      </c>
      <c r="I2029" s="55" t="s">
        <v>2227</v>
      </c>
    </row>
    <row r="2030" spans="2:9" ht="15" customHeight="1" x14ac:dyDescent="0.25">
      <c r="B2030" s="51" t="s">
        <v>125</v>
      </c>
      <c r="C2030" s="52">
        <v>960</v>
      </c>
      <c r="D2030" s="53" t="s">
        <v>4327</v>
      </c>
      <c r="E2030" s="54"/>
      <c r="F2030" s="52" t="str">
        <f>IF(INDEX(I.Performance.EndRange,960)="","",INDEX(I.Performance.EndRange,960))</f>
        <v/>
      </c>
      <c r="G2030" s="54"/>
      <c r="H2030" s="52" t="str">
        <f>IF(AND(I.Compliance.FulfilledPerformance&gt;0,I.Performance.RangeCount&gt;=960,F2030=""),"Incomplete","Complete")</f>
        <v>Complete</v>
      </c>
      <c r="I2030" s="55" t="s">
        <v>2228</v>
      </c>
    </row>
    <row r="2031" spans="2:9" ht="15" customHeight="1" x14ac:dyDescent="0.25">
      <c r="B2031" s="51" t="s">
        <v>125</v>
      </c>
      <c r="C2031" s="52">
        <v>961</v>
      </c>
      <c r="D2031" s="53" t="s">
        <v>4327</v>
      </c>
      <c r="E2031" s="54"/>
      <c r="F2031" s="52" t="str">
        <f>IF(INDEX(I.Performance.EndRange,961)="","",INDEX(I.Performance.EndRange,961))</f>
        <v/>
      </c>
      <c r="G2031" s="54"/>
      <c r="H2031" s="52" t="str">
        <f>IF(AND(I.Compliance.FulfilledPerformance&gt;0,I.Performance.RangeCount&gt;=961,F2031=""),"Incomplete","Complete")</f>
        <v>Complete</v>
      </c>
      <c r="I2031" s="55" t="s">
        <v>2229</v>
      </c>
    </row>
    <row r="2032" spans="2:9" ht="15" customHeight="1" x14ac:dyDescent="0.25">
      <c r="B2032" s="51" t="s">
        <v>125</v>
      </c>
      <c r="C2032" s="52">
        <v>962</v>
      </c>
      <c r="D2032" s="53" t="s">
        <v>4327</v>
      </c>
      <c r="E2032" s="54"/>
      <c r="F2032" s="52" t="str">
        <f>IF(INDEX(I.Performance.EndRange,962)="","",INDEX(I.Performance.EndRange,962))</f>
        <v/>
      </c>
      <c r="G2032" s="54"/>
      <c r="H2032" s="52" t="str">
        <f>IF(AND(I.Compliance.FulfilledPerformance&gt;0,I.Performance.RangeCount&gt;=962,F2032=""),"Incomplete","Complete")</f>
        <v>Complete</v>
      </c>
      <c r="I2032" s="55" t="s">
        <v>2230</v>
      </c>
    </row>
    <row r="2033" spans="2:9" ht="15" customHeight="1" x14ac:dyDescent="0.25">
      <c r="B2033" s="51" t="s">
        <v>125</v>
      </c>
      <c r="C2033" s="52">
        <v>963</v>
      </c>
      <c r="D2033" s="53" t="s">
        <v>4327</v>
      </c>
      <c r="E2033" s="54"/>
      <c r="F2033" s="52" t="str">
        <f>IF(INDEX(I.Performance.EndRange,963)="","",INDEX(I.Performance.EndRange,963))</f>
        <v/>
      </c>
      <c r="G2033" s="54"/>
      <c r="H2033" s="52" t="str">
        <f>IF(AND(I.Compliance.FulfilledPerformance&gt;0,I.Performance.RangeCount&gt;=963,F2033=""),"Incomplete","Complete")</f>
        <v>Complete</v>
      </c>
      <c r="I2033" s="55" t="s">
        <v>2231</v>
      </c>
    </row>
    <row r="2034" spans="2:9" ht="15" customHeight="1" x14ac:dyDescent="0.25">
      <c r="B2034" s="51" t="s">
        <v>125</v>
      </c>
      <c r="C2034" s="52">
        <v>964</v>
      </c>
      <c r="D2034" s="53" t="s">
        <v>4327</v>
      </c>
      <c r="E2034" s="54"/>
      <c r="F2034" s="52" t="str">
        <f>IF(INDEX(I.Performance.EndRange,964)="","",INDEX(I.Performance.EndRange,964))</f>
        <v/>
      </c>
      <c r="G2034" s="54"/>
      <c r="H2034" s="52" t="str">
        <f>IF(AND(I.Compliance.FulfilledPerformance&gt;0,I.Performance.RangeCount&gt;=964,F2034=""),"Incomplete","Complete")</f>
        <v>Complete</v>
      </c>
      <c r="I2034" s="55" t="s">
        <v>2232</v>
      </c>
    </row>
    <row r="2035" spans="2:9" ht="15" customHeight="1" x14ac:dyDescent="0.25">
      <c r="B2035" s="51" t="s">
        <v>125</v>
      </c>
      <c r="C2035" s="52">
        <v>965</v>
      </c>
      <c r="D2035" s="53" t="s">
        <v>4327</v>
      </c>
      <c r="E2035" s="54"/>
      <c r="F2035" s="52" t="str">
        <f>IF(INDEX(I.Performance.EndRange,965)="","",INDEX(I.Performance.EndRange,965))</f>
        <v/>
      </c>
      <c r="G2035" s="54"/>
      <c r="H2035" s="52" t="str">
        <f>IF(AND(I.Compliance.FulfilledPerformance&gt;0,I.Performance.RangeCount&gt;=965,F2035=""),"Incomplete","Complete")</f>
        <v>Complete</v>
      </c>
      <c r="I2035" s="55" t="s">
        <v>2233</v>
      </c>
    </row>
    <row r="2036" spans="2:9" ht="15" customHeight="1" x14ac:dyDescent="0.25">
      <c r="B2036" s="51" t="s">
        <v>125</v>
      </c>
      <c r="C2036" s="52">
        <v>966</v>
      </c>
      <c r="D2036" s="53" t="s">
        <v>4327</v>
      </c>
      <c r="E2036" s="54"/>
      <c r="F2036" s="52" t="str">
        <f>IF(INDEX(I.Performance.EndRange,966)="","",INDEX(I.Performance.EndRange,966))</f>
        <v/>
      </c>
      <c r="G2036" s="54"/>
      <c r="H2036" s="52" t="str">
        <f>IF(AND(I.Compliance.FulfilledPerformance&gt;0,I.Performance.RangeCount&gt;=966,F2036=""),"Incomplete","Complete")</f>
        <v>Complete</v>
      </c>
      <c r="I2036" s="55" t="s">
        <v>2234</v>
      </c>
    </row>
    <row r="2037" spans="2:9" ht="15" customHeight="1" x14ac:dyDescent="0.25">
      <c r="B2037" s="51" t="s">
        <v>125</v>
      </c>
      <c r="C2037" s="52">
        <v>967</v>
      </c>
      <c r="D2037" s="53" t="s">
        <v>4327</v>
      </c>
      <c r="E2037" s="54"/>
      <c r="F2037" s="52" t="str">
        <f>IF(INDEX(I.Performance.EndRange,967)="","",INDEX(I.Performance.EndRange,967))</f>
        <v/>
      </c>
      <c r="G2037" s="54"/>
      <c r="H2037" s="52" t="str">
        <f>IF(AND(I.Compliance.FulfilledPerformance&gt;0,I.Performance.RangeCount&gt;=967,F2037=""),"Incomplete","Complete")</f>
        <v>Complete</v>
      </c>
      <c r="I2037" s="55" t="s">
        <v>2235</v>
      </c>
    </row>
    <row r="2038" spans="2:9" ht="15" customHeight="1" x14ac:dyDescent="0.25">
      <c r="B2038" s="51" t="s">
        <v>125</v>
      </c>
      <c r="C2038" s="52">
        <v>968</v>
      </c>
      <c r="D2038" s="53" t="s">
        <v>4327</v>
      </c>
      <c r="E2038" s="54"/>
      <c r="F2038" s="52" t="str">
        <f>IF(INDEX(I.Performance.EndRange,968)="","",INDEX(I.Performance.EndRange,968))</f>
        <v/>
      </c>
      <c r="G2038" s="54"/>
      <c r="H2038" s="52" t="str">
        <f>IF(AND(I.Compliance.FulfilledPerformance&gt;0,I.Performance.RangeCount&gt;=968,F2038=""),"Incomplete","Complete")</f>
        <v>Complete</v>
      </c>
      <c r="I2038" s="55" t="s">
        <v>2236</v>
      </c>
    </row>
    <row r="2039" spans="2:9" ht="15" customHeight="1" x14ac:dyDescent="0.25">
      <c r="B2039" s="51" t="s">
        <v>125</v>
      </c>
      <c r="C2039" s="52">
        <v>969</v>
      </c>
      <c r="D2039" s="53" t="s">
        <v>4327</v>
      </c>
      <c r="E2039" s="54"/>
      <c r="F2039" s="52" t="str">
        <f>IF(INDEX(I.Performance.EndRange,969)="","",INDEX(I.Performance.EndRange,969))</f>
        <v/>
      </c>
      <c r="G2039" s="54"/>
      <c r="H2039" s="52" t="str">
        <f>IF(AND(I.Compliance.FulfilledPerformance&gt;0,I.Performance.RangeCount&gt;=969,F2039=""),"Incomplete","Complete")</f>
        <v>Complete</v>
      </c>
      <c r="I2039" s="55" t="s">
        <v>2237</v>
      </c>
    </row>
    <row r="2040" spans="2:9" ht="15" customHeight="1" x14ac:dyDescent="0.25">
      <c r="B2040" s="51" t="s">
        <v>125</v>
      </c>
      <c r="C2040" s="52">
        <v>970</v>
      </c>
      <c r="D2040" s="53" t="s">
        <v>4327</v>
      </c>
      <c r="E2040" s="54"/>
      <c r="F2040" s="52" t="str">
        <f>IF(INDEX(I.Performance.EndRange,970)="","",INDEX(I.Performance.EndRange,970))</f>
        <v/>
      </c>
      <c r="G2040" s="54"/>
      <c r="H2040" s="52" t="str">
        <f>IF(AND(I.Compliance.FulfilledPerformance&gt;0,I.Performance.RangeCount&gt;=970,F2040=""),"Incomplete","Complete")</f>
        <v>Complete</v>
      </c>
      <c r="I2040" s="55" t="s">
        <v>2238</v>
      </c>
    </row>
    <row r="2041" spans="2:9" ht="15" customHeight="1" x14ac:dyDescent="0.25">
      <c r="B2041" s="51" t="s">
        <v>125</v>
      </c>
      <c r="C2041" s="52">
        <v>971</v>
      </c>
      <c r="D2041" s="53" t="s">
        <v>4327</v>
      </c>
      <c r="E2041" s="54"/>
      <c r="F2041" s="52" t="str">
        <f>IF(INDEX(I.Performance.EndRange,971)="","",INDEX(I.Performance.EndRange,971))</f>
        <v/>
      </c>
      <c r="G2041" s="54"/>
      <c r="H2041" s="52" t="str">
        <f>IF(AND(I.Compliance.FulfilledPerformance&gt;0,I.Performance.RangeCount&gt;=971,F2041=""),"Incomplete","Complete")</f>
        <v>Complete</v>
      </c>
      <c r="I2041" s="55" t="s">
        <v>2239</v>
      </c>
    </row>
    <row r="2042" spans="2:9" ht="15" customHeight="1" x14ac:dyDescent="0.25">
      <c r="B2042" s="51" t="s">
        <v>125</v>
      </c>
      <c r="C2042" s="52">
        <v>972</v>
      </c>
      <c r="D2042" s="53" t="s">
        <v>4327</v>
      </c>
      <c r="E2042" s="54"/>
      <c r="F2042" s="52" t="str">
        <f>IF(INDEX(I.Performance.EndRange,972)="","",INDEX(I.Performance.EndRange,972))</f>
        <v/>
      </c>
      <c r="G2042" s="54"/>
      <c r="H2042" s="52" t="str">
        <f>IF(AND(I.Compliance.FulfilledPerformance&gt;0,I.Performance.RangeCount&gt;=972,F2042=""),"Incomplete","Complete")</f>
        <v>Complete</v>
      </c>
      <c r="I2042" s="55" t="s">
        <v>2240</v>
      </c>
    </row>
    <row r="2043" spans="2:9" ht="15" customHeight="1" x14ac:dyDescent="0.25">
      <c r="B2043" s="51" t="s">
        <v>125</v>
      </c>
      <c r="C2043" s="52">
        <v>973</v>
      </c>
      <c r="D2043" s="53" t="s">
        <v>4327</v>
      </c>
      <c r="E2043" s="54"/>
      <c r="F2043" s="52" t="str">
        <f>IF(INDEX(I.Performance.EndRange,973)="","",INDEX(I.Performance.EndRange,973))</f>
        <v/>
      </c>
      <c r="G2043" s="54"/>
      <c r="H2043" s="52" t="str">
        <f>IF(AND(I.Compliance.FulfilledPerformance&gt;0,I.Performance.RangeCount&gt;=973,F2043=""),"Incomplete","Complete")</f>
        <v>Complete</v>
      </c>
      <c r="I2043" s="55" t="s">
        <v>2241</v>
      </c>
    </row>
    <row r="2044" spans="2:9" ht="15" customHeight="1" x14ac:dyDescent="0.25">
      <c r="B2044" s="51" t="s">
        <v>125</v>
      </c>
      <c r="C2044" s="52">
        <v>974</v>
      </c>
      <c r="D2044" s="53" t="s">
        <v>4327</v>
      </c>
      <c r="E2044" s="54"/>
      <c r="F2044" s="52" t="str">
        <f>IF(INDEX(I.Performance.EndRange,974)="","",INDEX(I.Performance.EndRange,974))</f>
        <v/>
      </c>
      <c r="G2044" s="54"/>
      <c r="H2044" s="52" t="str">
        <f>IF(AND(I.Compliance.FulfilledPerformance&gt;0,I.Performance.RangeCount&gt;=974,F2044=""),"Incomplete","Complete")</f>
        <v>Complete</v>
      </c>
      <c r="I2044" s="55" t="s">
        <v>2242</v>
      </c>
    </row>
    <row r="2045" spans="2:9" ht="15" customHeight="1" x14ac:dyDescent="0.25">
      <c r="B2045" s="51" t="s">
        <v>125</v>
      </c>
      <c r="C2045" s="52">
        <v>975</v>
      </c>
      <c r="D2045" s="53" t="s">
        <v>4327</v>
      </c>
      <c r="E2045" s="54"/>
      <c r="F2045" s="52" t="str">
        <f>IF(INDEX(I.Performance.EndRange,975)="","",INDEX(I.Performance.EndRange,975))</f>
        <v/>
      </c>
      <c r="G2045" s="54"/>
      <c r="H2045" s="52" t="str">
        <f>IF(AND(I.Compliance.FulfilledPerformance&gt;0,I.Performance.RangeCount&gt;=975,F2045=""),"Incomplete","Complete")</f>
        <v>Complete</v>
      </c>
      <c r="I2045" s="55" t="s">
        <v>2243</v>
      </c>
    </row>
    <row r="2046" spans="2:9" ht="15" customHeight="1" x14ac:dyDescent="0.25">
      <c r="B2046" s="51" t="s">
        <v>125</v>
      </c>
      <c r="C2046" s="52">
        <v>976</v>
      </c>
      <c r="D2046" s="53" t="s">
        <v>4327</v>
      </c>
      <c r="E2046" s="54"/>
      <c r="F2046" s="52" t="str">
        <f>IF(INDEX(I.Performance.EndRange,976)="","",INDEX(I.Performance.EndRange,976))</f>
        <v/>
      </c>
      <c r="G2046" s="54"/>
      <c r="H2046" s="52" t="str">
        <f>IF(AND(I.Compliance.FulfilledPerformance&gt;0,I.Performance.RangeCount&gt;=976,F2046=""),"Incomplete","Complete")</f>
        <v>Complete</v>
      </c>
      <c r="I2046" s="55" t="s">
        <v>2244</v>
      </c>
    </row>
    <row r="2047" spans="2:9" ht="15" customHeight="1" x14ac:dyDescent="0.25">
      <c r="B2047" s="51" t="s">
        <v>125</v>
      </c>
      <c r="C2047" s="52">
        <v>977</v>
      </c>
      <c r="D2047" s="53" t="s">
        <v>4327</v>
      </c>
      <c r="E2047" s="54"/>
      <c r="F2047" s="52" t="str">
        <f>IF(INDEX(I.Performance.EndRange,977)="","",INDEX(I.Performance.EndRange,977))</f>
        <v/>
      </c>
      <c r="G2047" s="54"/>
      <c r="H2047" s="52" t="str">
        <f>IF(AND(I.Compliance.FulfilledPerformance&gt;0,I.Performance.RangeCount&gt;=977,F2047=""),"Incomplete","Complete")</f>
        <v>Complete</v>
      </c>
      <c r="I2047" s="55" t="s">
        <v>2245</v>
      </c>
    </row>
    <row r="2048" spans="2:9" ht="15" customHeight="1" x14ac:dyDescent="0.25">
      <c r="B2048" s="51" t="s">
        <v>125</v>
      </c>
      <c r="C2048" s="52">
        <v>978</v>
      </c>
      <c r="D2048" s="53" t="s">
        <v>4327</v>
      </c>
      <c r="E2048" s="54"/>
      <c r="F2048" s="52" t="str">
        <f>IF(INDEX(I.Performance.EndRange,978)="","",INDEX(I.Performance.EndRange,978))</f>
        <v/>
      </c>
      <c r="G2048" s="54"/>
      <c r="H2048" s="52" t="str">
        <f>IF(AND(I.Compliance.FulfilledPerformance&gt;0,I.Performance.RangeCount&gt;=978,F2048=""),"Incomplete","Complete")</f>
        <v>Complete</v>
      </c>
      <c r="I2048" s="55" t="s">
        <v>2246</v>
      </c>
    </row>
    <row r="2049" spans="2:9" ht="15" customHeight="1" x14ac:dyDescent="0.25">
      <c r="B2049" s="51" t="s">
        <v>125</v>
      </c>
      <c r="C2049" s="52">
        <v>979</v>
      </c>
      <c r="D2049" s="53" t="s">
        <v>4327</v>
      </c>
      <c r="E2049" s="54"/>
      <c r="F2049" s="52" t="str">
        <f>IF(INDEX(I.Performance.EndRange,979)="","",INDEX(I.Performance.EndRange,979))</f>
        <v/>
      </c>
      <c r="G2049" s="54"/>
      <c r="H2049" s="52" t="str">
        <f>IF(AND(I.Compliance.FulfilledPerformance&gt;0,I.Performance.RangeCount&gt;=979,F2049=""),"Incomplete","Complete")</f>
        <v>Complete</v>
      </c>
      <c r="I2049" s="55" t="s">
        <v>2247</v>
      </c>
    </row>
    <row r="2050" spans="2:9" ht="15" customHeight="1" x14ac:dyDescent="0.25">
      <c r="B2050" s="51" t="s">
        <v>125</v>
      </c>
      <c r="C2050" s="52">
        <v>980</v>
      </c>
      <c r="D2050" s="53" t="s">
        <v>4327</v>
      </c>
      <c r="E2050" s="54"/>
      <c r="F2050" s="52" t="str">
        <f>IF(INDEX(I.Performance.EndRange,980)="","",INDEX(I.Performance.EndRange,980))</f>
        <v/>
      </c>
      <c r="G2050" s="54"/>
      <c r="H2050" s="52" t="str">
        <f>IF(AND(I.Compliance.FulfilledPerformance&gt;0,I.Performance.RangeCount&gt;=980,F2050=""),"Incomplete","Complete")</f>
        <v>Complete</v>
      </c>
      <c r="I2050" s="55" t="s">
        <v>2248</v>
      </c>
    </row>
    <row r="2051" spans="2:9" ht="15" customHeight="1" x14ac:dyDescent="0.25">
      <c r="B2051" s="51" t="s">
        <v>125</v>
      </c>
      <c r="C2051" s="52">
        <v>981</v>
      </c>
      <c r="D2051" s="53" t="s">
        <v>4327</v>
      </c>
      <c r="E2051" s="54"/>
      <c r="F2051" s="52" t="str">
        <f>IF(INDEX(I.Performance.EndRange,981)="","",INDEX(I.Performance.EndRange,981))</f>
        <v/>
      </c>
      <c r="G2051" s="54"/>
      <c r="H2051" s="52" t="str">
        <f>IF(AND(I.Compliance.FulfilledPerformance&gt;0,I.Performance.RangeCount&gt;=981,F2051=""),"Incomplete","Complete")</f>
        <v>Complete</v>
      </c>
      <c r="I2051" s="55" t="s">
        <v>2249</v>
      </c>
    </row>
    <row r="2052" spans="2:9" ht="15" customHeight="1" x14ac:dyDescent="0.25">
      <c r="B2052" s="51" t="s">
        <v>125</v>
      </c>
      <c r="C2052" s="52">
        <v>982</v>
      </c>
      <c r="D2052" s="53" t="s">
        <v>4327</v>
      </c>
      <c r="E2052" s="54"/>
      <c r="F2052" s="52" t="str">
        <f>IF(INDEX(I.Performance.EndRange,982)="","",INDEX(I.Performance.EndRange,982))</f>
        <v/>
      </c>
      <c r="G2052" s="54"/>
      <c r="H2052" s="52" t="str">
        <f>IF(AND(I.Compliance.FulfilledPerformance&gt;0,I.Performance.RangeCount&gt;=982,F2052=""),"Incomplete","Complete")</f>
        <v>Complete</v>
      </c>
      <c r="I2052" s="55" t="s">
        <v>2250</v>
      </c>
    </row>
    <row r="2053" spans="2:9" ht="15" customHeight="1" x14ac:dyDescent="0.25">
      <c r="B2053" s="51" t="s">
        <v>125</v>
      </c>
      <c r="C2053" s="52">
        <v>983</v>
      </c>
      <c r="D2053" s="53" t="s">
        <v>4327</v>
      </c>
      <c r="E2053" s="54"/>
      <c r="F2053" s="52" t="str">
        <f>IF(INDEX(I.Performance.EndRange,983)="","",INDEX(I.Performance.EndRange,983))</f>
        <v/>
      </c>
      <c r="G2053" s="54"/>
      <c r="H2053" s="52" t="str">
        <f>IF(AND(I.Compliance.FulfilledPerformance&gt;0,I.Performance.RangeCount&gt;=983,F2053=""),"Incomplete","Complete")</f>
        <v>Complete</v>
      </c>
      <c r="I2053" s="55" t="s">
        <v>2251</v>
      </c>
    </row>
    <row r="2054" spans="2:9" ht="15" customHeight="1" x14ac:dyDescent="0.25">
      <c r="B2054" s="51" t="s">
        <v>125</v>
      </c>
      <c r="C2054" s="52">
        <v>984</v>
      </c>
      <c r="D2054" s="53" t="s">
        <v>4327</v>
      </c>
      <c r="E2054" s="54"/>
      <c r="F2054" s="52" t="str">
        <f>IF(INDEX(I.Performance.EndRange,984)="","",INDEX(I.Performance.EndRange,984))</f>
        <v/>
      </c>
      <c r="G2054" s="54"/>
      <c r="H2054" s="52" t="str">
        <f>IF(AND(I.Compliance.FulfilledPerformance&gt;0,I.Performance.RangeCount&gt;=984,F2054=""),"Incomplete","Complete")</f>
        <v>Complete</v>
      </c>
      <c r="I2054" s="55" t="s">
        <v>2252</v>
      </c>
    </row>
    <row r="2055" spans="2:9" ht="15" customHeight="1" x14ac:dyDescent="0.25">
      <c r="B2055" s="51" t="s">
        <v>125</v>
      </c>
      <c r="C2055" s="52">
        <v>985</v>
      </c>
      <c r="D2055" s="53" t="s">
        <v>4327</v>
      </c>
      <c r="E2055" s="54"/>
      <c r="F2055" s="52" t="str">
        <f>IF(INDEX(I.Performance.EndRange,985)="","",INDEX(I.Performance.EndRange,985))</f>
        <v/>
      </c>
      <c r="G2055" s="54"/>
      <c r="H2055" s="52" t="str">
        <f>IF(AND(I.Compliance.FulfilledPerformance&gt;0,I.Performance.RangeCount&gt;=985,F2055=""),"Incomplete","Complete")</f>
        <v>Complete</v>
      </c>
      <c r="I2055" s="55" t="s">
        <v>2253</v>
      </c>
    </row>
    <row r="2056" spans="2:9" ht="15" customHeight="1" x14ac:dyDescent="0.25">
      <c r="B2056" s="51" t="s">
        <v>125</v>
      </c>
      <c r="C2056" s="52">
        <v>986</v>
      </c>
      <c r="D2056" s="53" t="s">
        <v>4327</v>
      </c>
      <c r="E2056" s="54"/>
      <c r="F2056" s="52" t="str">
        <f>IF(INDEX(I.Performance.EndRange,986)="","",INDEX(I.Performance.EndRange,986))</f>
        <v/>
      </c>
      <c r="G2056" s="54"/>
      <c r="H2056" s="52" t="str">
        <f>IF(AND(I.Compliance.FulfilledPerformance&gt;0,I.Performance.RangeCount&gt;=986,F2056=""),"Incomplete","Complete")</f>
        <v>Complete</v>
      </c>
      <c r="I2056" s="55" t="s">
        <v>2254</v>
      </c>
    </row>
    <row r="2057" spans="2:9" ht="15" customHeight="1" x14ac:dyDescent="0.25">
      <c r="B2057" s="51" t="s">
        <v>125</v>
      </c>
      <c r="C2057" s="52">
        <v>987</v>
      </c>
      <c r="D2057" s="53" t="s">
        <v>4327</v>
      </c>
      <c r="E2057" s="54"/>
      <c r="F2057" s="52" t="str">
        <f>IF(INDEX(I.Performance.EndRange,987)="","",INDEX(I.Performance.EndRange,987))</f>
        <v/>
      </c>
      <c r="G2057" s="54"/>
      <c r="H2057" s="52" t="str">
        <f>IF(AND(I.Compliance.FulfilledPerformance&gt;0,I.Performance.RangeCount&gt;=987,F2057=""),"Incomplete","Complete")</f>
        <v>Complete</v>
      </c>
      <c r="I2057" s="55" t="s">
        <v>2255</v>
      </c>
    </row>
    <row r="2058" spans="2:9" ht="15" customHeight="1" x14ac:dyDescent="0.25">
      <c r="B2058" s="51" t="s">
        <v>125</v>
      </c>
      <c r="C2058" s="52">
        <v>988</v>
      </c>
      <c r="D2058" s="53" t="s">
        <v>4327</v>
      </c>
      <c r="E2058" s="54"/>
      <c r="F2058" s="52" t="str">
        <f>IF(INDEX(I.Performance.EndRange,988)="","",INDEX(I.Performance.EndRange,988))</f>
        <v/>
      </c>
      <c r="G2058" s="54"/>
      <c r="H2058" s="52" t="str">
        <f>IF(AND(I.Compliance.FulfilledPerformance&gt;0,I.Performance.RangeCount&gt;=988,F2058=""),"Incomplete","Complete")</f>
        <v>Complete</v>
      </c>
      <c r="I2058" s="55" t="s">
        <v>2256</v>
      </c>
    </row>
    <row r="2059" spans="2:9" ht="15" customHeight="1" x14ac:dyDescent="0.25">
      <c r="B2059" s="51" t="s">
        <v>125</v>
      </c>
      <c r="C2059" s="52">
        <v>989</v>
      </c>
      <c r="D2059" s="53" t="s">
        <v>4327</v>
      </c>
      <c r="E2059" s="54"/>
      <c r="F2059" s="52" t="str">
        <f>IF(INDEX(I.Performance.EndRange,989)="","",INDEX(I.Performance.EndRange,989))</f>
        <v/>
      </c>
      <c r="G2059" s="54"/>
      <c r="H2059" s="52" t="str">
        <f>IF(AND(I.Compliance.FulfilledPerformance&gt;0,I.Performance.RangeCount&gt;=989,F2059=""),"Incomplete","Complete")</f>
        <v>Complete</v>
      </c>
      <c r="I2059" s="55" t="s">
        <v>2257</v>
      </c>
    </row>
    <row r="2060" spans="2:9" ht="15" customHeight="1" x14ac:dyDescent="0.25">
      <c r="B2060" s="51" t="s">
        <v>125</v>
      </c>
      <c r="C2060" s="52">
        <v>990</v>
      </c>
      <c r="D2060" s="53" t="s">
        <v>4327</v>
      </c>
      <c r="E2060" s="54"/>
      <c r="F2060" s="52" t="str">
        <f>IF(INDEX(I.Performance.EndRange,990)="","",INDEX(I.Performance.EndRange,990))</f>
        <v/>
      </c>
      <c r="G2060" s="54"/>
      <c r="H2060" s="52" t="str">
        <f>IF(AND(I.Compliance.FulfilledPerformance&gt;0,I.Performance.RangeCount&gt;=990,F2060=""),"Incomplete","Complete")</f>
        <v>Complete</v>
      </c>
      <c r="I2060" s="55" t="s">
        <v>2258</v>
      </c>
    </row>
    <row r="2061" spans="2:9" ht="15" customHeight="1" x14ac:dyDescent="0.25">
      <c r="B2061" s="51" t="s">
        <v>125</v>
      </c>
      <c r="C2061" s="52">
        <v>991</v>
      </c>
      <c r="D2061" s="53" t="s">
        <v>4327</v>
      </c>
      <c r="E2061" s="54"/>
      <c r="F2061" s="52" t="str">
        <f>IF(INDEX(I.Performance.EndRange,991)="","",INDEX(I.Performance.EndRange,991))</f>
        <v/>
      </c>
      <c r="G2061" s="54"/>
      <c r="H2061" s="52" t="str">
        <f>IF(AND(I.Compliance.FulfilledPerformance&gt;0,I.Performance.RangeCount&gt;=991,F2061=""),"Incomplete","Complete")</f>
        <v>Complete</v>
      </c>
      <c r="I2061" s="55" t="s">
        <v>2259</v>
      </c>
    </row>
    <row r="2062" spans="2:9" ht="15" customHeight="1" x14ac:dyDescent="0.25">
      <c r="B2062" s="51" t="s">
        <v>125</v>
      </c>
      <c r="C2062" s="52">
        <v>992</v>
      </c>
      <c r="D2062" s="53" t="s">
        <v>4327</v>
      </c>
      <c r="E2062" s="54"/>
      <c r="F2062" s="52" t="str">
        <f>IF(INDEX(I.Performance.EndRange,992)="","",INDEX(I.Performance.EndRange,992))</f>
        <v/>
      </c>
      <c r="G2062" s="54"/>
      <c r="H2062" s="52" t="str">
        <f>IF(AND(I.Compliance.FulfilledPerformance&gt;0,I.Performance.RangeCount&gt;=992,F2062=""),"Incomplete","Complete")</f>
        <v>Complete</v>
      </c>
      <c r="I2062" s="55" t="s">
        <v>2260</v>
      </c>
    </row>
    <row r="2063" spans="2:9" ht="15" customHeight="1" x14ac:dyDescent="0.25">
      <c r="B2063" s="51" t="s">
        <v>125</v>
      </c>
      <c r="C2063" s="52">
        <v>993</v>
      </c>
      <c r="D2063" s="53" t="s">
        <v>4327</v>
      </c>
      <c r="E2063" s="54"/>
      <c r="F2063" s="52" t="str">
        <f>IF(INDEX(I.Performance.EndRange,993)="","",INDEX(I.Performance.EndRange,993))</f>
        <v/>
      </c>
      <c r="G2063" s="54"/>
      <c r="H2063" s="52" t="str">
        <f>IF(AND(I.Compliance.FulfilledPerformance&gt;0,I.Performance.RangeCount&gt;=993,F2063=""),"Incomplete","Complete")</f>
        <v>Complete</v>
      </c>
      <c r="I2063" s="55" t="s">
        <v>2261</v>
      </c>
    </row>
    <row r="2064" spans="2:9" ht="15" customHeight="1" x14ac:dyDescent="0.25">
      <c r="B2064" s="51" t="s">
        <v>125</v>
      </c>
      <c r="C2064" s="52">
        <v>994</v>
      </c>
      <c r="D2064" s="53" t="s">
        <v>4327</v>
      </c>
      <c r="E2064" s="54"/>
      <c r="F2064" s="52" t="str">
        <f>IF(INDEX(I.Performance.EndRange,994)="","",INDEX(I.Performance.EndRange,994))</f>
        <v/>
      </c>
      <c r="G2064" s="54"/>
      <c r="H2064" s="52" t="str">
        <f>IF(AND(I.Compliance.FulfilledPerformance&gt;0,I.Performance.RangeCount&gt;=994,F2064=""),"Incomplete","Complete")</f>
        <v>Complete</v>
      </c>
      <c r="I2064" s="55" t="s">
        <v>2262</v>
      </c>
    </row>
    <row r="2065" spans="2:9" ht="15" customHeight="1" x14ac:dyDescent="0.25">
      <c r="B2065" s="51" t="s">
        <v>125</v>
      </c>
      <c r="C2065" s="52">
        <v>995</v>
      </c>
      <c r="D2065" s="53" t="s">
        <v>4327</v>
      </c>
      <c r="E2065" s="54"/>
      <c r="F2065" s="52" t="str">
        <f>IF(INDEX(I.Performance.EndRange,995)="","",INDEX(I.Performance.EndRange,995))</f>
        <v/>
      </c>
      <c r="G2065" s="54"/>
      <c r="H2065" s="52" t="str">
        <f>IF(AND(I.Compliance.FulfilledPerformance&gt;0,I.Performance.RangeCount&gt;=995,F2065=""),"Incomplete","Complete")</f>
        <v>Complete</v>
      </c>
      <c r="I2065" s="55" t="s">
        <v>2263</v>
      </c>
    </row>
    <row r="2066" spans="2:9" ht="15" customHeight="1" x14ac:dyDescent="0.25">
      <c r="B2066" s="51" t="s">
        <v>125</v>
      </c>
      <c r="C2066" s="52">
        <v>996</v>
      </c>
      <c r="D2066" s="53" t="s">
        <v>4327</v>
      </c>
      <c r="E2066" s="54"/>
      <c r="F2066" s="52" t="str">
        <f>IF(INDEX(I.Performance.EndRange,996)="","",INDEX(I.Performance.EndRange,996))</f>
        <v/>
      </c>
      <c r="G2066" s="54"/>
      <c r="H2066" s="52" t="str">
        <f>IF(AND(I.Compliance.FulfilledPerformance&gt;0,I.Performance.RangeCount&gt;=996,F2066=""),"Incomplete","Complete")</f>
        <v>Complete</v>
      </c>
      <c r="I2066" s="55" t="s">
        <v>2264</v>
      </c>
    </row>
    <row r="2067" spans="2:9" ht="15" customHeight="1" x14ac:dyDescent="0.25">
      <c r="B2067" s="51" t="s">
        <v>125</v>
      </c>
      <c r="C2067" s="52">
        <v>997</v>
      </c>
      <c r="D2067" s="53" t="s">
        <v>4327</v>
      </c>
      <c r="E2067" s="54"/>
      <c r="F2067" s="52" t="str">
        <f>IF(INDEX(I.Performance.EndRange,997)="","",INDEX(I.Performance.EndRange,997))</f>
        <v/>
      </c>
      <c r="G2067" s="54"/>
      <c r="H2067" s="52" t="str">
        <f>IF(AND(I.Compliance.FulfilledPerformance&gt;0,I.Performance.RangeCount&gt;=997,F2067=""),"Incomplete","Complete")</f>
        <v>Complete</v>
      </c>
      <c r="I2067" s="55" t="s">
        <v>2265</v>
      </c>
    </row>
    <row r="2068" spans="2:9" ht="15" customHeight="1" x14ac:dyDescent="0.25">
      <c r="B2068" s="51" t="s">
        <v>125</v>
      </c>
      <c r="C2068" s="52">
        <v>998</v>
      </c>
      <c r="D2068" s="53" t="s">
        <v>4327</v>
      </c>
      <c r="E2068" s="54"/>
      <c r="F2068" s="52" t="str">
        <f>IF(INDEX(I.Performance.EndRange,998)="","",INDEX(I.Performance.EndRange,998))</f>
        <v/>
      </c>
      <c r="G2068" s="54"/>
      <c r="H2068" s="52" t="str">
        <f>IF(AND(I.Compliance.FulfilledPerformance&gt;0,I.Performance.RangeCount&gt;=998,F2068=""),"Incomplete","Complete")</f>
        <v>Complete</v>
      </c>
      <c r="I2068" s="55" t="s">
        <v>2266</v>
      </c>
    </row>
    <row r="2069" spans="2:9" ht="15" customHeight="1" x14ac:dyDescent="0.25">
      <c r="B2069" s="51" t="s">
        <v>125</v>
      </c>
      <c r="C2069" s="52">
        <v>999</v>
      </c>
      <c r="D2069" s="53" t="s">
        <v>4327</v>
      </c>
      <c r="E2069" s="54"/>
      <c r="F2069" s="52" t="str">
        <f>IF(INDEX(I.Performance.EndRange,999)="","",INDEX(I.Performance.EndRange,999))</f>
        <v/>
      </c>
      <c r="G2069" s="54"/>
      <c r="H2069" s="52" t="str">
        <f>IF(AND(I.Compliance.FulfilledPerformance&gt;0,I.Performance.RangeCount&gt;=999,F2069=""),"Incomplete","Complete")</f>
        <v>Complete</v>
      </c>
      <c r="I2069" s="55" t="s">
        <v>2267</v>
      </c>
    </row>
    <row r="2070" spans="2:9" ht="15" customHeight="1" x14ac:dyDescent="0.25">
      <c r="B2070" s="67" t="s">
        <v>125</v>
      </c>
      <c r="C2070" s="68">
        <v>1000</v>
      </c>
      <c r="D2070" s="69" t="s">
        <v>4327</v>
      </c>
      <c r="E2070" s="70"/>
      <c r="F2070" s="68" t="str">
        <f>IF(INDEX(I.Performance.EndRange,1000)="","",INDEX(I.Performance.EndRange,1000))</f>
        <v/>
      </c>
      <c r="G2070" s="70"/>
      <c r="H2070" s="68" t="str">
        <f>IF(AND(I.Compliance.FulfilledPerformance&gt;0,I.Performance.RangeCount&gt;=1000,F2070=""),"Incomplete","Complete")</f>
        <v>Complete</v>
      </c>
      <c r="I2070" s="71" t="s">
        <v>2268</v>
      </c>
    </row>
    <row r="2071" spans="2:9" ht="15" customHeight="1" x14ac:dyDescent="0.25">
      <c r="B2071" s="87"/>
      <c r="C2071" s="88"/>
      <c r="D2071" s="89"/>
      <c r="E2071" s="88"/>
      <c r="F2071" s="88"/>
      <c r="G2071" s="88"/>
      <c r="H2071" s="88" t="str">
        <f>IF(AND(I.Compliance.FulfilledPerformance&gt;0,R.Performance.FulfilledPerformance&lt;&gt;R.Performance.CreditCount),"Incomplete","Complete")</f>
        <v>Complete</v>
      </c>
      <c r="I2071" s="90" t="s">
        <v>4307</v>
      </c>
    </row>
    <row r="2072" spans="2:9" ht="15" customHeight="1" x14ac:dyDescent="0.25">
      <c r="B2072" s="67" t="s">
        <v>248</v>
      </c>
      <c r="C2072" s="68">
        <v>1</v>
      </c>
      <c r="D2072" s="69" t="s">
        <v>4328</v>
      </c>
      <c r="E2072" s="82">
        <v>1</v>
      </c>
      <c r="F2072" s="82" t="str">
        <f>IF(INDEX(I.CCUS.RangeCount,1)="","",INDEX(I.CCUS.RangeCount,1))</f>
        <v/>
      </c>
      <c r="G2072" s="82"/>
      <c r="H2072" s="68" t="str">
        <f>IF(AND(I.Compliance.FulfilledCCUS&gt;0,I.CCUS.RangeCount=""),"Incomplete","Complete")</f>
        <v>Complete</v>
      </c>
      <c r="I2072" s="71" t="s">
        <v>2269</v>
      </c>
    </row>
    <row r="2073" spans="2:9" ht="15" customHeight="1" x14ac:dyDescent="0.25">
      <c r="B2073" s="72" t="s">
        <v>126</v>
      </c>
      <c r="C2073" s="73">
        <v>1</v>
      </c>
      <c r="D2073" s="74" t="s">
        <v>4329</v>
      </c>
      <c r="E2073" s="76"/>
      <c r="F2073" s="73" t="str">
        <f>IF(INDEX(I.CCUS.StartRange,1)="","",INDEX(I.CCUS.StartRange,1))</f>
        <v/>
      </c>
      <c r="G2073" s="76"/>
      <c r="H2073" s="73" t="str">
        <f>IF(AND(I.Compliance.FulfilledCCUS&gt;0,I.CCUS.RangeCount&gt;=1,F2073=""),"Incomplete","Complete")</f>
        <v>Complete</v>
      </c>
      <c r="I2073" s="75" t="s">
        <v>2270</v>
      </c>
    </row>
    <row r="2074" spans="2:9" ht="15" customHeight="1" x14ac:dyDescent="0.25">
      <c r="B2074" s="51" t="s">
        <v>126</v>
      </c>
      <c r="C2074" s="52">
        <v>2</v>
      </c>
      <c r="D2074" s="53" t="s">
        <v>4329</v>
      </c>
      <c r="E2074" s="54"/>
      <c r="F2074" s="52" t="str">
        <f>IF(INDEX(I.CCUS.StartRange,2)="","",INDEX(I.CCUS.StartRange,2))</f>
        <v/>
      </c>
      <c r="G2074" s="54"/>
      <c r="H2074" s="52" t="str">
        <f>IF(AND(I.Compliance.FulfilledCCUS&gt;0,I.CCUS.RangeCount&gt;=2,F2074=""),"Incomplete","Complete")</f>
        <v>Complete</v>
      </c>
      <c r="I2074" s="55" t="s">
        <v>2271</v>
      </c>
    </row>
    <row r="2075" spans="2:9" ht="15" customHeight="1" x14ac:dyDescent="0.25">
      <c r="B2075" s="51" t="s">
        <v>126</v>
      </c>
      <c r="C2075" s="52">
        <v>3</v>
      </c>
      <c r="D2075" s="53" t="s">
        <v>4329</v>
      </c>
      <c r="E2075" s="54"/>
      <c r="F2075" s="52" t="str">
        <f>IF(INDEX(I.CCUS.StartRange,3)="","",INDEX(I.CCUS.StartRange,3))</f>
        <v/>
      </c>
      <c r="G2075" s="54"/>
      <c r="H2075" s="52" t="str">
        <f>IF(AND(I.Compliance.FulfilledCCUS&gt;0,I.CCUS.RangeCount&gt;=3,F2075=""),"Incomplete","Complete")</f>
        <v>Complete</v>
      </c>
      <c r="I2075" s="55" t="s">
        <v>2272</v>
      </c>
    </row>
    <row r="2076" spans="2:9" ht="15" customHeight="1" x14ac:dyDescent="0.25">
      <c r="B2076" s="51" t="s">
        <v>126</v>
      </c>
      <c r="C2076" s="52">
        <v>4</v>
      </c>
      <c r="D2076" s="53" t="s">
        <v>4329</v>
      </c>
      <c r="E2076" s="54"/>
      <c r="F2076" s="52" t="str">
        <f>IF(INDEX(I.CCUS.StartRange,4)="","",INDEX(I.CCUS.StartRange,4))</f>
        <v/>
      </c>
      <c r="G2076" s="54"/>
      <c r="H2076" s="52" t="str">
        <f>IF(AND(I.Compliance.FulfilledCCUS&gt;0,I.CCUS.RangeCount&gt;=4,F2076=""),"Incomplete","Complete")</f>
        <v>Complete</v>
      </c>
      <c r="I2076" s="55" t="s">
        <v>2273</v>
      </c>
    </row>
    <row r="2077" spans="2:9" ht="15" customHeight="1" x14ac:dyDescent="0.25">
      <c r="B2077" s="51" t="s">
        <v>126</v>
      </c>
      <c r="C2077" s="52">
        <v>5</v>
      </c>
      <c r="D2077" s="53" t="s">
        <v>4329</v>
      </c>
      <c r="E2077" s="54"/>
      <c r="F2077" s="52" t="str">
        <f>IF(INDEX(I.CCUS.StartRange,5)="","",INDEX(I.CCUS.StartRange,5))</f>
        <v/>
      </c>
      <c r="G2077" s="54"/>
      <c r="H2077" s="52" t="str">
        <f>IF(AND(I.Compliance.FulfilledCCUS&gt;0,I.CCUS.RangeCount&gt;=5,F2077=""),"Incomplete","Complete")</f>
        <v>Complete</v>
      </c>
      <c r="I2077" s="55" t="s">
        <v>2274</v>
      </c>
    </row>
    <row r="2078" spans="2:9" ht="15" customHeight="1" x14ac:dyDescent="0.25">
      <c r="B2078" s="51" t="s">
        <v>126</v>
      </c>
      <c r="C2078" s="52">
        <v>6</v>
      </c>
      <c r="D2078" s="53" t="s">
        <v>4329</v>
      </c>
      <c r="E2078" s="54"/>
      <c r="F2078" s="52" t="str">
        <f>IF(INDEX(I.CCUS.StartRange,6)="","",INDEX(I.CCUS.StartRange,6))</f>
        <v/>
      </c>
      <c r="G2078" s="54"/>
      <c r="H2078" s="52" t="str">
        <f>IF(AND(I.Compliance.FulfilledCCUS&gt;0,I.CCUS.RangeCount&gt;=6,F2078=""),"Incomplete","Complete")</f>
        <v>Complete</v>
      </c>
      <c r="I2078" s="55" t="s">
        <v>2275</v>
      </c>
    </row>
    <row r="2079" spans="2:9" ht="15" customHeight="1" x14ac:dyDescent="0.25">
      <c r="B2079" s="51" t="s">
        <v>126</v>
      </c>
      <c r="C2079" s="52">
        <v>7</v>
      </c>
      <c r="D2079" s="53" t="s">
        <v>4329</v>
      </c>
      <c r="E2079" s="54"/>
      <c r="F2079" s="52" t="str">
        <f>IF(INDEX(I.CCUS.StartRange,7)="","",INDEX(I.CCUS.StartRange,7))</f>
        <v/>
      </c>
      <c r="G2079" s="54"/>
      <c r="H2079" s="52" t="str">
        <f>IF(AND(I.Compliance.FulfilledCCUS&gt;0,I.CCUS.RangeCount&gt;=7,F2079=""),"Incomplete","Complete")</f>
        <v>Complete</v>
      </c>
      <c r="I2079" s="55" t="s">
        <v>2276</v>
      </c>
    </row>
    <row r="2080" spans="2:9" ht="15" customHeight="1" x14ac:dyDescent="0.25">
      <c r="B2080" s="51" t="s">
        <v>126</v>
      </c>
      <c r="C2080" s="52">
        <v>8</v>
      </c>
      <c r="D2080" s="53" t="s">
        <v>4329</v>
      </c>
      <c r="E2080" s="54"/>
      <c r="F2080" s="52" t="str">
        <f>IF(INDEX(I.CCUS.StartRange,8)="","",INDEX(I.CCUS.StartRange,8))</f>
        <v/>
      </c>
      <c r="G2080" s="54"/>
      <c r="H2080" s="52" t="str">
        <f>IF(AND(I.Compliance.FulfilledCCUS&gt;0,I.CCUS.RangeCount&gt;=8,F2080=""),"Incomplete","Complete")</f>
        <v>Complete</v>
      </c>
      <c r="I2080" s="55" t="s">
        <v>2277</v>
      </c>
    </row>
    <row r="2081" spans="2:9" ht="15" customHeight="1" x14ac:dyDescent="0.25">
      <c r="B2081" s="51" t="s">
        <v>126</v>
      </c>
      <c r="C2081" s="52">
        <v>9</v>
      </c>
      <c r="D2081" s="53" t="s">
        <v>4329</v>
      </c>
      <c r="E2081" s="54"/>
      <c r="F2081" s="52" t="str">
        <f>IF(INDEX(I.CCUS.StartRange,9)="","",INDEX(I.CCUS.StartRange,9))</f>
        <v/>
      </c>
      <c r="G2081" s="54"/>
      <c r="H2081" s="52" t="str">
        <f>IF(AND(I.Compliance.FulfilledCCUS&gt;0,I.CCUS.RangeCount&gt;=9,F2081=""),"Incomplete","Complete")</f>
        <v>Complete</v>
      </c>
      <c r="I2081" s="55" t="s">
        <v>2278</v>
      </c>
    </row>
    <row r="2082" spans="2:9" ht="15" customHeight="1" x14ac:dyDescent="0.25">
      <c r="B2082" s="51" t="s">
        <v>126</v>
      </c>
      <c r="C2082" s="52">
        <v>10</v>
      </c>
      <c r="D2082" s="53" t="s">
        <v>4329</v>
      </c>
      <c r="E2082" s="54"/>
      <c r="F2082" s="52" t="str">
        <f>IF(INDEX(I.CCUS.StartRange,10)="","",INDEX(I.CCUS.StartRange,10))</f>
        <v/>
      </c>
      <c r="G2082" s="54"/>
      <c r="H2082" s="52" t="str">
        <f>IF(AND(I.Compliance.FulfilledCCUS&gt;0,I.CCUS.RangeCount&gt;=10,F2082=""),"Incomplete","Complete")</f>
        <v>Complete</v>
      </c>
      <c r="I2082" s="55" t="s">
        <v>2279</v>
      </c>
    </row>
    <row r="2083" spans="2:9" ht="15" customHeight="1" x14ac:dyDescent="0.25">
      <c r="B2083" s="36" t="s">
        <v>126</v>
      </c>
      <c r="C2083" s="24">
        <v>11</v>
      </c>
      <c r="D2083" s="37" t="s">
        <v>4329</v>
      </c>
      <c r="E2083" s="47"/>
      <c r="F2083" s="24" t="str">
        <f>IF(INDEX(I.CCUS.StartRange,11)="","",INDEX(I.CCUS.StartRange,11))</f>
        <v/>
      </c>
      <c r="G2083" s="47"/>
      <c r="H2083" s="24" t="str">
        <f>IF(AND(I.Compliance.FulfilledCCUS&gt;0,I.CCUS.RangeCount&gt;=11,F2083=""),"Incomplete","Complete")</f>
        <v>Complete</v>
      </c>
      <c r="I2083" s="39" t="s">
        <v>2280</v>
      </c>
    </row>
    <row r="2084" spans="2:9" ht="15" customHeight="1" x14ac:dyDescent="0.25">
      <c r="B2084" s="51" t="s">
        <v>126</v>
      </c>
      <c r="C2084" s="52">
        <v>12</v>
      </c>
      <c r="D2084" s="53" t="s">
        <v>4329</v>
      </c>
      <c r="E2084" s="54"/>
      <c r="F2084" s="52" t="str">
        <f>IF(INDEX(I.CCUS.StartRange,12)="","",INDEX(I.CCUS.StartRange,12))</f>
        <v/>
      </c>
      <c r="G2084" s="54"/>
      <c r="H2084" s="52" t="str">
        <f>IF(AND(I.Compliance.FulfilledCCUS&gt;0,I.CCUS.RangeCount&gt;=12,F2084=""),"Incomplete","Complete")</f>
        <v>Complete</v>
      </c>
      <c r="I2084" s="55" t="s">
        <v>2281</v>
      </c>
    </row>
    <row r="2085" spans="2:9" ht="15" customHeight="1" x14ac:dyDescent="0.25">
      <c r="B2085" s="36" t="s">
        <v>126</v>
      </c>
      <c r="C2085" s="24">
        <v>13</v>
      </c>
      <c r="D2085" s="37" t="s">
        <v>4329</v>
      </c>
      <c r="E2085" s="47"/>
      <c r="F2085" s="24" t="str">
        <f>IF(INDEX(I.CCUS.StartRange,13)="","",INDEX(I.CCUS.StartRange,13))</f>
        <v/>
      </c>
      <c r="G2085" s="47"/>
      <c r="H2085" s="24" t="str">
        <f>IF(AND(I.Compliance.FulfilledCCUS&gt;0,I.CCUS.RangeCount&gt;=13,F2085=""),"Incomplete","Complete")</f>
        <v>Complete</v>
      </c>
      <c r="I2085" s="39" t="s">
        <v>2282</v>
      </c>
    </row>
    <row r="2086" spans="2:9" ht="15" customHeight="1" x14ac:dyDescent="0.25">
      <c r="B2086" s="51" t="s">
        <v>126</v>
      </c>
      <c r="C2086" s="52">
        <v>14</v>
      </c>
      <c r="D2086" s="53" t="s">
        <v>4329</v>
      </c>
      <c r="E2086" s="54"/>
      <c r="F2086" s="52" t="str">
        <f>IF(INDEX(I.CCUS.StartRange,14)="","",INDEX(I.CCUS.StartRange,14))</f>
        <v/>
      </c>
      <c r="G2086" s="54"/>
      <c r="H2086" s="52" t="str">
        <f>IF(AND(I.Compliance.FulfilledCCUS&gt;0,I.CCUS.RangeCount&gt;=14,F2086=""),"Incomplete","Complete")</f>
        <v>Complete</v>
      </c>
      <c r="I2086" s="55" t="s">
        <v>2283</v>
      </c>
    </row>
    <row r="2087" spans="2:9" ht="15" customHeight="1" x14ac:dyDescent="0.25">
      <c r="B2087" s="51" t="s">
        <v>126</v>
      </c>
      <c r="C2087" s="52">
        <v>15</v>
      </c>
      <c r="D2087" s="53" t="s">
        <v>4329</v>
      </c>
      <c r="E2087" s="54"/>
      <c r="F2087" s="52" t="str">
        <f>IF(INDEX(I.CCUS.StartRange,15)="","",INDEX(I.CCUS.StartRange,15))</f>
        <v/>
      </c>
      <c r="G2087" s="54"/>
      <c r="H2087" s="52" t="str">
        <f>IF(AND(I.Compliance.FulfilledCCUS&gt;0,I.CCUS.RangeCount&gt;=15,F2087=""),"Incomplete","Complete")</f>
        <v>Complete</v>
      </c>
      <c r="I2087" s="55" t="s">
        <v>2284</v>
      </c>
    </row>
    <row r="2088" spans="2:9" ht="15" customHeight="1" x14ac:dyDescent="0.25">
      <c r="B2088" s="51" t="s">
        <v>126</v>
      </c>
      <c r="C2088" s="52">
        <v>16</v>
      </c>
      <c r="D2088" s="53" t="s">
        <v>4329</v>
      </c>
      <c r="E2088" s="54"/>
      <c r="F2088" s="52" t="str">
        <f>IF(INDEX(I.CCUS.StartRange,16)="","",INDEX(I.CCUS.StartRange,16))</f>
        <v/>
      </c>
      <c r="G2088" s="54"/>
      <c r="H2088" s="52" t="str">
        <f>IF(AND(I.Compliance.FulfilledCCUS&gt;0,I.CCUS.RangeCount&gt;=16,F2088=""),"Incomplete","Complete")</f>
        <v>Complete</v>
      </c>
      <c r="I2088" s="55" t="s">
        <v>2285</v>
      </c>
    </row>
    <row r="2089" spans="2:9" ht="15" customHeight="1" x14ac:dyDescent="0.25">
      <c r="B2089" s="51" t="s">
        <v>126</v>
      </c>
      <c r="C2089" s="52">
        <v>17</v>
      </c>
      <c r="D2089" s="53" t="s">
        <v>4329</v>
      </c>
      <c r="E2089" s="54"/>
      <c r="F2089" s="52" t="str">
        <f>IF(INDEX(I.CCUS.StartRange,17)="","",INDEX(I.CCUS.StartRange,17))</f>
        <v/>
      </c>
      <c r="G2089" s="54"/>
      <c r="H2089" s="52" t="str">
        <f>IF(AND(I.Compliance.FulfilledCCUS&gt;0,I.CCUS.RangeCount&gt;=17,F2089=""),"Incomplete","Complete")</f>
        <v>Complete</v>
      </c>
      <c r="I2089" s="55" t="s">
        <v>2286</v>
      </c>
    </row>
    <row r="2090" spans="2:9" ht="15" customHeight="1" x14ac:dyDescent="0.25">
      <c r="B2090" s="51" t="s">
        <v>126</v>
      </c>
      <c r="C2090" s="52">
        <v>18</v>
      </c>
      <c r="D2090" s="53" t="s">
        <v>4329</v>
      </c>
      <c r="E2090" s="54"/>
      <c r="F2090" s="52" t="str">
        <f>IF(INDEX(I.CCUS.StartRange,18)="","",INDEX(I.CCUS.StartRange,18))</f>
        <v/>
      </c>
      <c r="G2090" s="54"/>
      <c r="H2090" s="52" t="str">
        <f>IF(AND(I.Compliance.FulfilledCCUS&gt;0,I.CCUS.RangeCount&gt;=18,F2090=""),"Incomplete","Complete")</f>
        <v>Complete</v>
      </c>
      <c r="I2090" s="55" t="s">
        <v>2287</v>
      </c>
    </row>
    <row r="2091" spans="2:9" ht="15" customHeight="1" x14ac:dyDescent="0.25">
      <c r="B2091" s="51" t="s">
        <v>126</v>
      </c>
      <c r="C2091" s="52">
        <v>19</v>
      </c>
      <c r="D2091" s="53" t="s">
        <v>4329</v>
      </c>
      <c r="E2091" s="54"/>
      <c r="F2091" s="52" t="str">
        <f>IF(INDEX(I.CCUS.StartRange,19)="","",INDEX(I.CCUS.StartRange,19))</f>
        <v/>
      </c>
      <c r="G2091" s="54"/>
      <c r="H2091" s="52" t="str">
        <f>IF(AND(I.Compliance.FulfilledCCUS&gt;0,I.CCUS.RangeCount&gt;=19,F2091=""),"Incomplete","Complete")</f>
        <v>Complete</v>
      </c>
      <c r="I2091" s="55" t="s">
        <v>2288</v>
      </c>
    </row>
    <row r="2092" spans="2:9" ht="15" customHeight="1" x14ac:dyDescent="0.25">
      <c r="B2092" s="51" t="s">
        <v>126</v>
      </c>
      <c r="C2092" s="52">
        <v>20</v>
      </c>
      <c r="D2092" s="53" t="s">
        <v>4329</v>
      </c>
      <c r="E2092" s="54"/>
      <c r="F2092" s="52" t="str">
        <f>IF(INDEX(I.CCUS.StartRange,20)="","",INDEX(I.CCUS.StartRange,20))</f>
        <v/>
      </c>
      <c r="G2092" s="54"/>
      <c r="H2092" s="52" t="str">
        <f>IF(AND(I.Compliance.FulfilledCCUS&gt;0,I.CCUS.RangeCount&gt;=20,F2092=""),"Incomplete","Complete")</f>
        <v>Complete</v>
      </c>
      <c r="I2092" s="55" t="s">
        <v>2289</v>
      </c>
    </row>
    <row r="2093" spans="2:9" ht="15" customHeight="1" x14ac:dyDescent="0.25">
      <c r="B2093" s="51" t="s">
        <v>126</v>
      </c>
      <c r="C2093" s="52">
        <v>21</v>
      </c>
      <c r="D2093" s="53" t="s">
        <v>4329</v>
      </c>
      <c r="E2093" s="54"/>
      <c r="F2093" s="52" t="str">
        <f>IF(INDEX(I.CCUS.StartRange,21)="","",INDEX(I.CCUS.StartRange,21))</f>
        <v/>
      </c>
      <c r="G2093" s="54"/>
      <c r="H2093" s="52" t="str">
        <f>IF(AND(I.Compliance.FulfilledCCUS&gt;0,I.CCUS.RangeCount&gt;=21,F2093=""),"Incomplete","Complete")</f>
        <v>Complete</v>
      </c>
      <c r="I2093" s="55" t="s">
        <v>2290</v>
      </c>
    </row>
    <row r="2094" spans="2:9" ht="15" customHeight="1" x14ac:dyDescent="0.25">
      <c r="B2094" s="51" t="s">
        <v>126</v>
      </c>
      <c r="C2094" s="52">
        <v>22</v>
      </c>
      <c r="D2094" s="53" t="s">
        <v>4329</v>
      </c>
      <c r="E2094" s="54"/>
      <c r="F2094" s="52" t="str">
        <f>IF(INDEX(I.CCUS.StartRange,22)="","",INDEX(I.CCUS.StartRange,22))</f>
        <v/>
      </c>
      <c r="G2094" s="54"/>
      <c r="H2094" s="52" t="str">
        <f>IF(AND(I.Compliance.FulfilledCCUS&gt;0,I.CCUS.RangeCount&gt;=22,F2094=""),"Incomplete","Complete")</f>
        <v>Complete</v>
      </c>
      <c r="I2094" s="55" t="s">
        <v>2291</v>
      </c>
    </row>
    <row r="2095" spans="2:9" ht="15" customHeight="1" x14ac:dyDescent="0.25">
      <c r="B2095" s="51" t="s">
        <v>126</v>
      </c>
      <c r="C2095" s="52">
        <v>23</v>
      </c>
      <c r="D2095" s="53" t="s">
        <v>4329</v>
      </c>
      <c r="E2095" s="54"/>
      <c r="F2095" s="52" t="str">
        <f>IF(INDEX(I.CCUS.StartRange,23)="","",INDEX(I.CCUS.StartRange,23))</f>
        <v/>
      </c>
      <c r="G2095" s="54"/>
      <c r="H2095" s="52" t="str">
        <f>IF(AND(I.Compliance.FulfilledCCUS&gt;0,I.CCUS.RangeCount&gt;=23,F2095=""),"Incomplete","Complete")</f>
        <v>Complete</v>
      </c>
      <c r="I2095" s="55" t="s">
        <v>2292</v>
      </c>
    </row>
    <row r="2096" spans="2:9" ht="15" customHeight="1" x14ac:dyDescent="0.25">
      <c r="B2096" s="51" t="s">
        <v>126</v>
      </c>
      <c r="C2096" s="52">
        <v>24</v>
      </c>
      <c r="D2096" s="53" t="s">
        <v>4329</v>
      </c>
      <c r="E2096" s="54"/>
      <c r="F2096" s="52" t="str">
        <f>IF(INDEX(I.CCUS.StartRange,24)="","",INDEX(I.CCUS.StartRange,24))</f>
        <v/>
      </c>
      <c r="G2096" s="54"/>
      <c r="H2096" s="52" t="str">
        <f>IF(AND(I.Compliance.FulfilledCCUS&gt;0,I.CCUS.RangeCount&gt;=24,F2096=""),"Incomplete","Complete")</f>
        <v>Complete</v>
      </c>
      <c r="I2096" s="55" t="s">
        <v>2293</v>
      </c>
    </row>
    <row r="2097" spans="2:9" ht="15" customHeight="1" x14ac:dyDescent="0.25">
      <c r="B2097" s="51" t="s">
        <v>126</v>
      </c>
      <c r="C2097" s="52">
        <v>25</v>
      </c>
      <c r="D2097" s="53" t="s">
        <v>4329</v>
      </c>
      <c r="E2097" s="54"/>
      <c r="F2097" s="52" t="str">
        <f>IF(INDEX(I.CCUS.StartRange,25)="","",INDEX(I.CCUS.StartRange,25))</f>
        <v/>
      </c>
      <c r="G2097" s="54"/>
      <c r="H2097" s="52" t="str">
        <f>IF(AND(I.Compliance.FulfilledCCUS&gt;0,I.CCUS.RangeCount&gt;=25,F2097=""),"Incomplete","Complete")</f>
        <v>Complete</v>
      </c>
      <c r="I2097" s="55" t="s">
        <v>2294</v>
      </c>
    </row>
    <row r="2098" spans="2:9" ht="15" customHeight="1" x14ac:dyDescent="0.25">
      <c r="B2098" s="51" t="s">
        <v>126</v>
      </c>
      <c r="C2098" s="52">
        <v>26</v>
      </c>
      <c r="D2098" s="53" t="s">
        <v>4329</v>
      </c>
      <c r="E2098" s="54"/>
      <c r="F2098" s="52" t="str">
        <f>IF(INDEX(I.CCUS.StartRange,26)="","",INDEX(I.CCUS.StartRange,26))</f>
        <v/>
      </c>
      <c r="G2098" s="54"/>
      <c r="H2098" s="52" t="str">
        <f>IF(AND(I.Compliance.FulfilledCCUS&gt;0,I.CCUS.RangeCount&gt;=26,F2098=""),"Incomplete","Complete")</f>
        <v>Complete</v>
      </c>
      <c r="I2098" s="55" t="s">
        <v>2295</v>
      </c>
    </row>
    <row r="2099" spans="2:9" ht="15" customHeight="1" x14ac:dyDescent="0.25">
      <c r="B2099" s="51" t="s">
        <v>126</v>
      </c>
      <c r="C2099" s="52">
        <v>27</v>
      </c>
      <c r="D2099" s="53" t="s">
        <v>4329</v>
      </c>
      <c r="E2099" s="54"/>
      <c r="F2099" s="52" t="str">
        <f>IF(INDEX(I.CCUS.StartRange,27)="","",INDEX(I.CCUS.StartRange,27))</f>
        <v/>
      </c>
      <c r="G2099" s="54"/>
      <c r="H2099" s="52" t="str">
        <f>IF(AND(I.Compliance.FulfilledCCUS&gt;0,I.CCUS.RangeCount&gt;=27,F2099=""),"Incomplete","Complete")</f>
        <v>Complete</v>
      </c>
      <c r="I2099" s="55" t="s">
        <v>2296</v>
      </c>
    </row>
    <row r="2100" spans="2:9" ht="15" customHeight="1" x14ac:dyDescent="0.25">
      <c r="B2100" s="51" t="s">
        <v>126</v>
      </c>
      <c r="C2100" s="52">
        <v>28</v>
      </c>
      <c r="D2100" s="53" t="s">
        <v>4329</v>
      </c>
      <c r="E2100" s="54"/>
      <c r="F2100" s="52" t="str">
        <f>IF(INDEX(I.CCUS.StartRange,28)="","",INDEX(I.CCUS.StartRange,28))</f>
        <v/>
      </c>
      <c r="G2100" s="54"/>
      <c r="H2100" s="52" t="str">
        <f>IF(AND(I.Compliance.FulfilledCCUS&gt;0,I.CCUS.RangeCount&gt;=28,F2100=""),"Incomplete","Complete")</f>
        <v>Complete</v>
      </c>
      <c r="I2100" s="55" t="s">
        <v>2297</v>
      </c>
    </row>
    <row r="2101" spans="2:9" ht="15" customHeight="1" x14ac:dyDescent="0.25">
      <c r="B2101" s="51" t="s">
        <v>126</v>
      </c>
      <c r="C2101" s="52">
        <v>29</v>
      </c>
      <c r="D2101" s="53" t="s">
        <v>4329</v>
      </c>
      <c r="E2101" s="54"/>
      <c r="F2101" s="52" t="str">
        <f>IF(INDEX(I.CCUS.StartRange,29)="","",INDEX(I.CCUS.StartRange,29))</f>
        <v/>
      </c>
      <c r="G2101" s="54"/>
      <c r="H2101" s="52" t="str">
        <f>IF(AND(I.Compliance.FulfilledCCUS&gt;0,I.CCUS.RangeCount&gt;=29,F2101=""),"Incomplete","Complete")</f>
        <v>Complete</v>
      </c>
      <c r="I2101" s="55" t="s">
        <v>2298</v>
      </c>
    </row>
    <row r="2102" spans="2:9" ht="15" customHeight="1" x14ac:dyDescent="0.25">
      <c r="B2102" s="51" t="s">
        <v>126</v>
      </c>
      <c r="C2102" s="52">
        <v>30</v>
      </c>
      <c r="D2102" s="53" t="s">
        <v>4329</v>
      </c>
      <c r="E2102" s="54"/>
      <c r="F2102" s="52" t="str">
        <f>IF(INDEX(I.CCUS.StartRange,30)="","",INDEX(I.CCUS.StartRange,30))</f>
        <v/>
      </c>
      <c r="G2102" s="54"/>
      <c r="H2102" s="52" t="str">
        <f>IF(AND(I.Compliance.FulfilledCCUS&gt;0,I.CCUS.RangeCount&gt;=30,F2102=""),"Incomplete","Complete")</f>
        <v>Complete</v>
      </c>
      <c r="I2102" s="55" t="s">
        <v>2299</v>
      </c>
    </row>
    <row r="2103" spans="2:9" ht="15" customHeight="1" x14ac:dyDescent="0.25">
      <c r="B2103" s="51" t="s">
        <v>126</v>
      </c>
      <c r="C2103" s="52">
        <v>31</v>
      </c>
      <c r="D2103" s="53" t="s">
        <v>4329</v>
      </c>
      <c r="E2103" s="54"/>
      <c r="F2103" s="52" t="str">
        <f>IF(INDEX(I.CCUS.StartRange,31)="","",INDEX(I.CCUS.StartRange,31))</f>
        <v/>
      </c>
      <c r="G2103" s="54"/>
      <c r="H2103" s="52" t="str">
        <f>IF(AND(I.Compliance.FulfilledCCUS&gt;0,I.CCUS.RangeCount&gt;=31,F2103=""),"Incomplete","Complete")</f>
        <v>Complete</v>
      </c>
      <c r="I2103" s="55" t="s">
        <v>2300</v>
      </c>
    </row>
    <row r="2104" spans="2:9" ht="15" customHeight="1" x14ac:dyDescent="0.25">
      <c r="B2104" s="51" t="s">
        <v>126</v>
      </c>
      <c r="C2104" s="52">
        <v>32</v>
      </c>
      <c r="D2104" s="53" t="s">
        <v>4329</v>
      </c>
      <c r="E2104" s="54"/>
      <c r="F2104" s="52" t="str">
        <f>IF(INDEX(I.CCUS.StartRange,32)="","",INDEX(I.CCUS.StartRange,32))</f>
        <v/>
      </c>
      <c r="G2104" s="54"/>
      <c r="H2104" s="52" t="str">
        <f>IF(AND(I.Compliance.FulfilledCCUS&gt;0,I.CCUS.RangeCount&gt;=32,F2104=""),"Incomplete","Complete")</f>
        <v>Complete</v>
      </c>
      <c r="I2104" s="55" t="s">
        <v>2301</v>
      </c>
    </row>
    <row r="2105" spans="2:9" ht="15" customHeight="1" x14ac:dyDescent="0.25">
      <c r="B2105" s="51" t="s">
        <v>126</v>
      </c>
      <c r="C2105" s="52">
        <v>33</v>
      </c>
      <c r="D2105" s="53" t="s">
        <v>4329</v>
      </c>
      <c r="E2105" s="54"/>
      <c r="F2105" s="52" t="str">
        <f>IF(INDEX(I.CCUS.StartRange,33)="","",INDEX(I.CCUS.StartRange,33))</f>
        <v/>
      </c>
      <c r="G2105" s="54"/>
      <c r="H2105" s="52" t="str">
        <f>IF(AND(I.Compliance.FulfilledCCUS&gt;0,I.CCUS.RangeCount&gt;=33,F2105=""),"Incomplete","Complete")</f>
        <v>Complete</v>
      </c>
      <c r="I2105" s="55" t="s">
        <v>2302</v>
      </c>
    </row>
    <row r="2106" spans="2:9" ht="15" customHeight="1" x14ac:dyDescent="0.25">
      <c r="B2106" s="51" t="s">
        <v>126</v>
      </c>
      <c r="C2106" s="52">
        <v>34</v>
      </c>
      <c r="D2106" s="53" t="s">
        <v>4329</v>
      </c>
      <c r="E2106" s="54"/>
      <c r="F2106" s="52" t="str">
        <f>IF(INDEX(I.CCUS.StartRange,34)="","",INDEX(I.CCUS.StartRange,34))</f>
        <v/>
      </c>
      <c r="G2106" s="54"/>
      <c r="H2106" s="52" t="str">
        <f>IF(AND(I.Compliance.FulfilledCCUS&gt;0,I.CCUS.RangeCount&gt;=34,F2106=""),"Incomplete","Complete")</f>
        <v>Complete</v>
      </c>
      <c r="I2106" s="55" t="s">
        <v>2303</v>
      </c>
    </row>
    <row r="2107" spans="2:9" ht="15" customHeight="1" x14ac:dyDescent="0.25">
      <c r="B2107" s="51" t="s">
        <v>126</v>
      </c>
      <c r="C2107" s="52">
        <v>35</v>
      </c>
      <c r="D2107" s="53" t="s">
        <v>4329</v>
      </c>
      <c r="E2107" s="54"/>
      <c r="F2107" s="52" t="str">
        <f>IF(INDEX(I.CCUS.StartRange,35)="","",INDEX(I.CCUS.StartRange,35))</f>
        <v/>
      </c>
      <c r="G2107" s="54"/>
      <c r="H2107" s="52" t="str">
        <f>IF(AND(I.Compliance.FulfilledCCUS&gt;0,I.CCUS.RangeCount&gt;=35,F2107=""),"Incomplete","Complete")</f>
        <v>Complete</v>
      </c>
      <c r="I2107" s="55" t="s">
        <v>2304</v>
      </c>
    </row>
    <row r="2108" spans="2:9" ht="15" customHeight="1" x14ac:dyDescent="0.25">
      <c r="B2108" s="51" t="s">
        <v>126</v>
      </c>
      <c r="C2108" s="52">
        <v>36</v>
      </c>
      <c r="D2108" s="53" t="s">
        <v>4329</v>
      </c>
      <c r="E2108" s="54"/>
      <c r="F2108" s="52" t="str">
        <f>IF(INDEX(I.CCUS.StartRange,36)="","",INDEX(I.CCUS.StartRange,36))</f>
        <v/>
      </c>
      <c r="G2108" s="54"/>
      <c r="H2108" s="52" t="str">
        <f>IF(AND(I.Compliance.FulfilledCCUS&gt;0,I.CCUS.RangeCount&gt;=36,F2108=""),"Incomplete","Complete")</f>
        <v>Complete</v>
      </c>
      <c r="I2108" s="55" t="s">
        <v>2305</v>
      </c>
    </row>
    <row r="2109" spans="2:9" ht="15" customHeight="1" x14ac:dyDescent="0.25">
      <c r="B2109" s="51" t="s">
        <v>126</v>
      </c>
      <c r="C2109" s="52">
        <v>37</v>
      </c>
      <c r="D2109" s="53" t="s">
        <v>4329</v>
      </c>
      <c r="E2109" s="54"/>
      <c r="F2109" s="52" t="str">
        <f>IF(INDEX(I.CCUS.StartRange,37)="","",INDEX(I.CCUS.StartRange,37))</f>
        <v/>
      </c>
      <c r="G2109" s="54"/>
      <c r="H2109" s="52" t="str">
        <f>IF(AND(I.Compliance.FulfilledCCUS&gt;0,I.CCUS.RangeCount&gt;=37,F2109=""),"Incomplete","Complete")</f>
        <v>Complete</v>
      </c>
      <c r="I2109" s="55" t="s">
        <v>2306</v>
      </c>
    </row>
    <row r="2110" spans="2:9" ht="15" customHeight="1" x14ac:dyDescent="0.25">
      <c r="B2110" s="51" t="s">
        <v>126</v>
      </c>
      <c r="C2110" s="52">
        <v>38</v>
      </c>
      <c r="D2110" s="53" t="s">
        <v>4329</v>
      </c>
      <c r="E2110" s="54"/>
      <c r="F2110" s="52" t="str">
        <f>IF(INDEX(I.CCUS.StartRange,38)="","",INDEX(I.CCUS.StartRange,38))</f>
        <v/>
      </c>
      <c r="G2110" s="54"/>
      <c r="H2110" s="52" t="str">
        <f>IF(AND(I.Compliance.FulfilledCCUS&gt;0,I.CCUS.RangeCount&gt;=38,F2110=""),"Incomplete","Complete")</f>
        <v>Complete</v>
      </c>
      <c r="I2110" s="55" t="s">
        <v>2307</v>
      </c>
    </row>
    <row r="2111" spans="2:9" ht="15" customHeight="1" x14ac:dyDescent="0.25">
      <c r="B2111" s="51" t="s">
        <v>126</v>
      </c>
      <c r="C2111" s="52">
        <v>39</v>
      </c>
      <c r="D2111" s="53" t="s">
        <v>4329</v>
      </c>
      <c r="E2111" s="54"/>
      <c r="F2111" s="52" t="str">
        <f>IF(INDEX(I.CCUS.StartRange,39)="","",INDEX(I.CCUS.StartRange,39))</f>
        <v/>
      </c>
      <c r="G2111" s="54"/>
      <c r="H2111" s="52" t="str">
        <f>IF(AND(I.Compliance.FulfilledCCUS&gt;0,I.CCUS.RangeCount&gt;=39,F2111=""),"Incomplete","Complete")</f>
        <v>Complete</v>
      </c>
      <c r="I2111" s="55" t="s">
        <v>2308</v>
      </c>
    </row>
    <row r="2112" spans="2:9" ht="15" customHeight="1" x14ac:dyDescent="0.25">
      <c r="B2112" s="51" t="s">
        <v>126</v>
      </c>
      <c r="C2112" s="52">
        <v>40</v>
      </c>
      <c r="D2112" s="53" t="s">
        <v>4329</v>
      </c>
      <c r="E2112" s="54"/>
      <c r="F2112" s="52" t="str">
        <f>IF(INDEX(I.CCUS.StartRange,40)="","",INDEX(I.CCUS.StartRange,40))</f>
        <v/>
      </c>
      <c r="G2112" s="54"/>
      <c r="H2112" s="52" t="str">
        <f>IF(AND(I.Compliance.FulfilledCCUS&gt;0,I.CCUS.RangeCount&gt;=40,F2112=""),"Incomplete","Complete")</f>
        <v>Complete</v>
      </c>
      <c r="I2112" s="55" t="s">
        <v>2309</v>
      </c>
    </row>
    <row r="2113" spans="2:9" ht="15" customHeight="1" x14ac:dyDescent="0.25">
      <c r="B2113" s="51" t="s">
        <v>126</v>
      </c>
      <c r="C2113" s="52">
        <v>41</v>
      </c>
      <c r="D2113" s="53" t="s">
        <v>4329</v>
      </c>
      <c r="E2113" s="54"/>
      <c r="F2113" s="52" t="str">
        <f>IF(INDEX(I.CCUS.StartRange,41)="","",INDEX(I.CCUS.StartRange,41))</f>
        <v/>
      </c>
      <c r="G2113" s="54"/>
      <c r="H2113" s="52" t="str">
        <f>IF(AND(I.Compliance.FulfilledCCUS&gt;0,I.CCUS.RangeCount&gt;=41,F2113=""),"Incomplete","Complete")</f>
        <v>Complete</v>
      </c>
      <c r="I2113" s="55" t="s">
        <v>2310</v>
      </c>
    </row>
    <row r="2114" spans="2:9" ht="15" customHeight="1" x14ac:dyDescent="0.25">
      <c r="B2114" s="51" t="s">
        <v>126</v>
      </c>
      <c r="C2114" s="52">
        <v>42</v>
      </c>
      <c r="D2114" s="53" t="s">
        <v>4329</v>
      </c>
      <c r="E2114" s="54"/>
      <c r="F2114" s="52" t="str">
        <f>IF(INDEX(I.CCUS.StartRange,42)="","",INDEX(I.CCUS.StartRange,42))</f>
        <v/>
      </c>
      <c r="G2114" s="54"/>
      <c r="H2114" s="52" t="str">
        <f>IF(AND(I.Compliance.FulfilledCCUS&gt;0,I.CCUS.RangeCount&gt;=42,F2114=""),"Incomplete","Complete")</f>
        <v>Complete</v>
      </c>
      <c r="I2114" s="55" t="s">
        <v>2311</v>
      </c>
    </row>
    <row r="2115" spans="2:9" ht="15" customHeight="1" x14ac:dyDescent="0.25">
      <c r="B2115" s="51" t="s">
        <v>126</v>
      </c>
      <c r="C2115" s="52">
        <v>43</v>
      </c>
      <c r="D2115" s="53" t="s">
        <v>4329</v>
      </c>
      <c r="E2115" s="54"/>
      <c r="F2115" s="52" t="str">
        <f>IF(INDEX(I.CCUS.StartRange,43)="","",INDEX(I.CCUS.StartRange,43))</f>
        <v/>
      </c>
      <c r="G2115" s="54"/>
      <c r="H2115" s="52" t="str">
        <f>IF(AND(I.Compliance.FulfilledCCUS&gt;0,I.CCUS.RangeCount&gt;=43,F2115=""),"Incomplete","Complete")</f>
        <v>Complete</v>
      </c>
      <c r="I2115" s="55" t="s">
        <v>2312</v>
      </c>
    </row>
    <row r="2116" spans="2:9" ht="15" customHeight="1" x14ac:dyDescent="0.25">
      <c r="B2116" s="51" t="s">
        <v>126</v>
      </c>
      <c r="C2116" s="52">
        <v>44</v>
      </c>
      <c r="D2116" s="53" t="s">
        <v>4329</v>
      </c>
      <c r="E2116" s="54"/>
      <c r="F2116" s="52" t="str">
        <f>IF(INDEX(I.CCUS.StartRange,44)="","",INDEX(I.CCUS.StartRange,44))</f>
        <v/>
      </c>
      <c r="G2116" s="54"/>
      <c r="H2116" s="52" t="str">
        <f>IF(AND(I.Compliance.FulfilledCCUS&gt;0,I.CCUS.RangeCount&gt;=44,F2116=""),"Incomplete","Complete")</f>
        <v>Complete</v>
      </c>
      <c r="I2116" s="55" t="s">
        <v>2313</v>
      </c>
    </row>
    <row r="2117" spans="2:9" ht="15" customHeight="1" x14ac:dyDescent="0.25">
      <c r="B2117" s="51" t="s">
        <v>126</v>
      </c>
      <c r="C2117" s="52">
        <v>45</v>
      </c>
      <c r="D2117" s="53" t="s">
        <v>4329</v>
      </c>
      <c r="E2117" s="54"/>
      <c r="F2117" s="52" t="str">
        <f>IF(INDEX(I.CCUS.StartRange,45)="","",INDEX(I.CCUS.StartRange,45))</f>
        <v/>
      </c>
      <c r="G2117" s="54"/>
      <c r="H2117" s="52" t="str">
        <f>IF(AND(I.Compliance.FulfilledCCUS&gt;0,I.CCUS.RangeCount&gt;=45,F2117=""),"Incomplete","Complete")</f>
        <v>Complete</v>
      </c>
      <c r="I2117" s="55" t="s">
        <v>2314</v>
      </c>
    </row>
    <row r="2118" spans="2:9" ht="15" customHeight="1" x14ac:dyDescent="0.25">
      <c r="B2118" s="51" t="s">
        <v>126</v>
      </c>
      <c r="C2118" s="52">
        <v>46</v>
      </c>
      <c r="D2118" s="53" t="s">
        <v>4329</v>
      </c>
      <c r="E2118" s="54"/>
      <c r="F2118" s="52" t="str">
        <f>IF(INDEX(I.CCUS.StartRange,46)="","",INDEX(I.CCUS.StartRange,46))</f>
        <v/>
      </c>
      <c r="G2118" s="54"/>
      <c r="H2118" s="52" t="str">
        <f>IF(AND(I.Compliance.FulfilledCCUS&gt;0,I.CCUS.RangeCount&gt;=46,F2118=""),"Incomplete","Complete")</f>
        <v>Complete</v>
      </c>
      <c r="I2118" s="55" t="s">
        <v>2315</v>
      </c>
    </row>
    <row r="2119" spans="2:9" ht="15" customHeight="1" x14ac:dyDescent="0.25">
      <c r="B2119" s="51" t="s">
        <v>126</v>
      </c>
      <c r="C2119" s="52">
        <v>47</v>
      </c>
      <c r="D2119" s="53" t="s">
        <v>4329</v>
      </c>
      <c r="E2119" s="54"/>
      <c r="F2119" s="52" t="str">
        <f>IF(INDEX(I.CCUS.StartRange,47)="","",INDEX(I.CCUS.StartRange,47))</f>
        <v/>
      </c>
      <c r="G2119" s="54"/>
      <c r="H2119" s="52" t="str">
        <f>IF(AND(I.Compliance.FulfilledCCUS&gt;0,I.CCUS.RangeCount&gt;=47,F2119=""),"Incomplete","Complete")</f>
        <v>Complete</v>
      </c>
      <c r="I2119" s="55" t="s">
        <v>2316</v>
      </c>
    </row>
    <row r="2120" spans="2:9" ht="15" customHeight="1" x14ac:dyDescent="0.25">
      <c r="B2120" s="51" t="s">
        <v>126</v>
      </c>
      <c r="C2120" s="52">
        <v>48</v>
      </c>
      <c r="D2120" s="53" t="s">
        <v>4329</v>
      </c>
      <c r="E2120" s="54"/>
      <c r="F2120" s="52" t="str">
        <f>IF(INDEX(I.CCUS.StartRange,48)="","",INDEX(I.CCUS.StartRange,48))</f>
        <v/>
      </c>
      <c r="G2120" s="54"/>
      <c r="H2120" s="52" t="str">
        <f>IF(AND(I.Compliance.FulfilledCCUS&gt;0,I.CCUS.RangeCount&gt;=48,F2120=""),"Incomplete","Complete")</f>
        <v>Complete</v>
      </c>
      <c r="I2120" s="55" t="s">
        <v>2317</v>
      </c>
    </row>
    <row r="2121" spans="2:9" ht="15" customHeight="1" x14ac:dyDescent="0.25">
      <c r="B2121" s="51" t="s">
        <v>126</v>
      </c>
      <c r="C2121" s="52">
        <v>49</v>
      </c>
      <c r="D2121" s="53" t="s">
        <v>4329</v>
      </c>
      <c r="E2121" s="54"/>
      <c r="F2121" s="52" t="str">
        <f>IF(INDEX(I.CCUS.StartRange,49)="","",INDEX(I.CCUS.StartRange,49))</f>
        <v/>
      </c>
      <c r="G2121" s="54"/>
      <c r="H2121" s="52" t="str">
        <f>IF(AND(I.Compliance.FulfilledCCUS&gt;0,I.CCUS.RangeCount&gt;=49,F2121=""),"Incomplete","Complete")</f>
        <v>Complete</v>
      </c>
      <c r="I2121" s="55" t="s">
        <v>2318</v>
      </c>
    </row>
    <row r="2122" spans="2:9" ht="15" customHeight="1" x14ac:dyDescent="0.25">
      <c r="B2122" s="51" t="s">
        <v>126</v>
      </c>
      <c r="C2122" s="52">
        <v>50</v>
      </c>
      <c r="D2122" s="53" t="s">
        <v>4329</v>
      </c>
      <c r="E2122" s="54"/>
      <c r="F2122" s="52" t="str">
        <f>IF(INDEX(I.CCUS.StartRange,50)="","",INDEX(I.CCUS.StartRange,50))</f>
        <v/>
      </c>
      <c r="G2122" s="54"/>
      <c r="H2122" s="52" t="str">
        <f>IF(AND(I.Compliance.FulfilledCCUS&gt;0,I.CCUS.RangeCount&gt;=50,F2122=""),"Incomplete","Complete")</f>
        <v>Complete</v>
      </c>
      <c r="I2122" s="55" t="s">
        <v>2319</v>
      </c>
    </row>
    <row r="2123" spans="2:9" ht="15" customHeight="1" x14ac:dyDescent="0.25">
      <c r="B2123" s="51" t="s">
        <v>126</v>
      </c>
      <c r="C2123" s="52">
        <v>51</v>
      </c>
      <c r="D2123" s="53" t="s">
        <v>4329</v>
      </c>
      <c r="E2123" s="54"/>
      <c r="F2123" s="52" t="str">
        <f>IF(INDEX(I.CCUS.StartRange,51)="","",INDEX(I.CCUS.StartRange,51))</f>
        <v/>
      </c>
      <c r="G2123" s="54"/>
      <c r="H2123" s="52" t="str">
        <f>IF(AND(I.Compliance.FulfilledCCUS&gt;0,I.CCUS.RangeCount&gt;=51,F2123=""),"Incomplete","Complete")</f>
        <v>Complete</v>
      </c>
      <c r="I2123" s="55" t="s">
        <v>2320</v>
      </c>
    </row>
    <row r="2124" spans="2:9" ht="15" customHeight="1" x14ac:dyDescent="0.25">
      <c r="B2124" s="51" t="s">
        <v>126</v>
      </c>
      <c r="C2124" s="52">
        <v>52</v>
      </c>
      <c r="D2124" s="53" t="s">
        <v>4329</v>
      </c>
      <c r="E2124" s="54"/>
      <c r="F2124" s="52" t="str">
        <f>IF(INDEX(I.CCUS.StartRange,52)="","",INDEX(I.CCUS.StartRange,52))</f>
        <v/>
      </c>
      <c r="G2124" s="54"/>
      <c r="H2124" s="52" t="str">
        <f>IF(AND(I.Compliance.FulfilledCCUS&gt;0,I.CCUS.RangeCount&gt;=52,F2124=""),"Incomplete","Complete")</f>
        <v>Complete</v>
      </c>
      <c r="I2124" s="55" t="s">
        <v>2321</v>
      </c>
    </row>
    <row r="2125" spans="2:9" ht="15" customHeight="1" x14ac:dyDescent="0.25">
      <c r="B2125" s="51" t="s">
        <v>126</v>
      </c>
      <c r="C2125" s="52">
        <v>53</v>
      </c>
      <c r="D2125" s="53" t="s">
        <v>4329</v>
      </c>
      <c r="E2125" s="54"/>
      <c r="F2125" s="52" t="str">
        <f>IF(INDEX(I.CCUS.StartRange,53)="","",INDEX(I.CCUS.StartRange,53))</f>
        <v/>
      </c>
      <c r="G2125" s="54"/>
      <c r="H2125" s="52" t="str">
        <f>IF(AND(I.Compliance.FulfilledCCUS&gt;0,I.CCUS.RangeCount&gt;=53,F2125=""),"Incomplete","Complete")</f>
        <v>Complete</v>
      </c>
      <c r="I2125" s="55" t="s">
        <v>2322</v>
      </c>
    </row>
    <row r="2126" spans="2:9" ht="15" customHeight="1" x14ac:dyDescent="0.25">
      <c r="B2126" s="51" t="s">
        <v>126</v>
      </c>
      <c r="C2126" s="52">
        <v>54</v>
      </c>
      <c r="D2126" s="53" t="s">
        <v>4329</v>
      </c>
      <c r="E2126" s="54"/>
      <c r="F2126" s="52" t="str">
        <f>IF(INDEX(I.CCUS.StartRange,54)="","",INDEX(I.CCUS.StartRange,54))</f>
        <v/>
      </c>
      <c r="G2126" s="54"/>
      <c r="H2126" s="52" t="str">
        <f>IF(AND(I.Compliance.FulfilledCCUS&gt;0,I.CCUS.RangeCount&gt;=54,F2126=""),"Incomplete","Complete")</f>
        <v>Complete</v>
      </c>
      <c r="I2126" s="55" t="s">
        <v>2323</v>
      </c>
    </row>
    <row r="2127" spans="2:9" ht="15" customHeight="1" x14ac:dyDescent="0.25">
      <c r="B2127" s="51" t="s">
        <v>126</v>
      </c>
      <c r="C2127" s="52">
        <v>55</v>
      </c>
      <c r="D2127" s="53" t="s">
        <v>4329</v>
      </c>
      <c r="E2127" s="54"/>
      <c r="F2127" s="52" t="str">
        <f>IF(INDEX(I.CCUS.StartRange,55)="","",INDEX(I.CCUS.StartRange,55))</f>
        <v/>
      </c>
      <c r="G2127" s="54"/>
      <c r="H2127" s="52" t="str">
        <f>IF(AND(I.Compliance.FulfilledCCUS&gt;0,I.CCUS.RangeCount&gt;=55,F2127=""),"Incomplete","Complete")</f>
        <v>Complete</v>
      </c>
      <c r="I2127" s="55" t="s">
        <v>2324</v>
      </c>
    </row>
    <row r="2128" spans="2:9" ht="15" customHeight="1" x14ac:dyDescent="0.25">
      <c r="B2128" s="51" t="s">
        <v>126</v>
      </c>
      <c r="C2128" s="52">
        <v>56</v>
      </c>
      <c r="D2128" s="53" t="s">
        <v>4329</v>
      </c>
      <c r="E2128" s="54"/>
      <c r="F2128" s="52" t="str">
        <f>IF(INDEX(I.CCUS.StartRange,56)="","",INDEX(I.CCUS.StartRange,56))</f>
        <v/>
      </c>
      <c r="G2128" s="54"/>
      <c r="H2128" s="52" t="str">
        <f>IF(AND(I.Compliance.FulfilledCCUS&gt;0,I.CCUS.RangeCount&gt;=56,F2128=""),"Incomplete","Complete")</f>
        <v>Complete</v>
      </c>
      <c r="I2128" s="55" t="s">
        <v>2325</v>
      </c>
    </row>
    <row r="2129" spans="2:9" ht="15" customHeight="1" x14ac:dyDescent="0.25">
      <c r="B2129" s="51" t="s">
        <v>126</v>
      </c>
      <c r="C2129" s="52">
        <v>57</v>
      </c>
      <c r="D2129" s="53" t="s">
        <v>4329</v>
      </c>
      <c r="E2129" s="54"/>
      <c r="F2129" s="52" t="str">
        <f>IF(INDEX(I.CCUS.StartRange,57)="","",INDEX(I.CCUS.StartRange,57))</f>
        <v/>
      </c>
      <c r="G2129" s="54"/>
      <c r="H2129" s="52" t="str">
        <f>IF(AND(I.Compliance.FulfilledCCUS&gt;0,I.CCUS.RangeCount&gt;=57,F2129=""),"Incomplete","Complete")</f>
        <v>Complete</v>
      </c>
      <c r="I2129" s="55" t="s">
        <v>2326</v>
      </c>
    </row>
    <row r="2130" spans="2:9" ht="15" customHeight="1" x14ac:dyDescent="0.25">
      <c r="B2130" s="51" t="s">
        <v>126</v>
      </c>
      <c r="C2130" s="52">
        <v>58</v>
      </c>
      <c r="D2130" s="53" t="s">
        <v>4329</v>
      </c>
      <c r="E2130" s="54"/>
      <c r="F2130" s="52" t="str">
        <f>IF(INDEX(I.CCUS.StartRange,58)="","",INDEX(I.CCUS.StartRange,58))</f>
        <v/>
      </c>
      <c r="G2130" s="54"/>
      <c r="H2130" s="52" t="str">
        <f>IF(AND(I.Compliance.FulfilledCCUS&gt;0,I.CCUS.RangeCount&gt;=58,F2130=""),"Incomplete","Complete")</f>
        <v>Complete</v>
      </c>
      <c r="I2130" s="55" t="s">
        <v>2327</v>
      </c>
    </row>
    <row r="2131" spans="2:9" ht="15" customHeight="1" x14ac:dyDescent="0.25">
      <c r="B2131" s="51" t="s">
        <v>126</v>
      </c>
      <c r="C2131" s="52">
        <v>59</v>
      </c>
      <c r="D2131" s="53" t="s">
        <v>4329</v>
      </c>
      <c r="E2131" s="54"/>
      <c r="F2131" s="52" t="str">
        <f>IF(INDEX(I.CCUS.StartRange,59)="","",INDEX(I.CCUS.StartRange,59))</f>
        <v/>
      </c>
      <c r="G2131" s="54"/>
      <c r="H2131" s="52" t="str">
        <f>IF(AND(I.Compliance.FulfilledCCUS&gt;0,I.CCUS.RangeCount&gt;=59,F2131=""),"Incomplete","Complete")</f>
        <v>Complete</v>
      </c>
      <c r="I2131" s="55" t="s">
        <v>2328</v>
      </c>
    </row>
    <row r="2132" spans="2:9" ht="15" customHeight="1" x14ac:dyDescent="0.25">
      <c r="B2132" s="51" t="s">
        <v>126</v>
      </c>
      <c r="C2132" s="52">
        <v>60</v>
      </c>
      <c r="D2132" s="53" t="s">
        <v>4329</v>
      </c>
      <c r="E2132" s="54"/>
      <c r="F2132" s="52" t="str">
        <f>IF(INDEX(I.CCUS.StartRange,60)="","",INDEX(I.CCUS.StartRange,60))</f>
        <v/>
      </c>
      <c r="G2132" s="54"/>
      <c r="H2132" s="52" t="str">
        <f>IF(AND(I.Compliance.FulfilledCCUS&gt;0,I.CCUS.RangeCount&gt;=60,F2132=""),"Incomplete","Complete")</f>
        <v>Complete</v>
      </c>
      <c r="I2132" s="55" t="s">
        <v>2329</v>
      </c>
    </row>
    <row r="2133" spans="2:9" ht="15" customHeight="1" x14ac:dyDescent="0.25">
      <c r="B2133" s="51" t="s">
        <v>126</v>
      </c>
      <c r="C2133" s="52">
        <v>61</v>
      </c>
      <c r="D2133" s="53" t="s">
        <v>4329</v>
      </c>
      <c r="E2133" s="54"/>
      <c r="F2133" s="52" t="str">
        <f>IF(INDEX(I.CCUS.StartRange,61)="","",INDEX(I.CCUS.StartRange,61))</f>
        <v/>
      </c>
      <c r="G2133" s="54"/>
      <c r="H2133" s="52" t="str">
        <f>IF(AND(I.Compliance.FulfilledCCUS&gt;0,I.CCUS.RangeCount&gt;=61,F2133=""),"Incomplete","Complete")</f>
        <v>Complete</v>
      </c>
      <c r="I2133" s="55" t="s">
        <v>2330</v>
      </c>
    </row>
    <row r="2134" spans="2:9" ht="15" customHeight="1" x14ac:dyDescent="0.25">
      <c r="B2134" s="51" t="s">
        <v>126</v>
      </c>
      <c r="C2134" s="52">
        <v>62</v>
      </c>
      <c r="D2134" s="53" t="s">
        <v>4329</v>
      </c>
      <c r="E2134" s="54"/>
      <c r="F2134" s="52" t="str">
        <f>IF(INDEX(I.CCUS.StartRange,62)="","",INDEX(I.CCUS.StartRange,62))</f>
        <v/>
      </c>
      <c r="G2134" s="54"/>
      <c r="H2134" s="52" t="str">
        <f>IF(AND(I.Compliance.FulfilledCCUS&gt;0,I.CCUS.RangeCount&gt;=62,F2134=""),"Incomplete","Complete")</f>
        <v>Complete</v>
      </c>
      <c r="I2134" s="55" t="s">
        <v>2331</v>
      </c>
    </row>
    <row r="2135" spans="2:9" ht="15" customHeight="1" x14ac:dyDescent="0.25">
      <c r="B2135" s="51" t="s">
        <v>126</v>
      </c>
      <c r="C2135" s="52">
        <v>63</v>
      </c>
      <c r="D2135" s="53" t="s">
        <v>4329</v>
      </c>
      <c r="E2135" s="54"/>
      <c r="F2135" s="52" t="str">
        <f>IF(INDEX(I.CCUS.StartRange,63)="","",INDEX(I.CCUS.StartRange,63))</f>
        <v/>
      </c>
      <c r="G2135" s="54"/>
      <c r="H2135" s="52" t="str">
        <f>IF(AND(I.Compliance.FulfilledCCUS&gt;0,I.CCUS.RangeCount&gt;=63,F2135=""),"Incomplete","Complete")</f>
        <v>Complete</v>
      </c>
      <c r="I2135" s="55" t="s">
        <v>2332</v>
      </c>
    </row>
    <row r="2136" spans="2:9" ht="15" customHeight="1" x14ac:dyDescent="0.25">
      <c r="B2136" s="51" t="s">
        <v>126</v>
      </c>
      <c r="C2136" s="52">
        <v>64</v>
      </c>
      <c r="D2136" s="53" t="s">
        <v>4329</v>
      </c>
      <c r="E2136" s="54"/>
      <c r="F2136" s="52" t="str">
        <f>IF(INDEX(I.CCUS.StartRange,64)="","",INDEX(I.CCUS.StartRange,64))</f>
        <v/>
      </c>
      <c r="G2136" s="54"/>
      <c r="H2136" s="52" t="str">
        <f>IF(AND(I.Compliance.FulfilledCCUS&gt;0,I.CCUS.RangeCount&gt;=64,F2136=""),"Incomplete","Complete")</f>
        <v>Complete</v>
      </c>
      <c r="I2136" s="55" t="s">
        <v>2333</v>
      </c>
    </row>
    <row r="2137" spans="2:9" ht="15" customHeight="1" x14ac:dyDescent="0.25">
      <c r="B2137" s="51" t="s">
        <v>126</v>
      </c>
      <c r="C2137" s="52">
        <v>65</v>
      </c>
      <c r="D2137" s="53" t="s">
        <v>4329</v>
      </c>
      <c r="E2137" s="54"/>
      <c r="F2137" s="52" t="str">
        <f>IF(INDEX(I.CCUS.StartRange,65)="","",INDEX(I.CCUS.StartRange,65))</f>
        <v/>
      </c>
      <c r="G2137" s="54"/>
      <c r="H2137" s="52" t="str">
        <f>IF(AND(I.Compliance.FulfilledCCUS&gt;0,I.CCUS.RangeCount&gt;=65,F2137=""),"Incomplete","Complete")</f>
        <v>Complete</v>
      </c>
      <c r="I2137" s="55" t="s">
        <v>2334</v>
      </c>
    </row>
    <row r="2138" spans="2:9" ht="15" customHeight="1" x14ac:dyDescent="0.25">
      <c r="B2138" s="51" t="s">
        <v>126</v>
      </c>
      <c r="C2138" s="52">
        <v>66</v>
      </c>
      <c r="D2138" s="53" t="s">
        <v>4329</v>
      </c>
      <c r="E2138" s="54"/>
      <c r="F2138" s="52" t="str">
        <f>IF(INDEX(I.CCUS.StartRange,66)="","",INDEX(I.CCUS.StartRange,66))</f>
        <v/>
      </c>
      <c r="G2138" s="54"/>
      <c r="H2138" s="52" t="str">
        <f>IF(AND(I.Compliance.FulfilledCCUS&gt;0,I.CCUS.RangeCount&gt;=66,F2138=""),"Incomplete","Complete")</f>
        <v>Complete</v>
      </c>
      <c r="I2138" s="55" t="s">
        <v>2335</v>
      </c>
    </row>
    <row r="2139" spans="2:9" ht="15" customHeight="1" x14ac:dyDescent="0.25">
      <c r="B2139" s="51" t="s">
        <v>126</v>
      </c>
      <c r="C2139" s="52">
        <v>67</v>
      </c>
      <c r="D2139" s="53" t="s">
        <v>4329</v>
      </c>
      <c r="E2139" s="54"/>
      <c r="F2139" s="52" t="str">
        <f>IF(INDEX(I.CCUS.StartRange,67)="","",INDEX(I.CCUS.StartRange,67))</f>
        <v/>
      </c>
      <c r="G2139" s="54"/>
      <c r="H2139" s="52" t="str">
        <f>IF(AND(I.Compliance.FulfilledCCUS&gt;0,I.CCUS.RangeCount&gt;=67,F2139=""),"Incomplete","Complete")</f>
        <v>Complete</v>
      </c>
      <c r="I2139" s="55" t="s">
        <v>2336</v>
      </c>
    </row>
    <row r="2140" spans="2:9" ht="15" customHeight="1" x14ac:dyDescent="0.25">
      <c r="B2140" s="51" t="s">
        <v>126</v>
      </c>
      <c r="C2140" s="52">
        <v>68</v>
      </c>
      <c r="D2140" s="53" t="s">
        <v>4329</v>
      </c>
      <c r="E2140" s="54"/>
      <c r="F2140" s="52" t="str">
        <f>IF(INDEX(I.CCUS.StartRange,68)="","",INDEX(I.CCUS.StartRange,68))</f>
        <v/>
      </c>
      <c r="G2140" s="54"/>
      <c r="H2140" s="52" t="str">
        <f>IF(AND(I.Compliance.FulfilledCCUS&gt;0,I.CCUS.RangeCount&gt;=68,F2140=""),"Incomplete","Complete")</f>
        <v>Complete</v>
      </c>
      <c r="I2140" s="55" t="s">
        <v>2337</v>
      </c>
    </row>
    <row r="2141" spans="2:9" ht="15" customHeight="1" x14ac:dyDescent="0.25">
      <c r="B2141" s="51" t="s">
        <v>126</v>
      </c>
      <c r="C2141" s="52">
        <v>69</v>
      </c>
      <c r="D2141" s="53" t="s">
        <v>4329</v>
      </c>
      <c r="E2141" s="54"/>
      <c r="F2141" s="52" t="str">
        <f>IF(INDEX(I.CCUS.StartRange,69)="","",INDEX(I.CCUS.StartRange,69))</f>
        <v/>
      </c>
      <c r="G2141" s="54"/>
      <c r="H2141" s="52" t="str">
        <f>IF(AND(I.Compliance.FulfilledCCUS&gt;0,I.CCUS.RangeCount&gt;=69,F2141=""),"Incomplete","Complete")</f>
        <v>Complete</v>
      </c>
      <c r="I2141" s="55" t="s">
        <v>2338</v>
      </c>
    </row>
    <row r="2142" spans="2:9" ht="15" customHeight="1" x14ac:dyDescent="0.25">
      <c r="B2142" s="51" t="s">
        <v>126</v>
      </c>
      <c r="C2142" s="52">
        <v>70</v>
      </c>
      <c r="D2142" s="53" t="s">
        <v>4329</v>
      </c>
      <c r="E2142" s="54"/>
      <c r="F2142" s="52" t="str">
        <f>IF(INDEX(I.CCUS.StartRange,70)="","",INDEX(I.CCUS.StartRange,70))</f>
        <v/>
      </c>
      <c r="G2142" s="54"/>
      <c r="H2142" s="52" t="str">
        <f>IF(AND(I.Compliance.FulfilledCCUS&gt;0,I.CCUS.RangeCount&gt;=70,F2142=""),"Incomplete","Complete")</f>
        <v>Complete</v>
      </c>
      <c r="I2142" s="55" t="s">
        <v>2339</v>
      </c>
    </row>
    <row r="2143" spans="2:9" ht="15" customHeight="1" x14ac:dyDescent="0.25">
      <c r="B2143" s="51" t="s">
        <v>126</v>
      </c>
      <c r="C2143" s="52">
        <v>71</v>
      </c>
      <c r="D2143" s="53" t="s">
        <v>4329</v>
      </c>
      <c r="E2143" s="54"/>
      <c r="F2143" s="52" t="str">
        <f>IF(INDEX(I.CCUS.StartRange,71)="","",INDEX(I.CCUS.StartRange,71))</f>
        <v/>
      </c>
      <c r="G2143" s="54"/>
      <c r="H2143" s="52" t="str">
        <f>IF(AND(I.Compliance.FulfilledCCUS&gt;0,I.CCUS.RangeCount&gt;=71,F2143=""),"Incomplete","Complete")</f>
        <v>Complete</v>
      </c>
      <c r="I2143" s="55" t="s">
        <v>2340</v>
      </c>
    </row>
    <row r="2144" spans="2:9" ht="15" customHeight="1" x14ac:dyDescent="0.25">
      <c r="B2144" s="51" t="s">
        <v>126</v>
      </c>
      <c r="C2144" s="52">
        <v>72</v>
      </c>
      <c r="D2144" s="53" t="s">
        <v>4329</v>
      </c>
      <c r="E2144" s="54"/>
      <c r="F2144" s="52" t="str">
        <f>IF(INDEX(I.CCUS.StartRange,72)="","",INDEX(I.CCUS.StartRange,72))</f>
        <v/>
      </c>
      <c r="G2144" s="54"/>
      <c r="H2144" s="52" t="str">
        <f>IF(AND(I.Compliance.FulfilledCCUS&gt;0,I.CCUS.RangeCount&gt;=72,F2144=""),"Incomplete","Complete")</f>
        <v>Complete</v>
      </c>
      <c r="I2144" s="55" t="s">
        <v>2341</v>
      </c>
    </row>
    <row r="2145" spans="2:9" ht="15" customHeight="1" x14ac:dyDescent="0.25">
      <c r="B2145" s="51" t="s">
        <v>126</v>
      </c>
      <c r="C2145" s="52">
        <v>73</v>
      </c>
      <c r="D2145" s="53" t="s">
        <v>4329</v>
      </c>
      <c r="E2145" s="54"/>
      <c r="F2145" s="52" t="str">
        <f>IF(INDEX(I.CCUS.StartRange,73)="","",INDEX(I.CCUS.StartRange,73))</f>
        <v/>
      </c>
      <c r="G2145" s="54"/>
      <c r="H2145" s="52" t="str">
        <f>IF(AND(I.Compliance.FulfilledCCUS&gt;0,I.CCUS.RangeCount&gt;=73,F2145=""),"Incomplete","Complete")</f>
        <v>Complete</v>
      </c>
      <c r="I2145" s="55" t="s">
        <v>2342</v>
      </c>
    </row>
    <row r="2146" spans="2:9" ht="15" customHeight="1" x14ac:dyDescent="0.25">
      <c r="B2146" s="51" t="s">
        <v>126</v>
      </c>
      <c r="C2146" s="52">
        <v>74</v>
      </c>
      <c r="D2146" s="53" t="s">
        <v>4329</v>
      </c>
      <c r="E2146" s="54"/>
      <c r="F2146" s="52" t="str">
        <f>IF(INDEX(I.CCUS.StartRange,74)="","",INDEX(I.CCUS.StartRange,74))</f>
        <v/>
      </c>
      <c r="G2146" s="54"/>
      <c r="H2146" s="52" t="str">
        <f>IF(AND(I.Compliance.FulfilledCCUS&gt;0,I.CCUS.RangeCount&gt;=74,F2146=""),"Incomplete","Complete")</f>
        <v>Complete</v>
      </c>
      <c r="I2146" s="55" t="s">
        <v>2343</v>
      </c>
    </row>
    <row r="2147" spans="2:9" ht="15" customHeight="1" x14ac:dyDescent="0.25">
      <c r="B2147" s="51" t="s">
        <v>126</v>
      </c>
      <c r="C2147" s="52">
        <v>75</v>
      </c>
      <c r="D2147" s="53" t="s">
        <v>4329</v>
      </c>
      <c r="E2147" s="54"/>
      <c r="F2147" s="52" t="str">
        <f>IF(INDEX(I.CCUS.StartRange,75)="","",INDEX(I.CCUS.StartRange,75))</f>
        <v/>
      </c>
      <c r="G2147" s="54"/>
      <c r="H2147" s="52" t="str">
        <f>IF(AND(I.Compliance.FulfilledCCUS&gt;0,I.CCUS.RangeCount&gt;=75,F2147=""),"Incomplete","Complete")</f>
        <v>Complete</v>
      </c>
      <c r="I2147" s="55" t="s">
        <v>2344</v>
      </c>
    </row>
    <row r="2148" spans="2:9" ht="15" customHeight="1" x14ac:dyDescent="0.25">
      <c r="B2148" s="51" t="s">
        <v>126</v>
      </c>
      <c r="C2148" s="52">
        <v>76</v>
      </c>
      <c r="D2148" s="53" t="s">
        <v>4329</v>
      </c>
      <c r="E2148" s="54"/>
      <c r="F2148" s="52" t="str">
        <f>IF(INDEX(I.CCUS.StartRange,76)="","",INDEX(I.CCUS.StartRange,76))</f>
        <v/>
      </c>
      <c r="G2148" s="54"/>
      <c r="H2148" s="52" t="str">
        <f>IF(AND(I.Compliance.FulfilledCCUS&gt;0,I.CCUS.RangeCount&gt;=76,F2148=""),"Incomplete","Complete")</f>
        <v>Complete</v>
      </c>
      <c r="I2148" s="55" t="s">
        <v>2345</v>
      </c>
    </row>
    <row r="2149" spans="2:9" ht="15" customHeight="1" x14ac:dyDescent="0.25">
      <c r="B2149" s="51" t="s">
        <v>126</v>
      </c>
      <c r="C2149" s="52">
        <v>77</v>
      </c>
      <c r="D2149" s="53" t="s">
        <v>4329</v>
      </c>
      <c r="E2149" s="54"/>
      <c r="F2149" s="52" t="str">
        <f>IF(INDEX(I.CCUS.StartRange,77)="","",INDEX(I.CCUS.StartRange,77))</f>
        <v/>
      </c>
      <c r="G2149" s="54"/>
      <c r="H2149" s="52" t="str">
        <f>IF(AND(I.Compliance.FulfilledCCUS&gt;0,I.CCUS.RangeCount&gt;=77,F2149=""),"Incomplete","Complete")</f>
        <v>Complete</v>
      </c>
      <c r="I2149" s="55" t="s">
        <v>2346</v>
      </c>
    </row>
    <row r="2150" spans="2:9" ht="15" customHeight="1" x14ac:dyDescent="0.25">
      <c r="B2150" s="51" t="s">
        <v>126</v>
      </c>
      <c r="C2150" s="52">
        <v>78</v>
      </c>
      <c r="D2150" s="53" t="s">
        <v>4329</v>
      </c>
      <c r="E2150" s="54"/>
      <c r="F2150" s="52" t="str">
        <f>IF(INDEX(I.CCUS.StartRange,78)="","",INDEX(I.CCUS.StartRange,78))</f>
        <v/>
      </c>
      <c r="G2150" s="54"/>
      <c r="H2150" s="52" t="str">
        <f>IF(AND(I.Compliance.FulfilledCCUS&gt;0,I.CCUS.RangeCount&gt;=78,F2150=""),"Incomplete","Complete")</f>
        <v>Complete</v>
      </c>
      <c r="I2150" s="55" t="s">
        <v>2347</v>
      </c>
    </row>
    <row r="2151" spans="2:9" ht="15" customHeight="1" x14ac:dyDescent="0.25">
      <c r="B2151" s="51" t="s">
        <v>126</v>
      </c>
      <c r="C2151" s="52">
        <v>79</v>
      </c>
      <c r="D2151" s="53" t="s">
        <v>4329</v>
      </c>
      <c r="E2151" s="54"/>
      <c r="F2151" s="52" t="str">
        <f>IF(INDEX(I.CCUS.StartRange,79)="","",INDEX(I.CCUS.StartRange,79))</f>
        <v/>
      </c>
      <c r="G2151" s="54"/>
      <c r="H2151" s="52" t="str">
        <f>IF(AND(I.Compliance.FulfilledCCUS&gt;0,I.CCUS.RangeCount&gt;=79,F2151=""),"Incomplete","Complete")</f>
        <v>Complete</v>
      </c>
      <c r="I2151" s="55" t="s">
        <v>2348</v>
      </c>
    </row>
    <row r="2152" spans="2:9" ht="15" customHeight="1" x14ac:dyDescent="0.25">
      <c r="B2152" s="51" t="s">
        <v>126</v>
      </c>
      <c r="C2152" s="52">
        <v>80</v>
      </c>
      <c r="D2152" s="53" t="s">
        <v>4329</v>
      </c>
      <c r="E2152" s="54"/>
      <c r="F2152" s="52" t="str">
        <f>IF(INDEX(I.CCUS.StartRange,80)="","",INDEX(I.CCUS.StartRange,80))</f>
        <v/>
      </c>
      <c r="G2152" s="54"/>
      <c r="H2152" s="52" t="str">
        <f>IF(AND(I.Compliance.FulfilledCCUS&gt;0,I.CCUS.RangeCount&gt;=80,F2152=""),"Incomplete","Complete")</f>
        <v>Complete</v>
      </c>
      <c r="I2152" s="55" t="s">
        <v>2349</v>
      </c>
    </row>
    <row r="2153" spans="2:9" ht="15" customHeight="1" x14ac:dyDescent="0.25">
      <c r="B2153" s="51" t="s">
        <v>126</v>
      </c>
      <c r="C2153" s="52">
        <v>81</v>
      </c>
      <c r="D2153" s="53" t="s">
        <v>4329</v>
      </c>
      <c r="E2153" s="54"/>
      <c r="F2153" s="52" t="str">
        <f>IF(INDEX(I.CCUS.StartRange,81)="","",INDEX(I.CCUS.StartRange,81))</f>
        <v/>
      </c>
      <c r="G2153" s="54"/>
      <c r="H2153" s="52" t="str">
        <f>IF(AND(I.Compliance.FulfilledCCUS&gt;0,I.CCUS.RangeCount&gt;=81,F2153=""),"Incomplete","Complete")</f>
        <v>Complete</v>
      </c>
      <c r="I2153" s="55" t="s">
        <v>2350</v>
      </c>
    </row>
    <row r="2154" spans="2:9" ht="15" customHeight="1" x14ac:dyDescent="0.25">
      <c r="B2154" s="51" t="s">
        <v>126</v>
      </c>
      <c r="C2154" s="52">
        <v>82</v>
      </c>
      <c r="D2154" s="53" t="s">
        <v>4329</v>
      </c>
      <c r="E2154" s="54"/>
      <c r="F2154" s="52" t="str">
        <f>IF(INDEX(I.CCUS.StartRange,82)="","",INDEX(I.CCUS.StartRange,82))</f>
        <v/>
      </c>
      <c r="G2154" s="54"/>
      <c r="H2154" s="52" t="str">
        <f>IF(AND(I.Compliance.FulfilledCCUS&gt;0,I.CCUS.RangeCount&gt;=82,F2154=""),"Incomplete","Complete")</f>
        <v>Complete</v>
      </c>
      <c r="I2154" s="55" t="s">
        <v>2351</v>
      </c>
    </row>
    <row r="2155" spans="2:9" ht="15" customHeight="1" x14ac:dyDescent="0.25">
      <c r="B2155" s="51" t="s">
        <v>126</v>
      </c>
      <c r="C2155" s="52">
        <v>83</v>
      </c>
      <c r="D2155" s="53" t="s">
        <v>4329</v>
      </c>
      <c r="E2155" s="54"/>
      <c r="F2155" s="52" t="str">
        <f>IF(INDEX(I.CCUS.StartRange,83)="","",INDEX(I.CCUS.StartRange,83))</f>
        <v/>
      </c>
      <c r="G2155" s="54"/>
      <c r="H2155" s="52" t="str">
        <f>IF(AND(I.Compliance.FulfilledCCUS&gt;0,I.CCUS.RangeCount&gt;=83,F2155=""),"Incomplete","Complete")</f>
        <v>Complete</v>
      </c>
      <c r="I2155" s="55" t="s">
        <v>2352</v>
      </c>
    </row>
    <row r="2156" spans="2:9" ht="15" customHeight="1" x14ac:dyDescent="0.25">
      <c r="B2156" s="51" t="s">
        <v>126</v>
      </c>
      <c r="C2156" s="52">
        <v>84</v>
      </c>
      <c r="D2156" s="53" t="s">
        <v>4329</v>
      </c>
      <c r="E2156" s="54"/>
      <c r="F2156" s="52" t="str">
        <f>IF(INDEX(I.CCUS.StartRange,84)="","",INDEX(I.CCUS.StartRange,84))</f>
        <v/>
      </c>
      <c r="G2156" s="54"/>
      <c r="H2156" s="52" t="str">
        <f>IF(AND(I.Compliance.FulfilledCCUS&gt;0,I.CCUS.RangeCount&gt;=84,F2156=""),"Incomplete","Complete")</f>
        <v>Complete</v>
      </c>
      <c r="I2156" s="55" t="s">
        <v>2353</v>
      </c>
    </row>
    <row r="2157" spans="2:9" ht="15" customHeight="1" x14ac:dyDescent="0.25">
      <c r="B2157" s="51" t="s">
        <v>126</v>
      </c>
      <c r="C2157" s="52">
        <v>85</v>
      </c>
      <c r="D2157" s="53" t="s">
        <v>4329</v>
      </c>
      <c r="E2157" s="54"/>
      <c r="F2157" s="52" t="str">
        <f>IF(INDEX(I.CCUS.StartRange,85)="","",INDEX(I.CCUS.StartRange,85))</f>
        <v/>
      </c>
      <c r="G2157" s="54"/>
      <c r="H2157" s="52" t="str">
        <f>IF(AND(I.Compliance.FulfilledCCUS&gt;0,I.CCUS.RangeCount&gt;=85,F2157=""),"Incomplete","Complete")</f>
        <v>Complete</v>
      </c>
      <c r="I2157" s="55" t="s">
        <v>2354</v>
      </c>
    </row>
    <row r="2158" spans="2:9" ht="15" customHeight="1" x14ac:dyDescent="0.25">
      <c r="B2158" s="51" t="s">
        <v>126</v>
      </c>
      <c r="C2158" s="52">
        <v>86</v>
      </c>
      <c r="D2158" s="53" t="s">
        <v>4329</v>
      </c>
      <c r="E2158" s="54"/>
      <c r="F2158" s="52" t="str">
        <f>IF(INDEX(I.CCUS.StartRange,86)="","",INDEX(I.CCUS.StartRange,86))</f>
        <v/>
      </c>
      <c r="G2158" s="54"/>
      <c r="H2158" s="52" t="str">
        <f>IF(AND(I.Compliance.FulfilledCCUS&gt;0,I.CCUS.RangeCount&gt;=86,F2158=""),"Incomplete","Complete")</f>
        <v>Complete</v>
      </c>
      <c r="I2158" s="55" t="s">
        <v>2355</v>
      </c>
    </row>
    <row r="2159" spans="2:9" ht="15" customHeight="1" x14ac:dyDescent="0.25">
      <c r="B2159" s="51" t="s">
        <v>126</v>
      </c>
      <c r="C2159" s="52">
        <v>87</v>
      </c>
      <c r="D2159" s="53" t="s">
        <v>4329</v>
      </c>
      <c r="E2159" s="54"/>
      <c r="F2159" s="52" t="str">
        <f>IF(INDEX(I.CCUS.StartRange,87)="","",INDEX(I.CCUS.StartRange,87))</f>
        <v/>
      </c>
      <c r="G2159" s="54"/>
      <c r="H2159" s="52" t="str">
        <f>IF(AND(I.Compliance.FulfilledCCUS&gt;0,I.CCUS.RangeCount&gt;=87,F2159=""),"Incomplete","Complete")</f>
        <v>Complete</v>
      </c>
      <c r="I2159" s="55" t="s">
        <v>2356</v>
      </c>
    </row>
    <row r="2160" spans="2:9" ht="15" customHeight="1" x14ac:dyDescent="0.25">
      <c r="B2160" s="51" t="s">
        <v>126</v>
      </c>
      <c r="C2160" s="52">
        <v>88</v>
      </c>
      <c r="D2160" s="53" t="s">
        <v>4329</v>
      </c>
      <c r="E2160" s="54"/>
      <c r="F2160" s="52" t="str">
        <f>IF(INDEX(I.CCUS.StartRange,88)="","",INDEX(I.CCUS.StartRange,88))</f>
        <v/>
      </c>
      <c r="G2160" s="54"/>
      <c r="H2160" s="52" t="str">
        <f>IF(AND(I.Compliance.FulfilledCCUS&gt;0,I.CCUS.RangeCount&gt;=88,F2160=""),"Incomplete","Complete")</f>
        <v>Complete</v>
      </c>
      <c r="I2160" s="55" t="s">
        <v>2357</v>
      </c>
    </row>
    <row r="2161" spans="2:9" ht="15" customHeight="1" x14ac:dyDescent="0.25">
      <c r="B2161" s="51" t="s">
        <v>126</v>
      </c>
      <c r="C2161" s="52">
        <v>89</v>
      </c>
      <c r="D2161" s="53" t="s">
        <v>4329</v>
      </c>
      <c r="E2161" s="54"/>
      <c r="F2161" s="52" t="str">
        <f>IF(INDEX(I.CCUS.StartRange,89)="","",INDEX(I.CCUS.StartRange,89))</f>
        <v/>
      </c>
      <c r="G2161" s="54"/>
      <c r="H2161" s="52" t="str">
        <f>IF(AND(I.Compliance.FulfilledCCUS&gt;0,I.CCUS.RangeCount&gt;=89,F2161=""),"Incomplete","Complete")</f>
        <v>Complete</v>
      </c>
      <c r="I2161" s="55" t="s">
        <v>2358</v>
      </c>
    </row>
    <row r="2162" spans="2:9" ht="15" customHeight="1" x14ac:dyDescent="0.25">
      <c r="B2162" s="51" t="s">
        <v>126</v>
      </c>
      <c r="C2162" s="52">
        <v>90</v>
      </c>
      <c r="D2162" s="53" t="s">
        <v>4329</v>
      </c>
      <c r="E2162" s="54"/>
      <c r="F2162" s="52" t="str">
        <f>IF(INDEX(I.CCUS.StartRange,90)="","",INDEX(I.CCUS.StartRange,90))</f>
        <v/>
      </c>
      <c r="G2162" s="54"/>
      <c r="H2162" s="52" t="str">
        <f>IF(AND(I.Compliance.FulfilledCCUS&gt;0,I.CCUS.RangeCount&gt;=90,F2162=""),"Incomplete","Complete")</f>
        <v>Complete</v>
      </c>
      <c r="I2162" s="55" t="s">
        <v>2359</v>
      </c>
    </row>
    <row r="2163" spans="2:9" ht="15" customHeight="1" x14ac:dyDescent="0.25">
      <c r="B2163" s="51" t="s">
        <v>126</v>
      </c>
      <c r="C2163" s="52">
        <v>91</v>
      </c>
      <c r="D2163" s="53" t="s">
        <v>4329</v>
      </c>
      <c r="E2163" s="54"/>
      <c r="F2163" s="52" t="str">
        <f>IF(INDEX(I.CCUS.StartRange,91)="","",INDEX(I.CCUS.StartRange,91))</f>
        <v/>
      </c>
      <c r="G2163" s="54"/>
      <c r="H2163" s="52" t="str">
        <f>IF(AND(I.Compliance.FulfilledCCUS&gt;0,I.CCUS.RangeCount&gt;=91,F2163=""),"Incomplete","Complete")</f>
        <v>Complete</v>
      </c>
      <c r="I2163" s="55" t="s">
        <v>2360</v>
      </c>
    </row>
    <row r="2164" spans="2:9" ht="15" customHeight="1" x14ac:dyDescent="0.25">
      <c r="B2164" s="51" t="s">
        <v>126</v>
      </c>
      <c r="C2164" s="52">
        <v>92</v>
      </c>
      <c r="D2164" s="53" t="s">
        <v>4329</v>
      </c>
      <c r="E2164" s="54"/>
      <c r="F2164" s="52" t="str">
        <f>IF(INDEX(I.CCUS.StartRange,92)="","",INDEX(I.CCUS.StartRange,92))</f>
        <v/>
      </c>
      <c r="G2164" s="54"/>
      <c r="H2164" s="52" t="str">
        <f>IF(AND(I.Compliance.FulfilledCCUS&gt;0,I.CCUS.RangeCount&gt;=92,F2164=""),"Incomplete","Complete")</f>
        <v>Complete</v>
      </c>
      <c r="I2164" s="55" t="s">
        <v>2361</v>
      </c>
    </row>
    <row r="2165" spans="2:9" ht="15" customHeight="1" x14ac:dyDescent="0.25">
      <c r="B2165" s="51" t="s">
        <v>126</v>
      </c>
      <c r="C2165" s="52">
        <v>93</v>
      </c>
      <c r="D2165" s="53" t="s">
        <v>4329</v>
      </c>
      <c r="E2165" s="54"/>
      <c r="F2165" s="52" t="str">
        <f>IF(INDEX(I.CCUS.StartRange,93)="","",INDEX(I.CCUS.StartRange,93))</f>
        <v/>
      </c>
      <c r="G2165" s="54"/>
      <c r="H2165" s="52" t="str">
        <f>IF(AND(I.Compliance.FulfilledCCUS&gt;0,I.CCUS.RangeCount&gt;=93,F2165=""),"Incomplete","Complete")</f>
        <v>Complete</v>
      </c>
      <c r="I2165" s="55" t="s">
        <v>2362</v>
      </c>
    </row>
    <row r="2166" spans="2:9" ht="15" customHeight="1" x14ac:dyDescent="0.25">
      <c r="B2166" s="51" t="s">
        <v>126</v>
      </c>
      <c r="C2166" s="52">
        <v>94</v>
      </c>
      <c r="D2166" s="53" t="s">
        <v>4329</v>
      </c>
      <c r="E2166" s="54"/>
      <c r="F2166" s="52" t="str">
        <f>IF(INDEX(I.CCUS.StartRange,94)="","",INDEX(I.CCUS.StartRange,94))</f>
        <v/>
      </c>
      <c r="G2166" s="54"/>
      <c r="H2166" s="52" t="str">
        <f>IF(AND(I.Compliance.FulfilledCCUS&gt;0,I.CCUS.RangeCount&gt;=94,F2166=""),"Incomplete","Complete")</f>
        <v>Complete</v>
      </c>
      <c r="I2166" s="55" t="s">
        <v>2363</v>
      </c>
    </row>
    <row r="2167" spans="2:9" ht="15" customHeight="1" x14ac:dyDescent="0.25">
      <c r="B2167" s="51" t="s">
        <v>126</v>
      </c>
      <c r="C2167" s="52">
        <v>95</v>
      </c>
      <c r="D2167" s="53" t="s">
        <v>4329</v>
      </c>
      <c r="E2167" s="54"/>
      <c r="F2167" s="52" t="str">
        <f>IF(INDEX(I.CCUS.StartRange,95)="","",INDEX(I.CCUS.StartRange,95))</f>
        <v/>
      </c>
      <c r="G2167" s="54"/>
      <c r="H2167" s="52" t="str">
        <f>IF(AND(I.Compliance.FulfilledCCUS&gt;0,I.CCUS.RangeCount&gt;=95,F2167=""),"Incomplete","Complete")</f>
        <v>Complete</v>
      </c>
      <c r="I2167" s="55" t="s">
        <v>2364</v>
      </c>
    </row>
    <row r="2168" spans="2:9" ht="15" customHeight="1" x14ac:dyDescent="0.25">
      <c r="B2168" s="51" t="s">
        <v>126</v>
      </c>
      <c r="C2168" s="52">
        <v>96</v>
      </c>
      <c r="D2168" s="53" t="s">
        <v>4329</v>
      </c>
      <c r="E2168" s="54"/>
      <c r="F2168" s="52" t="str">
        <f>IF(INDEX(I.CCUS.StartRange,96)="","",INDEX(I.CCUS.StartRange,96))</f>
        <v/>
      </c>
      <c r="G2168" s="54"/>
      <c r="H2168" s="52" t="str">
        <f>IF(AND(I.Compliance.FulfilledCCUS&gt;0,I.CCUS.RangeCount&gt;=96,F2168=""),"Incomplete","Complete")</f>
        <v>Complete</v>
      </c>
      <c r="I2168" s="55" t="s">
        <v>2365</v>
      </c>
    </row>
    <row r="2169" spans="2:9" ht="15" customHeight="1" x14ac:dyDescent="0.25">
      <c r="B2169" s="51" t="s">
        <v>126</v>
      </c>
      <c r="C2169" s="52">
        <v>97</v>
      </c>
      <c r="D2169" s="53" t="s">
        <v>4329</v>
      </c>
      <c r="E2169" s="54"/>
      <c r="F2169" s="52" t="str">
        <f>IF(INDEX(I.CCUS.StartRange,97)="","",INDEX(I.CCUS.StartRange,97))</f>
        <v/>
      </c>
      <c r="G2169" s="54"/>
      <c r="H2169" s="52" t="str">
        <f>IF(AND(I.Compliance.FulfilledCCUS&gt;0,I.CCUS.RangeCount&gt;=97,F2169=""),"Incomplete","Complete")</f>
        <v>Complete</v>
      </c>
      <c r="I2169" s="55" t="s">
        <v>2366</v>
      </c>
    </row>
    <row r="2170" spans="2:9" ht="15" customHeight="1" x14ac:dyDescent="0.25">
      <c r="B2170" s="51" t="s">
        <v>126</v>
      </c>
      <c r="C2170" s="52">
        <v>98</v>
      </c>
      <c r="D2170" s="53" t="s">
        <v>4329</v>
      </c>
      <c r="E2170" s="54"/>
      <c r="F2170" s="52" t="str">
        <f>IF(INDEX(I.CCUS.StartRange,98)="","",INDEX(I.CCUS.StartRange,98))</f>
        <v/>
      </c>
      <c r="G2170" s="54"/>
      <c r="H2170" s="52" t="str">
        <f>IF(AND(I.Compliance.FulfilledCCUS&gt;0,I.CCUS.RangeCount&gt;=98,F2170=""),"Incomplete","Complete")</f>
        <v>Complete</v>
      </c>
      <c r="I2170" s="55" t="s">
        <v>2367</v>
      </c>
    </row>
    <row r="2171" spans="2:9" ht="15" customHeight="1" x14ac:dyDescent="0.25">
      <c r="B2171" s="51" t="s">
        <v>126</v>
      </c>
      <c r="C2171" s="52">
        <v>99</v>
      </c>
      <c r="D2171" s="53" t="s">
        <v>4329</v>
      </c>
      <c r="E2171" s="54"/>
      <c r="F2171" s="52" t="str">
        <f>IF(INDEX(I.CCUS.StartRange,99)="","",INDEX(I.CCUS.StartRange,99))</f>
        <v/>
      </c>
      <c r="G2171" s="54"/>
      <c r="H2171" s="52" t="str">
        <f>IF(AND(I.Compliance.FulfilledCCUS&gt;0,I.CCUS.RangeCount&gt;=99,F2171=""),"Incomplete","Complete")</f>
        <v>Complete</v>
      </c>
      <c r="I2171" s="55" t="s">
        <v>2368</v>
      </c>
    </row>
    <row r="2172" spans="2:9" ht="15" customHeight="1" x14ac:dyDescent="0.25">
      <c r="B2172" s="51" t="s">
        <v>126</v>
      </c>
      <c r="C2172" s="52">
        <v>100</v>
      </c>
      <c r="D2172" s="53" t="s">
        <v>4329</v>
      </c>
      <c r="E2172" s="54"/>
      <c r="F2172" s="52" t="str">
        <f>IF(INDEX(I.CCUS.StartRange,100)="","",INDEX(I.CCUS.StartRange,100))</f>
        <v/>
      </c>
      <c r="G2172" s="54"/>
      <c r="H2172" s="52" t="str">
        <f>IF(AND(I.Compliance.FulfilledCCUS&gt;0,I.CCUS.RangeCount&gt;=100,F2172=""),"Incomplete","Complete")</f>
        <v>Complete</v>
      </c>
      <c r="I2172" s="55" t="s">
        <v>2369</v>
      </c>
    </row>
    <row r="2173" spans="2:9" ht="15" customHeight="1" x14ac:dyDescent="0.25">
      <c r="B2173" s="51" t="s">
        <v>126</v>
      </c>
      <c r="C2173" s="52">
        <v>101</v>
      </c>
      <c r="D2173" s="53" t="s">
        <v>4329</v>
      </c>
      <c r="E2173" s="54"/>
      <c r="F2173" s="52" t="str">
        <f>IF(INDEX(I.CCUS.StartRange,101)="","",INDEX(I.CCUS.StartRange,101))</f>
        <v/>
      </c>
      <c r="G2173" s="54"/>
      <c r="H2173" s="52" t="str">
        <f>IF(AND(I.Compliance.FulfilledCCUS&gt;0,I.CCUS.RangeCount&gt;=101,F2173=""),"Incomplete","Complete")</f>
        <v>Complete</v>
      </c>
      <c r="I2173" s="55" t="s">
        <v>2370</v>
      </c>
    </row>
    <row r="2174" spans="2:9" ht="15" customHeight="1" x14ac:dyDescent="0.25">
      <c r="B2174" s="51" t="s">
        <v>126</v>
      </c>
      <c r="C2174" s="52">
        <v>102</v>
      </c>
      <c r="D2174" s="53" t="s">
        <v>4329</v>
      </c>
      <c r="E2174" s="54"/>
      <c r="F2174" s="52" t="str">
        <f>IF(INDEX(I.CCUS.StartRange,102)="","",INDEX(I.CCUS.StartRange,102))</f>
        <v/>
      </c>
      <c r="G2174" s="54"/>
      <c r="H2174" s="52" t="str">
        <f>IF(AND(I.Compliance.FulfilledCCUS&gt;0,I.CCUS.RangeCount&gt;=102,F2174=""),"Incomplete","Complete")</f>
        <v>Complete</v>
      </c>
      <c r="I2174" s="55" t="s">
        <v>2371</v>
      </c>
    </row>
    <row r="2175" spans="2:9" ht="15" customHeight="1" x14ac:dyDescent="0.25">
      <c r="B2175" s="51" t="s">
        <v>126</v>
      </c>
      <c r="C2175" s="52">
        <v>103</v>
      </c>
      <c r="D2175" s="53" t="s">
        <v>4329</v>
      </c>
      <c r="E2175" s="54"/>
      <c r="F2175" s="52" t="str">
        <f>IF(INDEX(I.CCUS.StartRange,103)="","",INDEX(I.CCUS.StartRange,103))</f>
        <v/>
      </c>
      <c r="G2175" s="54"/>
      <c r="H2175" s="52" t="str">
        <f>IF(AND(I.Compliance.FulfilledCCUS&gt;0,I.CCUS.RangeCount&gt;=103,F2175=""),"Incomplete","Complete")</f>
        <v>Complete</v>
      </c>
      <c r="I2175" s="55" t="s">
        <v>2372</v>
      </c>
    </row>
    <row r="2176" spans="2:9" ht="15" customHeight="1" x14ac:dyDescent="0.25">
      <c r="B2176" s="51" t="s">
        <v>126</v>
      </c>
      <c r="C2176" s="52">
        <v>104</v>
      </c>
      <c r="D2176" s="53" t="s">
        <v>4329</v>
      </c>
      <c r="E2176" s="54"/>
      <c r="F2176" s="52" t="str">
        <f>IF(INDEX(I.CCUS.StartRange,104)="","",INDEX(I.CCUS.StartRange,104))</f>
        <v/>
      </c>
      <c r="G2176" s="54"/>
      <c r="H2176" s="52" t="str">
        <f>IF(AND(I.Compliance.FulfilledCCUS&gt;0,I.CCUS.RangeCount&gt;=104,F2176=""),"Incomplete","Complete")</f>
        <v>Complete</v>
      </c>
      <c r="I2176" s="55" t="s">
        <v>2373</v>
      </c>
    </row>
    <row r="2177" spans="2:9" ht="15" customHeight="1" x14ac:dyDescent="0.25">
      <c r="B2177" s="51" t="s">
        <v>126</v>
      </c>
      <c r="C2177" s="52">
        <v>105</v>
      </c>
      <c r="D2177" s="53" t="s">
        <v>4329</v>
      </c>
      <c r="E2177" s="54"/>
      <c r="F2177" s="52" t="str">
        <f>IF(INDEX(I.CCUS.StartRange,105)="","",INDEX(I.CCUS.StartRange,105))</f>
        <v/>
      </c>
      <c r="G2177" s="54"/>
      <c r="H2177" s="52" t="str">
        <f>IF(AND(I.Compliance.FulfilledCCUS&gt;0,I.CCUS.RangeCount&gt;=105,F2177=""),"Incomplete","Complete")</f>
        <v>Complete</v>
      </c>
      <c r="I2177" s="55" t="s">
        <v>2374</v>
      </c>
    </row>
    <row r="2178" spans="2:9" ht="15" customHeight="1" x14ac:dyDescent="0.25">
      <c r="B2178" s="51" t="s">
        <v>126</v>
      </c>
      <c r="C2178" s="52">
        <v>106</v>
      </c>
      <c r="D2178" s="53" t="s">
        <v>4329</v>
      </c>
      <c r="E2178" s="54"/>
      <c r="F2178" s="52" t="str">
        <f>IF(INDEX(I.CCUS.StartRange,106)="","",INDEX(I.CCUS.StartRange,106))</f>
        <v/>
      </c>
      <c r="G2178" s="54"/>
      <c r="H2178" s="52" t="str">
        <f>IF(AND(I.Compliance.FulfilledCCUS&gt;0,I.CCUS.RangeCount&gt;=106,F2178=""),"Incomplete","Complete")</f>
        <v>Complete</v>
      </c>
      <c r="I2178" s="55" t="s">
        <v>2375</v>
      </c>
    </row>
    <row r="2179" spans="2:9" ht="15" customHeight="1" x14ac:dyDescent="0.25">
      <c r="B2179" s="51" t="s">
        <v>126</v>
      </c>
      <c r="C2179" s="52">
        <v>107</v>
      </c>
      <c r="D2179" s="53" t="s">
        <v>4329</v>
      </c>
      <c r="E2179" s="54"/>
      <c r="F2179" s="52" t="str">
        <f>IF(INDEX(I.CCUS.StartRange,107)="","",INDEX(I.CCUS.StartRange,107))</f>
        <v/>
      </c>
      <c r="G2179" s="54"/>
      <c r="H2179" s="52" t="str">
        <f>IF(AND(I.Compliance.FulfilledCCUS&gt;0,I.CCUS.RangeCount&gt;=107,F2179=""),"Incomplete","Complete")</f>
        <v>Complete</v>
      </c>
      <c r="I2179" s="55" t="s">
        <v>2376</v>
      </c>
    </row>
    <row r="2180" spans="2:9" ht="15" customHeight="1" x14ac:dyDescent="0.25">
      <c r="B2180" s="51" t="s">
        <v>126</v>
      </c>
      <c r="C2180" s="52">
        <v>108</v>
      </c>
      <c r="D2180" s="53" t="s">
        <v>4329</v>
      </c>
      <c r="E2180" s="54"/>
      <c r="F2180" s="52" t="str">
        <f>IF(INDEX(I.CCUS.StartRange,108)="","",INDEX(I.CCUS.StartRange,108))</f>
        <v/>
      </c>
      <c r="G2180" s="54"/>
      <c r="H2180" s="52" t="str">
        <f>IF(AND(I.Compliance.FulfilledCCUS&gt;0,I.CCUS.RangeCount&gt;=108,F2180=""),"Incomplete","Complete")</f>
        <v>Complete</v>
      </c>
      <c r="I2180" s="55" t="s">
        <v>2377</v>
      </c>
    </row>
    <row r="2181" spans="2:9" ht="15" customHeight="1" x14ac:dyDescent="0.25">
      <c r="B2181" s="51" t="s">
        <v>126</v>
      </c>
      <c r="C2181" s="52">
        <v>109</v>
      </c>
      <c r="D2181" s="53" t="s">
        <v>4329</v>
      </c>
      <c r="E2181" s="54"/>
      <c r="F2181" s="52" t="str">
        <f>IF(INDEX(I.CCUS.StartRange,109)="","",INDEX(I.CCUS.StartRange,109))</f>
        <v/>
      </c>
      <c r="G2181" s="54"/>
      <c r="H2181" s="52" t="str">
        <f>IF(AND(I.Compliance.FulfilledCCUS&gt;0,I.CCUS.RangeCount&gt;=109,F2181=""),"Incomplete","Complete")</f>
        <v>Complete</v>
      </c>
      <c r="I2181" s="55" t="s">
        <v>2378</v>
      </c>
    </row>
    <row r="2182" spans="2:9" ht="15" customHeight="1" x14ac:dyDescent="0.25">
      <c r="B2182" s="51" t="s">
        <v>126</v>
      </c>
      <c r="C2182" s="52">
        <v>110</v>
      </c>
      <c r="D2182" s="53" t="s">
        <v>4329</v>
      </c>
      <c r="E2182" s="54"/>
      <c r="F2182" s="52" t="str">
        <f>IF(INDEX(I.CCUS.StartRange,110)="","",INDEX(I.CCUS.StartRange,110))</f>
        <v/>
      </c>
      <c r="G2182" s="54"/>
      <c r="H2182" s="52" t="str">
        <f>IF(AND(I.Compliance.FulfilledCCUS&gt;0,I.CCUS.RangeCount&gt;=110,F2182=""),"Incomplete","Complete")</f>
        <v>Complete</v>
      </c>
      <c r="I2182" s="55" t="s">
        <v>2379</v>
      </c>
    </row>
    <row r="2183" spans="2:9" ht="15" customHeight="1" x14ac:dyDescent="0.25">
      <c r="B2183" s="51" t="s">
        <v>126</v>
      </c>
      <c r="C2183" s="52">
        <v>111</v>
      </c>
      <c r="D2183" s="53" t="s">
        <v>4329</v>
      </c>
      <c r="E2183" s="54"/>
      <c r="F2183" s="52" t="str">
        <f>IF(INDEX(I.CCUS.StartRange,111)="","",INDEX(I.CCUS.StartRange,111))</f>
        <v/>
      </c>
      <c r="G2183" s="54"/>
      <c r="H2183" s="52" t="str">
        <f>IF(AND(I.Compliance.FulfilledCCUS&gt;0,I.CCUS.RangeCount&gt;=111,F2183=""),"Incomplete","Complete")</f>
        <v>Complete</v>
      </c>
      <c r="I2183" s="55" t="s">
        <v>2380</v>
      </c>
    </row>
    <row r="2184" spans="2:9" ht="15" customHeight="1" x14ac:dyDescent="0.25">
      <c r="B2184" s="51" t="s">
        <v>126</v>
      </c>
      <c r="C2184" s="52">
        <v>112</v>
      </c>
      <c r="D2184" s="53" t="s">
        <v>4329</v>
      </c>
      <c r="E2184" s="54"/>
      <c r="F2184" s="52" t="str">
        <f>IF(INDEX(I.CCUS.StartRange,112)="","",INDEX(I.CCUS.StartRange,112))</f>
        <v/>
      </c>
      <c r="G2184" s="54"/>
      <c r="H2184" s="52" t="str">
        <f>IF(AND(I.Compliance.FulfilledCCUS&gt;0,I.CCUS.RangeCount&gt;=112,F2184=""),"Incomplete","Complete")</f>
        <v>Complete</v>
      </c>
      <c r="I2184" s="55" t="s">
        <v>2381</v>
      </c>
    </row>
    <row r="2185" spans="2:9" ht="15" customHeight="1" x14ac:dyDescent="0.25">
      <c r="B2185" s="51" t="s">
        <v>126</v>
      </c>
      <c r="C2185" s="52">
        <v>113</v>
      </c>
      <c r="D2185" s="53" t="s">
        <v>4329</v>
      </c>
      <c r="E2185" s="54"/>
      <c r="F2185" s="52" t="str">
        <f>IF(INDEX(I.CCUS.StartRange,113)="","",INDEX(I.CCUS.StartRange,113))</f>
        <v/>
      </c>
      <c r="G2185" s="54"/>
      <c r="H2185" s="52" t="str">
        <f>IF(AND(I.Compliance.FulfilledCCUS&gt;0,I.CCUS.RangeCount&gt;=113,F2185=""),"Incomplete","Complete")</f>
        <v>Complete</v>
      </c>
      <c r="I2185" s="55" t="s">
        <v>2382</v>
      </c>
    </row>
    <row r="2186" spans="2:9" ht="15" customHeight="1" x14ac:dyDescent="0.25">
      <c r="B2186" s="51" t="s">
        <v>126</v>
      </c>
      <c r="C2186" s="52">
        <v>114</v>
      </c>
      <c r="D2186" s="53" t="s">
        <v>4329</v>
      </c>
      <c r="E2186" s="54"/>
      <c r="F2186" s="52" t="str">
        <f>IF(INDEX(I.CCUS.StartRange,114)="","",INDEX(I.CCUS.StartRange,114))</f>
        <v/>
      </c>
      <c r="G2186" s="54"/>
      <c r="H2186" s="52" t="str">
        <f>IF(AND(I.Compliance.FulfilledCCUS&gt;0,I.CCUS.RangeCount&gt;=114,F2186=""),"Incomplete","Complete")</f>
        <v>Complete</v>
      </c>
      <c r="I2186" s="55" t="s">
        <v>2383</v>
      </c>
    </row>
    <row r="2187" spans="2:9" ht="15" customHeight="1" x14ac:dyDescent="0.25">
      <c r="B2187" s="51" t="s">
        <v>126</v>
      </c>
      <c r="C2187" s="52">
        <v>115</v>
      </c>
      <c r="D2187" s="53" t="s">
        <v>4329</v>
      </c>
      <c r="E2187" s="54"/>
      <c r="F2187" s="52" t="str">
        <f>IF(INDEX(I.CCUS.StartRange,115)="","",INDEX(I.CCUS.StartRange,115))</f>
        <v/>
      </c>
      <c r="G2187" s="54"/>
      <c r="H2187" s="52" t="str">
        <f>IF(AND(I.Compliance.FulfilledCCUS&gt;0,I.CCUS.RangeCount&gt;=115,F2187=""),"Incomplete","Complete")</f>
        <v>Complete</v>
      </c>
      <c r="I2187" s="55" t="s">
        <v>2384</v>
      </c>
    </row>
    <row r="2188" spans="2:9" ht="15" customHeight="1" x14ac:dyDescent="0.25">
      <c r="B2188" s="51" t="s">
        <v>126</v>
      </c>
      <c r="C2188" s="52">
        <v>116</v>
      </c>
      <c r="D2188" s="53" t="s">
        <v>4329</v>
      </c>
      <c r="E2188" s="54"/>
      <c r="F2188" s="52" t="str">
        <f>IF(INDEX(I.CCUS.StartRange,116)="","",INDEX(I.CCUS.StartRange,116))</f>
        <v/>
      </c>
      <c r="G2188" s="54"/>
      <c r="H2188" s="52" t="str">
        <f>IF(AND(I.Compliance.FulfilledCCUS&gt;0,I.CCUS.RangeCount&gt;=116,F2188=""),"Incomplete","Complete")</f>
        <v>Complete</v>
      </c>
      <c r="I2188" s="55" t="s">
        <v>2385</v>
      </c>
    </row>
    <row r="2189" spans="2:9" ht="15" customHeight="1" x14ac:dyDescent="0.25">
      <c r="B2189" s="51" t="s">
        <v>126</v>
      </c>
      <c r="C2189" s="52">
        <v>117</v>
      </c>
      <c r="D2189" s="53" t="s">
        <v>4329</v>
      </c>
      <c r="E2189" s="54"/>
      <c r="F2189" s="52" t="str">
        <f>IF(INDEX(I.CCUS.StartRange,117)="","",INDEX(I.CCUS.StartRange,117))</f>
        <v/>
      </c>
      <c r="G2189" s="54"/>
      <c r="H2189" s="52" t="str">
        <f>IF(AND(I.Compliance.FulfilledCCUS&gt;0,I.CCUS.RangeCount&gt;=117,F2189=""),"Incomplete","Complete")</f>
        <v>Complete</v>
      </c>
      <c r="I2189" s="55" t="s">
        <v>2386</v>
      </c>
    </row>
    <row r="2190" spans="2:9" ht="15" customHeight="1" x14ac:dyDescent="0.25">
      <c r="B2190" s="51" t="s">
        <v>126</v>
      </c>
      <c r="C2190" s="52">
        <v>118</v>
      </c>
      <c r="D2190" s="53" t="s">
        <v>4329</v>
      </c>
      <c r="E2190" s="54"/>
      <c r="F2190" s="52" t="str">
        <f>IF(INDEX(I.CCUS.StartRange,118)="","",INDEX(I.CCUS.StartRange,118))</f>
        <v/>
      </c>
      <c r="G2190" s="54"/>
      <c r="H2190" s="52" t="str">
        <f>IF(AND(I.Compliance.FulfilledCCUS&gt;0,I.CCUS.RangeCount&gt;=118,F2190=""),"Incomplete","Complete")</f>
        <v>Complete</v>
      </c>
      <c r="I2190" s="55" t="s">
        <v>2387</v>
      </c>
    </row>
    <row r="2191" spans="2:9" ht="15" customHeight="1" x14ac:dyDescent="0.25">
      <c r="B2191" s="51" t="s">
        <v>126</v>
      </c>
      <c r="C2191" s="52">
        <v>119</v>
      </c>
      <c r="D2191" s="53" t="s">
        <v>4329</v>
      </c>
      <c r="E2191" s="54"/>
      <c r="F2191" s="52" t="str">
        <f>IF(INDEX(I.CCUS.StartRange,119)="","",INDEX(I.CCUS.StartRange,119))</f>
        <v/>
      </c>
      <c r="G2191" s="54"/>
      <c r="H2191" s="52" t="str">
        <f>IF(AND(I.Compliance.FulfilledCCUS&gt;0,I.CCUS.RangeCount&gt;=119,F2191=""),"Incomplete","Complete")</f>
        <v>Complete</v>
      </c>
      <c r="I2191" s="55" t="s">
        <v>2388</v>
      </c>
    </row>
    <row r="2192" spans="2:9" ht="15" customHeight="1" x14ac:dyDescent="0.25">
      <c r="B2192" s="51" t="s">
        <v>126</v>
      </c>
      <c r="C2192" s="52">
        <v>120</v>
      </c>
      <c r="D2192" s="53" t="s">
        <v>4329</v>
      </c>
      <c r="E2192" s="54"/>
      <c r="F2192" s="52" t="str">
        <f>IF(INDEX(I.CCUS.StartRange,120)="","",INDEX(I.CCUS.StartRange,120))</f>
        <v/>
      </c>
      <c r="G2192" s="54"/>
      <c r="H2192" s="52" t="str">
        <f>IF(AND(I.Compliance.FulfilledCCUS&gt;0,I.CCUS.RangeCount&gt;=120,F2192=""),"Incomplete","Complete")</f>
        <v>Complete</v>
      </c>
      <c r="I2192" s="55" t="s">
        <v>2389</v>
      </c>
    </row>
    <row r="2193" spans="2:9" ht="15" customHeight="1" x14ac:dyDescent="0.25">
      <c r="B2193" s="51" t="s">
        <v>126</v>
      </c>
      <c r="C2193" s="52">
        <v>121</v>
      </c>
      <c r="D2193" s="53" t="s">
        <v>4329</v>
      </c>
      <c r="E2193" s="54"/>
      <c r="F2193" s="52" t="str">
        <f>IF(INDEX(I.CCUS.StartRange,121)="","",INDEX(I.CCUS.StartRange,121))</f>
        <v/>
      </c>
      <c r="G2193" s="54"/>
      <c r="H2193" s="52" t="str">
        <f>IF(AND(I.Compliance.FulfilledCCUS&gt;0,I.CCUS.RangeCount&gt;=121,F2193=""),"Incomplete","Complete")</f>
        <v>Complete</v>
      </c>
      <c r="I2193" s="55" t="s">
        <v>2390</v>
      </c>
    </row>
    <row r="2194" spans="2:9" ht="15" customHeight="1" x14ac:dyDescent="0.25">
      <c r="B2194" s="51" t="s">
        <v>126</v>
      </c>
      <c r="C2194" s="52">
        <v>122</v>
      </c>
      <c r="D2194" s="53" t="s">
        <v>4329</v>
      </c>
      <c r="E2194" s="54"/>
      <c r="F2194" s="52" t="str">
        <f>IF(INDEX(I.CCUS.StartRange,122)="","",INDEX(I.CCUS.StartRange,122))</f>
        <v/>
      </c>
      <c r="G2194" s="54"/>
      <c r="H2194" s="52" t="str">
        <f>IF(AND(I.Compliance.FulfilledCCUS&gt;0,I.CCUS.RangeCount&gt;=122,F2194=""),"Incomplete","Complete")</f>
        <v>Complete</v>
      </c>
      <c r="I2194" s="55" t="s">
        <v>2391</v>
      </c>
    </row>
    <row r="2195" spans="2:9" ht="15" customHeight="1" x14ac:dyDescent="0.25">
      <c r="B2195" s="51" t="s">
        <v>126</v>
      </c>
      <c r="C2195" s="52">
        <v>123</v>
      </c>
      <c r="D2195" s="53" t="s">
        <v>4329</v>
      </c>
      <c r="E2195" s="54"/>
      <c r="F2195" s="52" t="str">
        <f>IF(INDEX(I.CCUS.StartRange,123)="","",INDEX(I.CCUS.StartRange,123))</f>
        <v/>
      </c>
      <c r="G2195" s="54"/>
      <c r="H2195" s="52" t="str">
        <f>IF(AND(I.Compliance.FulfilledCCUS&gt;0,I.CCUS.RangeCount&gt;=123,F2195=""),"Incomplete","Complete")</f>
        <v>Complete</v>
      </c>
      <c r="I2195" s="55" t="s">
        <v>2392</v>
      </c>
    </row>
    <row r="2196" spans="2:9" ht="15" customHeight="1" x14ac:dyDescent="0.25">
      <c r="B2196" s="51" t="s">
        <v>126</v>
      </c>
      <c r="C2196" s="52">
        <v>124</v>
      </c>
      <c r="D2196" s="53" t="s">
        <v>4329</v>
      </c>
      <c r="E2196" s="54"/>
      <c r="F2196" s="52" t="str">
        <f>IF(INDEX(I.CCUS.StartRange,124)="","",INDEX(I.CCUS.StartRange,124))</f>
        <v/>
      </c>
      <c r="G2196" s="54"/>
      <c r="H2196" s="52" t="str">
        <f>IF(AND(I.Compliance.FulfilledCCUS&gt;0,I.CCUS.RangeCount&gt;=124,F2196=""),"Incomplete","Complete")</f>
        <v>Complete</v>
      </c>
      <c r="I2196" s="55" t="s">
        <v>2393</v>
      </c>
    </row>
    <row r="2197" spans="2:9" ht="15" customHeight="1" x14ac:dyDescent="0.25">
      <c r="B2197" s="51" t="s">
        <v>126</v>
      </c>
      <c r="C2197" s="52">
        <v>125</v>
      </c>
      <c r="D2197" s="53" t="s">
        <v>4329</v>
      </c>
      <c r="E2197" s="54"/>
      <c r="F2197" s="52" t="str">
        <f>IF(INDEX(I.CCUS.StartRange,125)="","",INDEX(I.CCUS.StartRange,125))</f>
        <v/>
      </c>
      <c r="G2197" s="54"/>
      <c r="H2197" s="52" t="str">
        <f>IF(AND(I.Compliance.FulfilledCCUS&gt;0,I.CCUS.RangeCount&gt;=125,F2197=""),"Incomplete","Complete")</f>
        <v>Complete</v>
      </c>
      <c r="I2197" s="55" t="s">
        <v>2394</v>
      </c>
    </row>
    <row r="2198" spans="2:9" ht="15" customHeight="1" x14ac:dyDescent="0.25">
      <c r="B2198" s="51" t="s">
        <v>126</v>
      </c>
      <c r="C2198" s="52">
        <v>126</v>
      </c>
      <c r="D2198" s="53" t="s">
        <v>4329</v>
      </c>
      <c r="E2198" s="54"/>
      <c r="F2198" s="52" t="str">
        <f>IF(INDEX(I.CCUS.StartRange,126)="","",INDEX(I.CCUS.StartRange,126))</f>
        <v/>
      </c>
      <c r="G2198" s="54"/>
      <c r="H2198" s="52" t="str">
        <f>IF(AND(I.Compliance.FulfilledCCUS&gt;0,I.CCUS.RangeCount&gt;=126,F2198=""),"Incomplete","Complete")</f>
        <v>Complete</v>
      </c>
      <c r="I2198" s="55" t="s">
        <v>2395</v>
      </c>
    </row>
    <row r="2199" spans="2:9" ht="15" customHeight="1" x14ac:dyDescent="0.25">
      <c r="B2199" s="51" t="s">
        <v>126</v>
      </c>
      <c r="C2199" s="52">
        <v>127</v>
      </c>
      <c r="D2199" s="53" t="s">
        <v>4329</v>
      </c>
      <c r="E2199" s="54"/>
      <c r="F2199" s="52" t="str">
        <f>IF(INDEX(I.CCUS.StartRange,127)="","",INDEX(I.CCUS.StartRange,127))</f>
        <v/>
      </c>
      <c r="G2199" s="54"/>
      <c r="H2199" s="52" t="str">
        <f>IF(AND(I.Compliance.FulfilledCCUS&gt;0,I.CCUS.RangeCount&gt;=127,F2199=""),"Incomplete","Complete")</f>
        <v>Complete</v>
      </c>
      <c r="I2199" s="55" t="s">
        <v>2396</v>
      </c>
    </row>
    <row r="2200" spans="2:9" ht="15" customHeight="1" x14ac:dyDescent="0.25">
      <c r="B2200" s="51" t="s">
        <v>126</v>
      </c>
      <c r="C2200" s="52">
        <v>128</v>
      </c>
      <c r="D2200" s="53" t="s">
        <v>4329</v>
      </c>
      <c r="E2200" s="54"/>
      <c r="F2200" s="52" t="str">
        <f>IF(INDEX(I.CCUS.StartRange,128)="","",INDEX(I.CCUS.StartRange,128))</f>
        <v/>
      </c>
      <c r="G2200" s="54"/>
      <c r="H2200" s="52" t="str">
        <f>IF(AND(I.Compliance.FulfilledCCUS&gt;0,I.CCUS.RangeCount&gt;=128,F2200=""),"Incomplete","Complete")</f>
        <v>Complete</v>
      </c>
      <c r="I2200" s="55" t="s">
        <v>2397</v>
      </c>
    </row>
    <row r="2201" spans="2:9" ht="15" customHeight="1" x14ac:dyDescent="0.25">
      <c r="B2201" s="51" t="s">
        <v>126</v>
      </c>
      <c r="C2201" s="52">
        <v>129</v>
      </c>
      <c r="D2201" s="53" t="s">
        <v>4329</v>
      </c>
      <c r="E2201" s="54"/>
      <c r="F2201" s="52" t="str">
        <f>IF(INDEX(I.CCUS.StartRange,129)="","",INDEX(I.CCUS.StartRange,129))</f>
        <v/>
      </c>
      <c r="G2201" s="54"/>
      <c r="H2201" s="52" t="str">
        <f>IF(AND(I.Compliance.FulfilledCCUS&gt;0,I.CCUS.RangeCount&gt;=129,F2201=""),"Incomplete","Complete")</f>
        <v>Complete</v>
      </c>
      <c r="I2201" s="55" t="s">
        <v>2398</v>
      </c>
    </row>
    <row r="2202" spans="2:9" ht="15" customHeight="1" x14ac:dyDescent="0.25">
      <c r="B2202" s="51" t="s">
        <v>126</v>
      </c>
      <c r="C2202" s="52">
        <v>130</v>
      </c>
      <c r="D2202" s="53" t="s">
        <v>4329</v>
      </c>
      <c r="E2202" s="54"/>
      <c r="F2202" s="52" t="str">
        <f>IF(INDEX(I.CCUS.StartRange,130)="","",INDEX(I.CCUS.StartRange,130))</f>
        <v/>
      </c>
      <c r="G2202" s="54"/>
      <c r="H2202" s="52" t="str">
        <f>IF(AND(I.Compliance.FulfilledCCUS&gt;0,I.CCUS.RangeCount&gt;=130,F2202=""),"Incomplete","Complete")</f>
        <v>Complete</v>
      </c>
      <c r="I2202" s="55" t="s">
        <v>2399</v>
      </c>
    </row>
    <row r="2203" spans="2:9" ht="15" customHeight="1" x14ac:dyDescent="0.25">
      <c r="B2203" s="51" t="s">
        <v>126</v>
      </c>
      <c r="C2203" s="52">
        <v>131</v>
      </c>
      <c r="D2203" s="53" t="s">
        <v>4329</v>
      </c>
      <c r="E2203" s="54"/>
      <c r="F2203" s="52" t="str">
        <f>IF(INDEX(I.CCUS.StartRange,131)="","",INDEX(I.CCUS.StartRange,131))</f>
        <v/>
      </c>
      <c r="G2203" s="54"/>
      <c r="H2203" s="52" t="str">
        <f>IF(AND(I.Compliance.FulfilledCCUS&gt;0,I.CCUS.RangeCount&gt;=131,F2203=""),"Incomplete","Complete")</f>
        <v>Complete</v>
      </c>
      <c r="I2203" s="55" t="s">
        <v>2400</v>
      </c>
    </row>
    <row r="2204" spans="2:9" ht="15" customHeight="1" x14ac:dyDescent="0.25">
      <c r="B2204" s="51" t="s">
        <v>126</v>
      </c>
      <c r="C2204" s="52">
        <v>132</v>
      </c>
      <c r="D2204" s="53" t="s">
        <v>4329</v>
      </c>
      <c r="E2204" s="54"/>
      <c r="F2204" s="52" t="str">
        <f>IF(INDEX(I.CCUS.StartRange,132)="","",INDEX(I.CCUS.StartRange,132))</f>
        <v/>
      </c>
      <c r="G2204" s="54"/>
      <c r="H2204" s="52" t="str">
        <f>IF(AND(I.Compliance.FulfilledCCUS&gt;0,I.CCUS.RangeCount&gt;=132,F2204=""),"Incomplete","Complete")</f>
        <v>Complete</v>
      </c>
      <c r="I2204" s="55" t="s">
        <v>2401</v>
      </c>
    </row>
    <row r="2205" spans="2:9" ht="15" customHeight="1" x14ac:dyDescent="0.25">
      <c r="B2205" s="51" t="s">
        <v>126</v>
      </c>
      <c r="C2205" s="52">
        <v>133</v>
      </c>
      <c r="D2205" s="53" t="s">
        <v>4329</v>
      </c>
      <c r="E2205" s="54"/>
      <c r="F2205" s="52" t="str">
        <f>IF(INDEX(I.CCUS.StartRange,133)="","",INDEX(I.CCUS.StartRange,133))</f>
        <v/>
      </c>
      <c r="G2205" s="54"/>
      <c r="H2205" s="52" t="str">
        <f>IF(AND(I.Compliance.FulfilledCCUS&gt;0,I.CCUS.RangeCount&gt;=133,F2205=""),"Incomplete","Complete")</f>
        <v>Complete</v>
      </c>
      <c r="I2205" s="55" t="s">
        <v>2402</v>
      </c>
    </row>
    <row r="2206" spans="2:9" ht="15" customHeight="1" x14ac:dyDescent="0.25">
      <c r="B2206" s="51" t="s">
        <v>126</v>
      </c>
      <c r="C2206" s="52">
        <v>134</v>
      </c>
      <c r="D2206" s="53" t="s">
        <v>4329</v>
      </c>
      <c r="E2206" s="54"/>
      <c r="F2206" s="52" t="str">
        <f>IF(INDEX(I.CCUS.StartRange,134)="","",INDEX(I.CCUS.StartRange,134))</f>
        <v/>
      </c>
      <c r="G2206" s="54"/>
      <c r="H2206" s="52" t="str">
        <f>IF(AND(I.Compliance.FulfilledCCUS&gt;0,I.CCUS.RangeCount&gt;=134,F2206=""),"Incomplete","Complete")</f>
        <v>Complete</v>
      </c>
      <c r="I2206" s="55" t="s">
        <v>2403</v>
      </c>
    </row>
    <row r="2207" spans="2:9" ht="15" customHeight="1" x14ac:dyDescent="0.25">
      <c r="B2207" s="51" t="s">
        <v>126</v>
      </c>
      <c r="C2207" s="52">
        <v>135</v>
      </c>
      <c r="D2207" s="53" t="s">
        <v>4329</v>
      </c>
      <c r="E2207" s="54"/>
      <c r="F2207" s="52" t="str">
        <f>IF(INDEX(I.CCUS.StartRange,135)="","",INDEX(I.CCUS.StartRange,135))</f>
        <v/>
      </c>
      <c r="G2207" s="54"/>
      <c r="H2207" s="52" t="str">
        <f>IF(AND(I.Compliance.FulfilledCCUS&gt;0,I.CCUS.RangeCount&gt;=135,F2207=""),"Incomplete","Complete")</f>
        <v>Complete</v>
      </c>
      <c r="I2207" s="55" t="s">
        <v>2404</v>
      </c>
    </row>
    <row r="2208" spans="2:9" ht="15" customHeight="1" x14ac:dyDescent="0.25">
      <c r="B2208" s="51" t="s">
        <v>126</v>
      </c>
      <c r="C2208" s="52">
        <v>136</v>
      </c>
      <c r="D2208" s="53" t="s">
        <v>4329</v>
      </c>
      <c r="E2208" s="54"/>
      <c r="F2208" s="52" t="str">
        <f>IF(INDEX(I.CCUS.StartRange,136)="","",INDEX(I.CCUS.StartRange,136))</f>
        <v/>
      </c>
      <c r="G2208" s="54"/>
      <c r="H2208" s="52" t="str">
        <f>IF(AND(I.Compliance.FulfilledCCUS&gt;0,I.CCUS.RangeCount&gt;=136,F2208=""),"Incomplete","Complete")</f>
        <v>Complete</v>
      </c>
      <c r="I2208" s="55" t="s">
        <v>2405</v>
      </c>
    </row>
    <row r="2209" spans="2:9" ht="15" customHeight="1" x14ac:dyDescent="0.25">
      <c r="B2209" s="51" t="s">
        <v>126</v>
      </c>
      <c r="C2209" s="52">
        <v>137</v>
      </c>
      <c r="D2209" s="53" t="s">
        <v>4329</v>
      </c>
      <c r="E2209" s="54"/>
      <c r="F2209" s="52" t="str">
        <f>IF(INDEX(I.CCUS.StartRange,137)="","",INDEX(I.CCUS.StartRange,137))</f>
        <v/>
      </c>
      <c r="G2209" s="54"/>
      <c r="H2209" s="52" t="str">
        <f>IF(AND(I.Compliance.FulfilledCCUS&gt;0,I.CCUS.RangeCount&gt;=137,F2209=""),"Incomplete","Complete")</f>
        <v>Complete</v>
      </c>
      <c r="I2209" s="55" t="s">
        <v>2406</v>
      </c>
    </row>
    <row r="2210" spans="2:9" ht="15" customHeight="1" x14ac:dyDescent="0.25">
      <c r="B2210" s="51" t="s">
        <v>126</v>
      </c>
      <c r="C2210" s="52">
        <v>138</v>
      </c>
      <c r="D2210" s="53" t="s">
        <v>4329</v>
      </c>
      <c r="E2210" s="54"/>
      <c r="F2210" s="52" t="str">
        <f>IF(INDEX(I.CCUS.StartRange,138)="","",INDEX(I.CCUS.StartRange,138))</f>
        <v/>
      </c>
      <c r="G2210" s="54"/>
      <c r="H2210" s="52" t="str">
        <f>IF(AND(I.Compliance.FulfilledCCUS&gt;0,I.CCUS.RangeCount&gt;=138,F2210=""),"Incomplete","Complete")</f>
        <v>Complete</v>
      </c>
      <c r="I2210" s="55" t="s">
        <v>2407</v>
      </c>
    </row>
    <row r="2211" spans="2:9" ht="15" customHeight="1" x14ac:dyDescent="0.25">
      <c r="B2211" s="51" t="s">
        <v>126</v>
      </c>
      <c r="C2211" s="52">
        <v>139</v>
      </c>
      <c r="D2211" s="53" t="s">
        <v>4329</v>
      </c>
      <c r="E2211" s="54"/>
      <c r="F2211" s="52" t="str">
        <f>IF(INDEX(I.CCUS.StartRange,139)="","",INDEX(I.CCUS.StartRange,139))</f>
        <v/>
      </c>
      <c r="G2211" s="54"/>
      <c r="H2211" s="52" t="str">
        <f>IF(AND(I.Compliance.FulfilledCCUS&gt;0,I.CCUS.RangeCount&gt;=139,F2211=""),"Incomplete","Complete")</f>
        <v>Complete</v>
      </c>
      <c r="I2211" s="55" t="s">
        <v>2408</v>
      </c>
    </row>
    <row r="2212" spans="2:9" ht="15" customHeight="1" x14ac:dyDescent="0.25">
      <c r="B2212" s="51" t="s">
        <v>126</v>
      </c>
      <c r="C2212" s="52">
        <v>140</v>
      </c>
      <c r="D2212" s="53" t="s">
        <v>4329</v>
      </c>
      <c r="E2212" s="54"/>
      <c r="F2212" s="52" t="str">
        <f>IF(INDEX(I.CCUS.StartRange,140)="","",INDEX(I.CCUS.StartRange,140))</f>
        <v/>
      </c>
      <c r="G2212" s="54"/>
      <c r="H2212" s="52" t="str">
        <f>IF(AND(I.Compliance.FulfilledCCUS&gt;0,I.CCUS.RangeCount&gt;=140,F2212=""),"Incomplete","Complete")</f>
        <v>Complete</v>
      </c>
      <c r="I2212" s="55" t="s">
        <v>2409</v>
      </c>
    </row>
    <row r="2213" spans="2:9" ht="15" customHeight="1" x14ac:dyDescent="0.25">
      <c r="B2213" s="51" t="s">
        <v>126</v>
      </c>
      <c r="C2213" s="52">
        <v>141</v>
      </c>
      <c r="D2213" s="53" t="s">
        <v>4329</v>
      </c>
      <c r="E2213" s="54"/>
      <c r="F2213" s="52" t="str">
        <f>IF(INDEX(I.CCUS.StartRange,141)="","",INDEX(I.CCUS.StartRange,141))</f>
        <v/>
      </c>
      <c r="G2213" s="54"/>
      <c r="H2213" s="52" t="str">
        <f>IF(AND(I.Compliance.FulfilledCCUS&gt;0,I.CCUS.RangeCount&gt;=141,F2213=""),"Incomplete","Complete")</f>
        <v>Complete</v>
      </c>
      <c r="I2213" s="55" t="s">
        <v>2410</v>
      </c>
    </row>
    <row r="2214" spans="2:9" ht="15" customHeight="1" x14ac:dyDescent="0.25">
      <c r="B2214" s="51" t="s">
        <v>126</v>
      </c>
      <c r="C2214" s="52">
        <v>142</v>
      </c>
      <c r="D2214" s="53" t="s">
        <v>4329</v>
      </c>
      <c r="E2214" s="54"/>
      <c r="F2214" s="52" t="str">
        <f>IF(INDEX(I.CCUS.StartRange,142)="","",INDEX(I.CCUS.StartRange,142))</f>
        <v/>
      </c>
      <c r="G2214" s="54"/>
      <c r="H2214" s="52" t="str">
        <f>IF(AND(I.Compliance.FulfilledCCUS&gt;0,I.CCUS.RangeCount&gt;=142,F2214=""),"Incomplete","Complete")</f>
        <v>Complete</v>
      </c>
      <c r="I2214" s="55" t="s">
        <v>2411</v>
      </c>
    </row>
    <row r="2215" spans="2:9" ht="15" customHeight="1" x14ac:dyDescent="0.25">
      <c r="B2215" s="51" t="s">
        <v>126</v>
      </c>
      <c r="C2215" s="52">
        <v>143</v>
      </c>
      <c r="D2215" s="53" t="s">
        <v>4329</v>
      </c>
      <c r="E2215" s="54"/>
      <c r="F2215" s="52" t="str">
        <f>IF(INDEX(I.CCUS.StartRange,143)="","",INDEX(I.CCUS.StartRange,143))</f>
        <v/>
      </c>
      <c r="G2215" s="54"/>
      <c r="H2215" s="52" t="str">
        <f>IF(AND(I.Compliance.FulfilledCCUS&gt;0,I.CCUS.RangeCount&gt;=143,F2215=""),"Incomplete","Complete")</f>
        <v>Complete</v>
      </c>
      <c r="I2215" s="55" t="s">
        <v>2412</v>
      </c>
    </row>
    <row r="2216" spans="2:9" ht="15" customHeight="1" x14ac:dyDescent="0.25">
      <c r="B2216" s="51" t="s">
        <v>126</v>
      </c>
      <c r="C2216" s="52">
        <v>144</v>
      </c>
      <c r="D2216" s="53" t="s">
        <v>4329</v>
      </c>
      <c r="E2216" s="54"/>
      <c r="F2216" s="52" t="str">
        <f>IF(INDEX(I.CCUS.StartRange,144)="","",INDEX(I.CCUS.StartRange,144))</f>
        <v/>
      </c>
      <c r="G2216" s="54"/>
      <c r="H2216" s="52" t="str">
        <f>IF(AND(I.Compliance.FulfilledCCUS&gt;0,I.CCUS.RangeCount&gt;=144,F2216=""),"Incomplete","Complete")</f>
        <v>Complete</v>
      </c>
      <c r="I2216" s="55" t="s">
        <v>2413</v>
      </c>
    </row>
    <row r="2217" spans="2:9" ht="15" customHeight="1" x14ac:dyDescent="0.25">
      <c r="B2217" s="51" t="s">
        <v>126</v>
      </c>
      <c r="C2217" s="52">
        <v>145</v>
      </c>
      <c r="D2217" s="53" t="s">
        <v>4329</v>
      </c>
      <c r="E2217" s="54"/>
      <c r="F2217" s="52" t="str">
        <f>IF(INDEX(I.CCUS.StartRange,145)="","",INDEX(I.CCUS.StartRange,145))</f>
        <v/>
      </c>
      <c r="G2217" s="54"/>
      <c r="H2217" s="52" t="str">
        <f>IF(AND(I.Compliance.FulfilledCCUS&gt;0,I.CCUS.RangeCount&gt;=145,F2217=""),"Incomplete","Complete")</f>
        <v>Complete</v>
      </c>
      <c r="I2217" s="55" t="s">
        <v>2414</v>
      </c>
    </row>
    <row r="2218" spans="2:9" ht="15" customHeight="1" x14ac:dyDescent="0.25">
      <c r="B2218" s="51" t="s">
        <v>126</v>
      </c>
      <c r="C2218" s="52">
        <v>146</v>
      </c>
      <c r="D2218" s="53" t="s">
        <v>4329</v>
      </c>
      <c r="E2218" s="54"/>
      <c r="F2218" s="52" t="str">
        <f>IF(INDEX(I.CCUS.StartRange,146)="","",INDEX(I.CCUS.StartRange,146))</f>
        <v/>
      </c>
      <c r="G2218" s="54"/>
      <c r="H2218" s="52" t="str">
        <f>IF(AND(I.Compliance.FulfilledCCUS&gt;0,I.CCUS.RangeCount&gt;=146,F2218=""),"Incomplete","Complete")</f>
        <v>Complete</v>
      </c>
      <c r="I2218" s="55" t="s">
        <v>2415</v>
      </c>
    </row>
    <row r="2219" spans="2:9" ht="15" customHeight="1" x14ac:dyDescent="0.25">
      <c r="B2219" s="51" t="s">
        <v>126</v>
      </c>
      <c r="C2219" s="52">
        <v>147</v>
      </c>
      <c r="D2219" s="53" t="s">
        <v>4329</v>
      </c>
      <c r="E2219" s="54"/>
      <c r="F2219" s="52" t="str">
        <f>IF(INDEX(I.CCUS.StartRange,147)="","",INDEX(I.CCUS.StartRange,147))</f>
        <v/>
      </c>
      <c r="G2219" s="54"/>
      <c r="H2219" s="52" t="str">
        <f>IF(AND(I.Compliance.FulfilledCCUS&gt;0,I.CCUS.RangeCount&gt;=147,F2219=""),"Incomplete","Complete")</f>
        <v>Complete</v>
      </c>
      <c r="I2219" s="55" t="s">
        <v>2416</v>
      </c>
    </row>
    <row r="2220" spans="2:9" ht="15" customHeight="1" x14ac:dyDescent="0.25">
      <c r="B2220" s="51" t="s">
        <v>126</v>
      </c>
      <c r="C2220" s="52">
        <v>148</v>
      </c>
      <c r="D2220" s="53" t="s">
        <v>4329</v>
      </c>
      <c r="E2220" s="54"/>
      <c r="F2220" s="52" t="str">
        <f>IF(INDEX(I.CCUS.StartRange,148)="","",INDEX(I.CCUS.StartRange,148))</f>
        <v/>
      </c>
      <c r="G2220" s="54"/>
      <c r="H2220" s="52" t="str">
        <f>IF(AND(I.Compliance.FulfilledCCUS&gt;0,I.CCUS.RangeCount&gt;=148,F2220=""),"Incomplete","Complete")</f>
        <v>Complete</v>
      </c>
      <c r="I2220" s="55" t="s">
        <v>2417</v>
      </c>
    </row>
    <row r="2221" spans="2:9" ht="15" customHeight="1" x14ac:dyDescent="0.25">
      <c r="B2221" s="51" t="s">
        <v>126</v>
      </c>
      <c r="C2221" s="52">
        <v>149</v>
      </c>
      <c r="D2221" s="53" t="s">
        <v>4329</v>
      </c>
      <c r="E2221" s="54"/>
      <c r="F2221" s="52" t="str">
        <f>IF(INDEX(I.CCUS.StartRange,149)="","",INDEX(I.CCUS.StartRange,149))</f>
        <v/>
      </c>
      <c r="G2221" s="54"/>
      <c r="H2221" s="52" t="str">
        <f>IF(AND(I.Compliance.FulfilledCCUS&gt;0,I.CCUS.RangeCount&gt;=149,F2221=""),"Incomplete","Complete")</f>
        <v>Complete</v>
      </c>
      <c r="I2221" s="55" t="s">
        <v>2418</v>
      </c>
    </row>
    <row r="2222" spans="2:9" ht="15" customHeight="1" x14ac:dyDescent="0.25">
      <c r="B2222" s="51" t="s">
        <v>126</v>
      </c>
      <c r="C2222" s="52">
        <v>150</v>
      </c>
      <c r="D2222" s="53" t="s">
        <v>4329</v>
      </c>
      <c r="E2222" s="54"/>
      <c r="F2222" s="52" t="str">
        <f>IF(INDEX(I.CCUS.StartRange,150)="","",INDEX(I.CCUS.StartRange,150))</f>
        <v/>
      </c>
      <c r="G2222" s="54"/>
      <c r="H2222" s="52" t="str">
        <f>IF(AND(I.Compliance.FulfilledCCUS&gt;0,I.CCUS.RangeCount&gt;=150,F2222=""),"Incomplete","Complete")</f>
        <v>Complete</v>
      </c>
      <c r="I2222" s="55" t="s">
        <v>2419</v>
      </c>
    </row>
    <row r="2223" spans="2:9" ht="15" customHeight="1" x14ac:dyDescent="0.25">
      <c r="B2223" s="51" t="s">
        <v>126</v>
      </c>
      <c r="C2223" s="52">
        <v>151</v>
      </c>
      <c r="D2223" s="53" t="s">
        <v>4329</v>
      </c>
      <c r="E2223" s="54"/>
      <c r="F2223" s="52" t="str">
        <f>IF(INDEX(I.CCUS.StartRange,151)="","",INDEX(I.CCUS.StartRange,151))</f>
        <v/>
      </c>
      <c r="G2223" s="54"/>
      <c r="H2223" s="52" t="str">
        <f>IF(AND(I.Compliance.FulfilledCCUS&gt;0,I.CCUS.RangeCount&gt;=151,F2223=""),"Incomplete","Complete")</f>
        <v>Complete</v>
      </c>
      <c r="I2223" s="55" t="s">
        <v>2420</v>
      </c>
    </row>
    <row r="2224" spans="2:9" ht="15" customHeight="1" x14ac:dyDescent="0.25">
      <c r="B2224" s="51" t="s">
        <v>126</v>
      </c>
      <c r="C2224" s="52">
        <v>152</v>
      </c>
      <c r="D2224" s="53" t="s">
        <v>4329</v>
      </c>
      <c r="E2224" s="54"/>
      <c r="F2224" s="52" t="str">
        <f>IF(INDEX(I.CCUS.StartRange,152)="","",INDEX(I.CCUS.StartRange,152))</f>
        <v/>
      </c>
      <c r="G2224" s="54"/>
      <c r="H2224" s="52" t="str">
        <f>IF(AND(I.Compliance.FulfilledCCUS&gt;0,I.CCUS.RangeCount&gt;=152,F2224=""),"Incomplete","Complete")</f>
        <v>Complete</v>
      </c>
      <c r="I2224" s="55" t="s">
        <v>2421</v>
      </c>
    </row>
    <row r="2225" spans="2:9" ht="15" customHeight="1" x14ac:dyDescent="0.25">
      <c r="B2225" s="51" t="s">
        <v>126</v>
      </c>
      <c r="C2225" s="52">
        <v>153</v>
      </c>
      <c r="D2225" s="53" t="s">
        <v>4329</v>
      </c>
      <c r="E2225" s="54"/>
      <c r="F2225" s="52" t="str">
        <f>IF(INDEX(I.CCUS.StartRange,153)="","",INDEX(I.CCUS.StartRange,153))</f>
        <v/>
      </c>
      <c r="G2225" s="54"/>
      <c r="H2225" s="52" t="str">
        <f>IF(AND(I.Compliance.FulfilledCCUS&gt;0,I.CCUS.RangeCount&gt;=153,F2225=""),"Incomplete","Complete")</f>
        <v>Complete</v>
      </c>
      <c r="I2225" s="55" t="s">
        <v>2422</v>
      </c>
    </row>
    <row r="2226" spans="2:9" ht="15" customHeight="1" x14ac:dyDescent="0.25">
      <c r="B2226" s="51" t="s">
        <v>126</v>
      </c>
      <c r="C2226" s="52">
        <v>154</v>
      </c>
      <c r="D2226" s="53" t="s">
        <v>4329</v>
      </c>
      <c r="E2226" s="54"/>
      <c r="F2226" s="52" t="str">
        <f>IF(INDEX(I.CCUS.StartRange,154)="","",INDEX(I.CCUS.StartRange,154))</f>
        <v/>
      </c>
      <c r="G2226" s="54"/>
      <c r="H2226" s="52" t="str">
        <f>IF(AND(I.Compliance.FulfilledCCUS&gt;0,I.CCUS.RangeCount&gt;=154,F2226=""),"Incomplete","Complete")</f>
        <v>Complete</v>
      </c>
      <c r="I2226" s="55" t="s">
        <v>2423</v>
      </c>
    </row>
    <row r="2227" spans="2:9" ht="15" customHeight="1" x14ac:dyDescent="0.25">
      <c r="B2227" s="51" t="s">
        <v>126</v>
      </c>
      <c r="C2227" s="52">
        <v>155</v>
      </c>
      <c r="D2227" s="53" t="s">
        <v>4329</v>
      </c>
      <c r="E2227" s="54"/>
      <c r="F2227" s="52" t="str">
        <f>IF(INDEX(I.CCUS.StartRange,155)="","",INDEX(I.CCUS.StartRange,155))</f>
        <v/>
      </c>
      <c r="G2227" s="54"/>
      <c r="H2227" s="52" t="str">
        <f>IF(AND(I.Compliance.FulfilledCCUS&gt;0,I.CCUS.RangeCount&gt;=155,F2227=""),"Incomplete","Complete")</f>
        <v>Complete</v>
      </c>
      <c r="I2227" s="55" t="s">
        <v>2424</v>
      </c>
    </row>
    <row r="2228" spans="2:9" ht="15" customHeight="1" x14ac:dyDescent="0.25">
      <c r="B2228" s="51" t="s">
        <v>126</v>
      </c>
      <c r="C2228" s="52">
        <v>156</v>
      </c>
      <c r="D2228" s="53" t="s">
        <v>4329</v>
      </c>
      <c r="E2228" s="54"/>
      <c r="F2228" s="52" t="str">
        <f>IF(INDEX(I.CCUS.StartRange,156)="","",INDEX(I.CCUS.StartRange,156))</f>
        <v/>
      </c>
      <c r="G2228" s="54"/>
      <c r="H2228" s="52" t="str">
        <f>IF(AND(I.Compliance.FulfilledCCUS&gt;0,I.CCUS.RangeCount&gt;=156,F2228=""),"Incomplete","Complete")</f>
        <v>Complete</v>
      </c>
      <c r="I2228" s="55" t="s">
        <v>2425</v>
      </c>
    </row>
    <row r="2229" spans="2:9" ht="15" customHeight="1" x14ac:dyDescent="0.25">
      <c r="B2229" s="51" t="s">
        <v>126</v>
      </c>
      <c r="C2229" s="52">
        <v>157</v>
      </c>
      <c r="D2229" s="53" t="s">
        <v>4329</v>
      </c>
      <c r="E2229" s="54"/>
      <c r="F2229" s="52" t="str">
        <f>IF(INDEX(I.CCUS.StartRange,157)="","",INDEX(I.CCUS.StartRange,157))</f>
        <v/>
      </c>
      <c r="G2229" s="54"/>
      <c r="H2229" s="52" t="str">
        <f>IF(AND(I.Compliance.FulfilledCCUS&gt;0,I.CCUS.RangeCount&gt;=157,F2229=""),"Incomplete","Complete")</f>
        <v>Complete</v>
      </c>
      <c r="I2229" s="55" t="s">
        <v>2426</v>
      </c>
    </row>
    <row r="2230" spans="2:9" ht="15" customHeight="1" x14ac:dyDescent="0.25">
      <c r="B2230" s="51" t="s">
        <v>126</v>
      </c>
      <c r="C2230" s="52">
        <v>158</v>
      </c>
      <c r="D2230" s="53" t="s">
        <v>4329</v>
      </c>
      <c r="E2230" s="54"/>
      <c r="F2230" s="52" t="str">
        <f>IF(INDEX(I.CCUS.StartRange,158)="","",INDEX(I.CCUS.StartRange,158))</f>
        <v/>
      </c>
      <c r="G2230" s="54"/>
      <c r="H2230" s="52" t="str">
        <f>IF(AND(I.Compliance.FulfilledCCUS&gt;0,I.CCUS.RangeCount&gt;=158,F2230=""),"Incomplete","Complete")</f>
        <v>Complete</v>
      </c>
      <c r="I2230" s="55" t="s">
        <v>2427</v>
      </c>
    </row>
    <row r="2231" spans="2:9" ht="15" customHeight="1" x14ac:dyDescent="0.25">
      <c r="B2231" s="51" t="s">
        <v>126</v>
      </c>
      <c r="C2231" s="52">
        <v>159</v>
      </c>
      <c r="D2231" s="53" t="s">
        <v>4329</v>
      </c>
      <c r="E2231" s="54"/>
      <c r="F2231" s="52" t="str">
        <f>IF(INDEX(I.CCUS.StartRange,159)="","",INDEX(I.CCUS.StartRange,159))</f>
        <v/>
      </c>
      <c r="G2231" s="54"/>
      <c r="H2231" s="52" t="str">
        <f>IF(AND(I.Compliance.FulfilledCCUS&gt;0,I.CCUS.RangeCount&gt;=159,F2231=""),"Incomplete","Complete")</f>
        <v>Complete</v>
      </c>
      <c r="I2231" s="55" t="s">
        <v>2428</v>
      </c>
    </row>
    <row r="2232" spans="2:9" ht="15" customHeight="1" x14ac:dyDescent="0.25">
      <c r="B2232" s="51" t="s">
        <v>126</v>
      </c>
      <c r="C2232" s="52">
        <v>160</v>
      </c>
      <c r="D2232" s="53" t="s">
        <v>4329</v>
      </c>
      <c r="E2232" s="54"/>
      <c r="F2232" s="52" t="str">
        <f>IF(INDEX(I.CCUS.StartRange,160)="","",INDEX(I.CCUS.StartRange,160))</f>
        <v/>
      </c>
      <c r="G2232" s="54"/>
      <c r="H2232" s="52" t="str">
        <f>IF(AND(I.Compliance.FulfilledCCUS&gt;0,I.CCUS.RangeCount&gt;=160,F2232=""),"Incomplete","Complete")</f>
        <v>Complete</v>
      </c>
      <c r="I2232" s="55" t="s">
        <v>2429</v>
      </c>
    </row>
    <row r="2233" spans="2:9" ht="15" customHeight="1" x14ac:dyDescent="0.25">
      <c r="B2233" s="51" t="s">
        <v>126</v>
      </c>
      <c r="C2233" s="52">
        <v>161</v>
      </c>
      <c r="D2233" s="53" t="s">
        <v>4329</v>
      </c>
      <c r="E2233" s="54"/>
      <c r="F2233" s="52" t="str">
        <f>IF(INDEX(I.CCUS.StartRange,161)="","",INDEX(I.CCUS.StartRange,161))</f>
        <v/>
      </c>
      <c r="G2233" s="54"/>
      <c r="H2233" s="52" t="str">
        <f>IF(AND(I.Compliance.FulfilledCCUS&gt;0,I.CCUS.RangeCount&gt;=161,F2233=""),"Incomplete","Complete")</f>
        <v>Complete</v>
      </c>
      <c r="I2233" s="55" t="s">
        <v>2430</v>
      </c>
    </row>
    <row r="2234" spans="2:9" ht="15" customHeight="1" x14ac:dyDescent="0.25">
      <c r="B2234" s="51" t="s">
        <v>126</v>
      </c>
      <c r="C2234" s="52">
        <v>162</v>
      </c>
      <c r="D2234" s="53" t="s">
        <v>4329</v>
      </c>
      <c r="E2234" s="54"/>
      <c r="F2234" s="52" t="str">
        <f>IF(INDEX(I.CCUS.StartRange,162)="","",INDEX(I.CCUS.StartRange,162))</f>
        <v/>
      </c>
      <c r="G2234" s="54"/>
      <c r="H2234" s="52" t="str">
        <f>IF(AND(I.Compliance.FulfilledCCUS&gt;0,I.CCUS.RangeCount&gt;=162,F2234=""),"Incomplete","Complete")</f>
        <v>Complete</v>
      </c>
      <c r="I2234" s="55" t="s">
        <v>2431</v>
      </c>
    </row>
    <row r="2235" spans="2:9" ht="15" customHeight="1" x14ac:dyDescent="0.25">
      <c r="B2235" s="51" t="s">
        <v>126</v>
      </c>
      <c r="C2235" s="52">
        <v>163</v>
      </c>
      <c r="D2235" s="53" t="s">
        <v>4329</v>
      </c>
      <c r="E2235" s="54"/>
      <c r="F2235" s="52" t="str">
        <f>IF(INDEX(I.CCUS.StartRange,163)="","",INDEX(I.CCUS.StartRange,163))</f>
        <v/>
      </c>
      <c r="G2235" s="54"/>
      <c r="H2235" s="52" t="str">
        <f>IF(AND(I.Compliance.FulfilledCCUS&gt;0,I.CCUS.RangeCount&gt;=163,F2235=""),"Incomplete","Complete")</f>
        <v>Complete</v>
      </c>
      <c r="I2235" s="55" t="s">
        <v>2432</v>
      </c>
    </row>
    <row r="2236" spans="2:9" ht="15" customHeight="1" x14ac:dyDescent="0.25">
      <c r="B2236" s="51" t="s">
        <v>126</v>
      </c>
      <c r="C2236" s="52">
        <v>164</v>
      </c>
      <c r="D2236" s="53" t="s">
        <v>4329</v>
      </c>
      <c r="E2236" s="54"/>
      <c r="F2236" s="52" t="str">
        <f>IF(INDEX(I.CCUS.StartRange,164)="","",INDEX(I.CCUS.StartRange,164))</f>
        <v/>
      </c>
      <c r="G2236" s="54"/>
      <c r="H2236" s="52" t="str">
        <f>IF(AND(I.Compliance.FulfilledCCUS&gt;0,I.CCUS.RangeCount&gt;=164,F2236=""),"Incomplete","Complete")</f>
        <v>Complete</v>
      </c>
      <c r="I2236" s="55" t="s">
        <v>2433</v>
      </c>
    </row>
    <row r="2237" spans="2:9" ht="15" customHeight="1" x14ac:dyDescent="0.25">
      <c r="B2237" s="51" t="s">
        <v>126</v>
      </c>
      <c r="C2237" s="52">
        <v>165</v>
      </c>
      <c r="D2237" s="53" t="s">
        <v>4329</v>
      </c>
      <c r="E2237" s="54"/>
      <c r="F2237" s="52" t="str">
        <f>IF(INDEX(I.CCUS.StartRange,165)="","",INDEX(I.CCUS.StartRange,165))</f>
        <v/>
      </c>
      <c r="G2237" s="54"/>
      <c r="H2237" s="52" t="str">
        <f>IF(AND(I.Compliance.FulfilledCCUS&gt;0,I.CCUS.RangeCount&gt;=165,F2237=""),"Incomplete","Complete")</f>
        <v>Complete</v>
      </c>
      <c r="I2237" s="55" t="s">
        <v>2434</v>
      </c>
    </row>
    <row r="2238" spans="2:9" ht="15" customHeight="1" x14ac:dyDescent="0.25">
      <c r="B2238" s="51" t="s">
        <v>126</v>
      </c>
      <c r="C2238" s="52">
        <v>166</v>
      </c>
      <c r="D2238" s="53" t="s">
        <v>4329</v>
      </c>
      <c r="E2238" s="54"/>
      <c r="F2238" s="52" t="str">
        <f>IF(INDEX(I.CCUS.StartRange,166)="","",INDEX(I.CCUS.StartRange,166))</f>
        <v/>
      </c>
      <c r="G2238" s="54"/>
      <c r="H2238" s="52" t="str">
        <f>IF(AND(I.Compliance.FulfilledCCUS&gt;0,I.CCUS.RangeCount&gt;=166,F2238=""),"Incomplete","Complete")</f>
        <v>Complete</v>
      </c>
      <c r="I2238" s="55" t="s">
        <v>2435</v>
      </c>
    </row>
    <row r="2239" spans="2:9" ht="15" customHeight="1" x14ac:dyDescent="0.25">
      <c r="B2239" s="51" t="s">
        <v>126</v>
      </c>
      <c r="C2239" s="52">
        <v>167</v>
      </c>
      <c r="D2239" s="53" t="s">
        <v>4329</v>
      </c>
      <c r="E2239" s="54"/>
      <c r="F2239" s="52" t="str">
        <f>IF(INDEX(I.CCUS.StartRange,167)="","",INDEX(I.CCUS.StartRange,167))</f>
        <v/>
      </c>
      <c r="G2239" s="54"/>
      <c r="H2239" s="52" t="str">
        <f>IF(AND(I.Compliance.FulfilledCCUS&gt;0,I.CCUS.RangeCount&gt;=167,F2239=""),"Incomplete","Complete")</f>
        <v>Complete</v>
      </c>
      <c r="I2239" s="55" t="s">
        <v>2436</v>
      </c>
    </row>
    <row r="2240" spans="2:9" ht="15" customHeight="1" x14ac:dyDescent="0.25">
      <c r="B2240" s="51" t="s">
        <v>126</v>
      </c>
      <c r="C2240" s="52">
        <v>168</v>
      </c>
      <c r="D2240" s="53" t="s">
        <v>4329</v>
      </c>
      <c r="E2240" s="54"/>
      <c r="F2240" s="52" t="str">
        <f>IF(INDEX(I.CCUS.StartRange,168)="","",INDEX(I.CCUS.StartRange,168))</f>
        <v/>
      </c>
      <c r="G2240" s="54"/>
      <c r="H2240" s="52" t="str">
        <f>IF(AND(I.Compliance.FulfilledCCUS&gt;0,I.CCUS.RangeCount&gt;=168,F2240=""),"Incomplete","Complete")</f>
        <v>Complete</v>
      </c>
      <c r="I2240" s="55" t="s">
        <v>2437</v>
      </c>
    </row>
    <row r="2241" spans="2:9" ht="15" customHeight="1" x14ac:dyDescent="0.25">
      <c r="B2241" s="51" t="s">
        <v>126</v>
      </c>
      <c r="C2241" s="52">
        <v>169</v>
      </c>
      <c r="D2241" s="53" t="s">
        <v>4329</v>
      </c>
      <c r="E2241" s="54"/>
      <c r="F2241" s="52" t="str">
        <f>IF(INDEX(I.CCUS.StartRange,169)="","",INDEX(I.CCUS.StartRange,169))</f>
        <v/>
      </c>
      <c r="G2241" s="54"/>
      <c r="H2241" s="52" t="str">
        <f>IF(AND(I.Compliance.FulfilledCCUS&gt;0,I.CCUS.RangeCount&gt;=169,F2241=""),"Incomplete","Complete")</f>
        <v>Complete</v>
      </c>
      <c r="I2241" s="55" t="s">
        <v>2438</v>
      </c>
    </row>
    <row r="2242" spans="2:9" ht="15" customHeight="1" x14ac:dyDescent="0.25">
      <c r="B2242" s="51" t="s">
        <v>126</v>
      </c>
      <c r="C2242" s="52">
        <v>170</v>
      </c>
      <c r="D2242" s="53" t="s">
        <v>4329</v>
      </c>
      <c r="E2242" s="54"/>
      <c r="F2242" s="52" t="str">
        <f>IF(INDEX(I.CCUS.StartRange,170)="","",INDEX(I.CCUS.StartRange,170))</f>
        <v/>
      </c>
      <c r="G2242" s="54"/>
      <c r="H2242" s="52" t="str">
        <f>IF(AND(I.Compliance.FulfilledCCUS&gt;0,I.CCUS.RangeCount&gt;=170,F2242=""),"Incomplete","Complete")</f>
        <v>Complete</v>
      </c>
      <c r="I2242" s="55" t="s">
        <v>2439</v>
      </c>
    </row>
    <row r="2243" spans="2:9" ht="15" customHeight="1" x14ac:dyDescent="0.25">
      <c r="B2243" s="51" t="s">
        <v>126</v>
      </c>
      <c r="C2243" s="52">
        <v>171</v>
      </c>
      <c r="D2243" s="53" t="s">
        <v>4329</v>
      </c>
      <c r="E2243" s="54"/>
      <c r="F2243" s="52" t="str">
        <f>IF(INDEX(I.CCUS.StartRange,171)="","",INDEX(I.CCUS.StartRange,171))</f>
        <v/>
      </c>
      <c r="G2243" s="54"/>
      <c r="H2243" s="52" t="str">
        <f>IF(AND(I.Compliance.FulfilledCCUS&gt;0,I.CCUS.RangeCount&gt;=171,F2243=""),"Incomplete","Complete")</f>
        <v>Complete</v>
      </c>
      <c r="I2243" s="55" t="s">
        <v>2440</v>
      </c>
    </row>
    <row r="2244" spans="2:9" ht="15" customHeight="1" x14ac:dyDescent="0.25">
      <c r="B2244" s="51" t="s">
        <v>126</v>
      </c>
      <c r="C2244" s="52">
        <v>172</v>
      </c>
      <c r="D2244" s="53" t="s">
        <v>4329</v>
      </c>
      <c r="E2244" s="54"/>
      <c r="F2244" s="52" t="str">
        <f>IF(INDEX(I.CCUS.StartRange,172)="","",INDEX(I.CCUS.StartRange,172))</f>
        <v/>
      </c>
      <c r="G2244" s="54"/>
      <c r="H2244" s="52" t="str">
        <f>IF(AND(I.Compliance.FulfilledCCUS&gt;0,I.CCUS.RangeCount&gt;=172,F2244=""),"Incomplete","Complete")</f>
        <v>Complete</v>
      </c>
      <c r="I2244" s="55" t="s">
        <v>2441</v>
      </c>
    </row>
    <row r="2245" spans="2:9" ht="15" customHeight="1" x14ac:dyDescent="0.25">
      <c r="B2245" s="51" t="s">
        <v>126</v>
      </c>
      <c r="C2245" s="52">
        <v>173</v>
      </c>
      <c r="D2245" s="53" t="s">
        <v>4329</v>
      </c>
      <c r="E2245" s="54"/>
      <c r="F2245" s="52" t="str">
        <f>IF(INDEX(I.CCUS.StartRange,173)="","",INDEX(I.CCUS.StartRange,173))</f>
        <v/>
      </c>
      <c r="G2245" s="54"/>
      <c r="H2245" s="52" t="str">
        <f>IF(AND(I.Compliance.FulfilledCCUS&gt;0,I.CCUS.RangeCount&gt;=173,F2245=""),"Incomplete","Complete")</f>
        <v>Complete</v>
      </c>
      <c r="I2245" s="55" t="s">
        <v>2442</v>
      </c>
    </row>
    <row r="2246" spans="2:9" ht="15" customHeight="1" x14ac:dyDescent="0.25">
      <c r="B2246" s="51" t="s">
        <v>126</v>
      </c>
      <c r="C2246" s="52">
        <v>174</v>
      </c>
      <c r="D2246" s="53" t="s">
        <v>4329</v>
      </c>
      <c r="E2246" s="54"/>
      <c r="F2246" s="52" t="str">
        <f>IF(INDEX(I.CCUS.StartRange,174)="","",INDEX(I.CCUS.StartRange,174))</f>
        <v/>
      </c>
      <c r="G2246" s="54"/>
      <c r="H2246" s="52" t="str">
        <f>IF(AND(I.Compliance.FulfilledCCUS&gt;0,I.CCUS.RangeCount&gt;=174,F2246=""),"Incomplete","Complete")</f>
        <v>Complete</v>
      </c>
      <c r="I2246" s="55" t="s">
        <v>2443</v>
      </c>
    </row>
    <row r="2247" spans="2:9" ht="15" customHeight="1" x14ac:dyDescent="0.25">
      <c r="B2247" s="51" t="s">
        <v>126</v>
      </c>
      <c r="C2247" s="52">
        <v>175</v>
      </c>
      <c r="D2247" s="53" t="s">
        <v>4329</v>
      </c>
      <c r="E2247" s="54"/>
      <c r="F2247" s="52" t="str">
        <f>IF(INDEX(I.CCUS.StartRange,175)="","",INDEX(I.CCUS.StartRange,175))</f>
        <v/>
      </c>
      <c r="G2247" s="54"/>
      <c r="H2247" s="52" t="str">
        <f>IF(AND(I.Compliance.FulfilledCCUS&gt;0,I.CCUS.RangeCount&gt;=175,F2247=""),"Incomplete","Complete")</f>
        <v>Complete</v>
      </c>
      <c r="I2247" s="55" t="s">
        <v>2444</v>
      </c>
    </row>
    <row r="2248" spans="2:9" ht="15" customHeight="1" x14ac:dyDescent="0.25">
      <c r="B2248" s="51" t="s">
        <v>126</v>
      </c>
      <c r="C2248" s="52">
        <v>176</v>
      </c>
      <c r="D2248" s="53" t="s">
        <v>4329</v>
      </c>
      <c r="E2248" s="54"/>
      <c r="F2248" s="52" t="str">
        <f>IF(INDEX(I.CCUS.StartRange,176)="","",INDEX(I.CCUS.StartRange,176))</f>
        <v/>
      </c>
      <c r="G2248" s="54"/>
      <c r="H2248" s="52" t="str">
        <f>IF(AND(I.Compliance.FulfilledCCUS&gt;0,I.CCUS.RangeCount&gt;=176,F2248=""),"Incomplete","Complete")</f>
        <v>Complete</v>
      </c>
      <c r="I2248" s="55" t="s">
        <v>2445</v>
      </c>
    </row>
    <row r="2249" spans="2:9" ht="15" customHeight="1" x14ac:dyDescent="0.25">
      <c r="B2249" s="51" t="s">
        <v>126</v>
      </c>
      <c r="C2249" s="52">
        <v>177</v>
      </c>
      <c r="D2249" s="53" t="s">
        <v>4329</v>
      </c>
      <c r="E2249" s="54"/>
      <c r="F2249" s="52" t="str">
        <f>IF(INDEX(I.CCUS.StartRange,177)="","",INDEX(I.CCUS.StartRange,177))</f>
        <v/>
      </c>
      <c r="G2249" s="54"/>
      <c r="H2249" s="52" t="str">
        <f>IF(AND(I.Compliance.FulfilledCCUS&gt;0,I.CCUS.RangeCount&gt;=177,F2249=""),"Incomplete","Complete")</f>
        <v>Complete</v>
      </c>
      <c r="I2249" s="55" t="s">
        <v>2446</v>
      </c>
    </row>
    <row r="2250" spans="2:9" ht="15" customHeight="1" x14ac:dyDescent="0.25">
      <c r="B2250" s="51" t="s">
        <v>126</v>
      </c>
      <c r="C2250" s="52">
        <v>178</v>
      </c>
      <c r="D2250" s="53" t="s">
        <v>4329</v>
      </c>
      <c r="E2250" s="54"/>
      <c r="F2250" s="52" t="str">
        <f>IF(INDEX(I.CCUS.StartRange,178)="","",INDEX(I.CCUS.StartRange,178))</f>
        <v/>
      </c>
      <c r="G2250" s="54"/>
      <c r="H2250" s="52" t="str">
        <f>IF(AND(I.Compliance.FulfilledCCUS&gt;0,I.CCUS.RangeCount&gt;=178,F2250=""),"Incomplete","Complete")</f>
        <v>Complete</v>
      </c>
      <c r="I2250" s="55" t="s">
        <v>2447</v>
      </c>
    </row>
    <row r="2251" spans="2:9" ht="15" customHeight="1" x14ac:dyDescent="0.25">
      <c r="B2251" s="51" t="s">
        <v>126</v>
      </c>
      <c r="C2251" s="52">
        <v>179</v>
      </c>
      <c r="D2251" s="53" t="s">
        <v>4329</v>
      </c>
      <c r="E2251" s="54"/>
      <c r="F2251" s="52" t="str">
        <f>IF(INDEX(I.CCUS.StartRange,179)="","",INDEX(I.CCUS.StartRange,179))</f>
        <v/>
      </c>
      <c r="G2251" s="54"/>
      <c r="H2251" s="52" t="str">
        <f>IF(AND(I.Compliance.FulfilledCCUS&gt;0,I.CCUS.RangeCount&gt;=179,F2251=""),"Incomplete","Complete")</f>
        <v>Complete</v>
      </c>
      <c r="I2251" s="55" t="s">
        <v>2448</v>
      </c>
    </row>
    <row r="2252" spans="2:9" ht="15" customHeight="1" x14ac:dyDescent="0.25">
      <c r="B2252" s="51" t="s">
        <v>126</v>
      </c>
      <c r="C2252" s="52">
        <v>180</v>
      </c>
      <c r="D2252" s="53" t="s">
        <v>4329</v>
      </c>
      <c r="E2252" s="54"/>
      <c r="F2252" s="52" t="str">
        <f>IF(INDEX(I.CCUS.StartRange,180)="","",INDEX(I.CCUS.StartRange,180))</f>
        <v/>
      </c>
      <c r="G2252" s="54"/>
      <c r="H2252" s="52" t="str">
        <f>IF(AND(I.Compliance.FulfilledCCUS&gt;0,I.CCUS.RangeCount&gt;=180,F2252=""),"Incomplete","Complete")</f>
        <v>Complete</v>
      </c>
      <c r="I2252" s="55" t="s">
        <v>2449</v>
      </c>
    </row>
    <row r="2253" spans="2:9" ht="15" customHeight="1" x14ac:dyDescent="0.25">
      <c r="B2253" s="51" t="s">
        <v>126</v>
      </c>
      <c r="C2253" s="52">
        <v>181</v>
      </c>
      <c r="D2253" s="53" t="s">
        <v>4329</v>
      </c>
      <c r="E2253" s="54"/>
      <c r="F2253" s="52" t="str">
        <f>IF(INDEX(I.CCUS.StartRange,181)="","",INDEX(I.CCUS.StartRange,181))</f>
        <v/>
      </c>
      <c r="G2253" s="54"/>
      <c r="H2253" s="52" t="str">
        <f>IF(AND(I.Compliance.FulfilledCCUS&gt;0,I.CCUS.RangeCount&gt;=181,F2253=""),"Incomplete","Complete")</f>
        <v>Complete</v>
      </c>
      <c r="I2253" s="55" t="s">
        <v>2450</v>
      </c>
    </row>
    <row r="2254" spans="2:9" ht="15" customHeight="1" x14ac:dyDescent="0.25">
      <c r="B2254" s="51" t="s">
        <v>126</v>
      </c>
      <c r="C2254" s="52">
        <v>182</v>
      </c>
      <c r="D2254" s="53" t="s">
        <v>4329</v>
      </c>
      <c r="E2254" s="54"/>
      <c r="F2254" s="52" t="str">
        <f>IF(INDEX(I.CCUS.StartRange,182)="","",INDEX(I.CCUS.StartRange,182))</f>
        <v/>
      </c>
      <c r="G2254" s="54"/>
      <c r="H2254" s="52" t="str">
        <f>IF(AND(I.Compliance.FulfilledCCUS&gt;0,I.CCUS.RangeCount&gt;=182,F2254=""),"Incomplete","Complete")</f>
        <v>Complete</v>
      </c>
      <c r="I2254" s="55" t="s">
        <v>2451</v>
      </c>
    </row>
    <row r="2255" spans="2:9" ht="15" customHeight="1" x14ac:dyDescent="0.25">
      <c r="B2255" s="51" t="s">
        <v>126</v>
      </c>
      <c r="C2255" s="52">
        <v>183</v>
      </c>
      <c r="D2255" s="53" t="s">
        <v>4329</v>
      </c>
      <c r="E2255" s="54"/>
      <c r="F2255" s="52" t="str">
        <f>IF(INDEX(I.CCUS.StartRange,183)="","",INDEX(I.CCUS.StartRange,183))</f>
        <v/>
      </c>
      <c r="G2255" s="54"/>
      <c r="H2255" s="52" t="str">
        <f>IF(AND(I.Compliance.FulfilledCCUS&gt;0,I.CCUS.RangeCount&gt;=183,F2255=""),"Incomplete","Complete")</f>
        <v>Complete</v>
      </c>
      <c r="I2255" s="55" t="s">
        <v>2452</v>
      </c>
    </row>
    <row r="2256" spans="2:9" ht="15" customHeight="1" x14ac:dyDescent="0.25">
      <c r="B2256" s="51" t="s">
        <v>126</v>
      </c>
      <c r="C2256" s="52">
        <v>184</v>
      </c>
      <c r="D2256" s="53" t="s">
        <v>4329</v>
      </c>
      <c r="E2256" s="54"/>
      <c r="F2256" s="52" t="str">
        <f>IF(INDEX(I.CCUS.StartRange,184)="","",INDEX(I.CCUS.StartRange,184))</f>
        <v/>
      </c>
      <c r="G2256" s="54"/>
      <c r="H2256" s="52" t="str">
        <f>IF(AND(I.Compliance.FulfilledCCUS&gt;0,I.CCUS.RangeCount&gt;=184,F2256=""),"Incomplete","Complete")</f>
        <v>Complete</v>
      </c>
      <c r="I2256" s="55" t="s">
        <v>2453</v>
      </c>
    </row>
    <row r="2257" spans="2:9" ht="15" customHeight="1" x14ac:dyDescent="0.25">
      <c r="B2257" s="51" t="s">
        <v>126</v>
      </c>
      <c r="C2257" s="52">
        <v>185</v>
      </c>
      <c r="D2257" s="53" t="s">
        <v>4329</v>
      </c>
      <c r="E2257" s="54"/>
      <c r="F2257" s="52" t="str">
        <f>IF(INDEX(I.CCUS.StartRange,185)="","",INDEX(I.CCUS.StartRange,185))</f>
        <v/>
      </c>
      <c r="G2257" s="54"/>
      <c r="H2257" s="52" t="str">
        <f>IF(AND(I.Compliance.FulfilledCCUS&gt;0,I.CCUS.RangeCount&gt;=185,F2257=""),"Incomplete","Complete")</f>
        <v>Complete</v>
      </c>
      <c r="I2257" s="55" t="s">
        <v>2454</v>
      </c>
    </row>
    <row r="2258" spans="2:9" ht="15" customHeight="1" x14ac:dyDescent="0.25">
      <c r="B2258" s="51" t="s">
        <v>126</v>
      </c>
      <c r="C2258" s="52">
        <v>186</v>
      </c>
      <c r="D2258" s="53" t="s">
        <v>4329</v>
      </c>
      <c r="E2258" s="54"/>
      <c r="F2258" s="52" t="str">
        <f>IF(INDEX(I.CCUS.StartRange,186)="","",INDEX(I.CCUS.StartRange,186))</f>
        <v/>
      </c>
      <c r="G2258" s="54"/>
      <c r="H2258" s="52" t="str">
        <f>IF(AND(I.Compliance.FulfilledCCUS&gt;0,I.CCUS.RangeCount&gt;=186,F2258=""),"Incomplete","Complete")</f>
        <v>Complete</v>
      </c>
      <c r="I2258" s="55" t="s">
        <v>2455</v>
      </c>
    </row>
    <row r="2259" spans="2:9" ht="15" customHeight="1" x14ac:dyDescent="0.25">
      <c r="B2259" s="51" t="s">
        <v>126</v>
      </c>
      <c r="C2259" s="52">
        <v>187</v>
      </c>
      <c r="D2259" s="53" t="s">
        <v>4329</v>
      </c>
      <c r="E2259" s="54"/>
      <c r="F2259" s="52" t="str">
        <f>IF(INDEX(I.CCUS.StartRange,187)="","",INDEX(I.CCUS.StartRange,187))</f>
        <v/>
      </c>
      <c r="G2259" s="54"/>
      <c r="H2259" s="52" t="str">
        <f>IF(AND(I.Compliance.FulfilledCCUS&gt;0,I.CCUS.RangeCount&gt;=187,F2259=""),"Incomplete","Complete")</f>
        <v>Complete</v>
      </c>
      <c r="I2259" s="55" t="s">
        <v>2456</v>
      </c>
    </row>
    <row r="2260" spans="2:9" ht="15" customHeight="1" x14ac:dyDescent="0.25">
      <c r="B2260" s="51" t="s">
        <v>126</v>
      </c>
      <c r="C2260" s="52">
        <v>188</v>
      </c>
      <c r="D2260" s="53" t="s">
        <v>4329</v>
      </c>
      <c r="E2260" s="54"/>
      <c r="F2260" s="52" t="str">
        <f>IF(INDEX(I.CCUS.StartRange,188)="","",INDEX(I.CCUS.StartRange,188))</f>
        <v/>
      </c>
      <c r="G2260" s="54"/>
      <c r="H2260" s="52" t="str">
        <f>IF(AND(I.Compliance.FulfilledCCUS&gt;0,I.CCUS.RangeCount&gt;=188,F2260=""),"Incomplete","Complete")</f>
        <v>Complete</v>
      </c>
      <c r="I2260" s="55" t="s">
        <v>2457</v>
      </c>
    </row>
    <row r="2261" spans="2:9" ht="15" customHeight="1" x14ac:dyDescent="0.25">
      <c r="B2261" s="51" t="s">
        <v>126</v>
      </c>
      <c r="C2261" s="52">
        <v>189</v>
      </c>
      <c r="D2261" s="53" t="s">
        <v>4329</v>
      </c>
      <c r="E2261" s="54"/>
      <c r="F2261" s="52" t="str">
        <f>IF(INDEX(I.CCUS.StartRange,189)="","",INDEX(I.CCUS.StartRange,189))</f>
        <v/>
      </c>
      <c r="G2261" s="54"/>
      <c r="H2261" s="52" t="str">
        <f>IF(AND(I.Compliance.FulfilledCCUS&gt;0,I.CCUS.RangeCount&gt;=189,F2261=""),"Incomplete","Complete")</f>
        <v>Complete</v>
      </c>
      <c r="I2261" s="55" t="s">
        <v>2458</v>
      </c>
    </row>
    <row r="2262" spans="2:9" ht="15" customHeight="1" x14ac:dyDescent="0.25">
      <c r="B2262" s="51" t="s">
        <v>126</v>
      </c>
      <c r="C2262" s="52">
        <v>190</v>
      </c>
      <c r="D2262" s="53" t="s">
        <v>4329</v>
      </c>
      <c r="E2262" s="54"/>
      <c r="F2262" s="52" t="str">
        <f>IF(INDEX(I.CCUS.StartRange,190)="","",INDEX(I.CCUS.StartRange,190))</f>
        <v/>
      </c>
      <c r="G2262" s="54"/>
      <c r="H2262" s="52" t="str">
        <f>IF(AND(I.Compliance.FulfilledCCUS&gt;0,I.CCUS.RangeCount&gt;=190,F2262=""),"Incomplete","Complete")</f>
        <v>Complete</v>
      </c>
      <c r="I2262" s="55" t="s">
        <v>2459</v>
      </c>
    </row>
    <row r="2263" spans="2:9" ht="15" customHeight="1" x14ac:dyDescent="0.25">
      <c r="B2263" s="51" t="s">
        <v>126</v>
      </c>
      <c r="C2263" s="52">
        <v>191</v>
      </c>
      <c r="D2263" s="53" t="s">
        <v>4329</v>
      </c>
      <c r="E2263" s="54"/>
      <c r="F2263" s="52" t="str">
        <f>IF(INDEX(I.CCUS.StartRange,191)="","",INDEX(I.CCUS.StartRange,191))</f>
        <v/>
      </c>
      <c r="G2263" s="54"/>
      <c r="H2263" s="52" t="str">
        <f>IF(AND(I.Compliance.FulfilledCCUS&gt;0,I.CCUS.RangeCount&gt;=191,F2263=""),"Incomplete","Complete")</f>
        <v>Complete</v>
      </c>
      <c r="I2263" s="55" t="s">
        <v>2460</v>
      </c>
    </row>
    <row r="2264" spans="2:9" ht="15" customHeight="1" x14ac:dyDescent="0.25">
      <c r="B2264" s="51" t="s">
        <v>126</v>
      </c>
      <c r="C2264" s="52">
        <v>192</v>
      </c>
      <c r="D2264" s="53" t="s">
        <v>4329</v>
      </c>
      <c r="E2264" s="54"/>
      <c r="F2264" s="52" t="str">
        <f>IF(INDEX(I.CCUS.StartRange,192)="","",INDEX(I.CCUS.StartRange,192))</f>
        <v/>
      </c>
      <c r="G2264" s="54"/>
      <c r="H2264" s="52" t="str">
        <f>IF(AND(I.Compliance.FulfilledCCUS&gt;0,I.CCUS.RangeCount&gt;=192,F2264=""),"Incomplete","Complete")</f>
        <v>Complete</v>
      </c>
      <c r="I2264" s="55" t="s">
        <v>2461</v>
      </c>
    </row>
    <row r="2265" spans="2:9" ht="15" customHeight="1" x14ac:dyDescent="0.25">
      <c r="B2265" s="51" t="s">
        <v>126</v>
      </c>
      <c r="C2265" s="52">
        <v>193</v>
      </c>
      <c r="D2265" s="53" t="s">
        <v>4329</v>
      </c>
      <c r="E2265" s="54"/>
      <c r="F2265" s="52" t="str">
        <f>IF(INDEX(I.CCUS.StartRange,193)="","",INDEX(I.CCUS.StartRange,193))</f>
        <v/>
      </c>
      <c r="G2265" s="54"/>
      <c r="H2265" s="52" t="str">
        <f>IF(AND(I.Compliance.FulfilledCCUS&gt;0,I.CCUS.RangeCount&gt;=193,F2265=""),"Incomplete","Complete")</f>
        <v>Complete</v>
      </c>
      <c r="I2265" s="55" t="s">
        <v>2462</v>
      </c>
    </row>
    <row r="2266" spans="2:9" ht="15" customHeight="1" x14ac:dyDescent="0.25">
      <c r="B2266" s="51" t="s">
        <v>126</v>
      </c>
      <c r="C2266" s="52">
        <v>194</v>
      </c>
      <c r="D2266" s="53" t="s">
        <v>4329</v>
      </c>
      <c r="E2266" s="54"/>
      <c r="F2266" s="52" t="str">
        <f>IF(INDEX(I.CCUS.StartRange,194)="","",INDEX(I.CCUS.StartRange,194))</f>
        <v/>
      </c>
      <c r="G2266" s="54"/>
      <c r="H2266" s="52" t="str">
        <f>IF(AND(I.Compliance.FulfilledCCUS&gt;0,I.CCUS.RangeCount&gt;=194,F2266=""),"Incomplete","Complete")</f>
        <v>Complete</v>
      </c>
      <c r="I2266" s="55" t="s">
        <v>2463</v>
      </c>
    </row>
    <row r="2267" spans="2:9" ht="15" customHeight="1" x14ac:dyDescent="0.25">
      <c r="B2267" s="51" t="s">
        <v>126</v>
      </c>
      <c r="C2267" s="52">
        <v>195</v>
      </c>
      <c r="D2267" s="53" t="s">
        <v>4329</v>
      </c>
      <c r="E2267" s="54"/>
      <c r="F2267" s="52" t="str">
        <f>IF(INDEX(I.CCUS.StartRange,195)="","",INDEX(I.CCUS.StartRange,195))</f>
        <v/>
      </c>
      <c r="G2267" s="54"/>
      <c r="H2267" s="52" t="str">
        <f>IF(AND(I.Compliance.FulfilledCCUS&gt;0,I.CCUS.RangeCount&gt;=195,F2267=""),"Incomplete","Complete")</f>
        <v>Complete</v>
      </c>
      <c r="I2267" s="55" t="s">
        <v>2464</v>
      </c>
    </row>
    <row r="2268" spans="2:9" ht="15" customHeight="1" x14ac:dyDescent="0.25">
      <c r="B2268" s="51" t="s">
        <v>126</v>
      </c>
      <c r="C2268" s="52">
        <v>196</v>
      </c>
      <c r="D2268" s="53" t="s">
        <v>4329</v>
      </c>
      <c r="E2268" s="54"/>
      <c r="F2268" s="52" t="str">
        <f>IF(INDEX(I.CCUS.StartRange,196)="","",INDEX(I.CCUS.StartRange,196))</f>
        <v/>
      </c>
      <c r="G2268" s="54"/>
      <c r="H2268" s="52" t="str">
        <f>IF(AND(I.Compliance.FulfilledCCUS&gt;0,I.CCUS.RangeCount&gt;=196,F2268=""),"Incomplete","Complete")</f>
        <v>Complete</v>
      </c>
      <c r="I2268" s="55" t="s">
        <v>2465</v>
      </c>
    </row>
    <row r="2269" spans="2:9" ht="15" customHeight="1" x14ac:dyDescent="0.25">
      <c r="B2269" s="51" t="s">
        <v>126</v>
      </c>
      <c r="C2269" s="52">
        <v>197</v>
      </c>
      <c r="D2269" s="53" t="s">
        <v>4329</v>
      </c>
      <c r="E2269" s="54"/>
      <c r="F2269" s="52" t="str">
        <f>IF(INDEX(I.CCUS.StartRange,197)="","",INDEX(I.CCUS.StartRange,197))</f>
        <v/>
      </c>
      <c r="G2269" s="54"/>
      <c r="H2269" s="52" t="str">
        <f>IF(AND(I.Compliance.FulfilledCCUS&gt;0,I.CCUS.RangeCount&gt;=197,F2269=""),"Incomplete","Complete")</f>
        <v>Complete</v>
      </c>
      <c r="I2269" s="55" t="s">
        <v>2466</v>
      </c>
    </row>
    <row r="2270" spans="2:9" ht="15" customHeight="1" x14ac:dyDescent="0.25">
      <c r="B2270" s="51" t="s">
        <v>126</v>
      </c>
      <c r="C2270" s="52">
        <v>198</v>
      </c>
      <c r="D2270" s="53" t="s">
        <v>4329</v>
      </c>
      <c r="E2270" s="54"/>
      <c r="F2270" s="52" t="str">
        <f>IF(INDEX(I.CCUS.StartRange,198)="","",INDEX(I.CCUS.StartRange,198))</f>
        <v/>
      </c>
      <c r="G2270" s="54"/>
      <c r="H2270" s="52" t="str">
        <f>IF(AND(I.Compliance.FulfilledCCUS&gt;0,I.CCUS.RangeCount&gt;=198,F2270=""),"Incomplete","Complete")</f>
        <v>Complete</v>
      </c>
      <c r="I2270" s="55" t="s">
        <v>2467</v>
      </c>
    </row>
    <row r="2271" spans="2:9" ht="15" customHeight="1" x14ac:dyDescent="0.25">
      <c r="B2271" s="51" t="s">
        <v>126</v>
      </c>
      <c r="C2271" s="52">
        <v>199</v>
      </c>
      <c r="D2271" s="53" t="s">
        <v>4329</v>
      </c>
      <c r="E2271" s="54"/>
      <c r="F2271" s="52" t="str">
        <f>IF(INDEX(I.CCUS.StartRange,199)="","",INDEX(I.CCUS.StartRange,199))</f>
        <v/>
      </c>
      <c r="G2271" s="54"/>
      <c r="H2271" s="52" t="str">
        <f>IF(AND(I.Compliance.FulfilledCCUS&gt;0,I.CCUS.RangeCount&gt;=199,F2271=""),"Incomplete","Complete")</f>
        <v>Complete</v>
      </c>
      <c r="I2271" s="55" t="s">
        <v>2468</v>
      </c>
    </row>
    <row r="2272" spans="2:9" ht="15" customHeight="1" x14ac:dyDescent="0.25">
      <c r="B2272" s="51" t="s">
        <v>126</v>
      </c>
      <c r="C2272" s="52">
        <v>200</v>
      </c>
      <c r="D2272" s="53" t="s">
        <v>4329</v>
      </c>
      <c r="E2272" s="54"/>
      <c r="F2272" s="52" t="str">
        <f>IF(INDEX(I.CCUS.StartRange,200)="","",INDEX(I.CCUS.StartRange,200))</f>
        <v/>
      </c>
      <c r="G2272" s="54"/>
      <c r="H2272" s="52" t="str">
        <f>IF(AND(I.Compliance.FulfilledCCUS&gt;0,I.CCUS.RangeCount&gt;=200,F2272=""),"Incomplete","Complete")</f>
        <v>Complete</v>
      </c>
      <c r="I2272" s="55" t="s">
        <v>2469</v>
      </c>
    </row>
    <row r="2273" spans="2:9" ht="15" customHeight="1" x14ac:dyDescent="0.25">
      <c r="B2273" s="51" t="s">
        <v>126</v>
      </c>
      <c r="C2273" s="52">
        <v>201</v>
      </c>
      <c r="D2273" s="53" t="s">
        <v>4329</v>
      </c>
      <c r="E2273" s="54"/>
      <c r="F2273" s="52" t="str">
        <f>IF(INDEX(I.CCUS.StartRange,201)="","",INDEX(I.CCUS.StartRange,201))</f>
        <v/>
      </c>
      <c r="G2273" s="54"/>
      <c r="H2273" s="52" t="str">
        <f>IF(AND(I.Compliance.FulfilledCCUS&gt;0,I.CCUS.RangeCount&gt;=201,F2273=""),"Incomplete","Complete")</f>
        <v>Complete</v>
      </c>
      <c r="I2273" s="55" t="s">
        <v>2470</v>
      </c>
    </row>
    <row r="2274" spans="2:9" ht="15" customHeight="1" x14ac:dyDescent="0.25">
      <c r="B2274" s="51" t="s">
        <v>126</v>
      </c>
      <c r="C2274" s="52">
        <v>202</v>
      </c>
      <c r="D2274" s="53" t="s">
        <v>4329</v>
      </c>
      <c r="E2274" s="54"/>
      <c r="F2274" s="52" t="str">
        <f>IF(INDEX(I.CCUS.StartRange,202)="","",INDEX(I.CCUS.StartRange,202))</f>
        <v/>
      </c>
      <c r="G2274" s="54"/>
      <c r="H2274" s="52" t="str">
        <f>IF(AND(I.Compliance.FulfilledCCUS&gt;0,I.CCUS.RangeCount&gt;=202,F2274=""),"Incomplete","Complete")</f>
        <v>Complete</v>
      </c>
      <c r="I2274" s="55" t="s">
        <v>2471</v>
      </c>
    </row>
    <row r="2275" spans="2:9" ht="15" customHeight="1" x14ac:dyDescent="0.25">
      <c r="B2275" s="51" t="s">
        <v>126</v>
      </c>
      <c r="C2275" s="52">
        <v>203</v>
      </c>
      <c r="D2275" s="53" t="s">
        <v>4329</v>
      </c>
      <c r="E2275" s="54"/>
      <c r="F2275" s="52" t="str">
        <f>IF(INDEX(I.CCUS.StartRange,203)="","",INDEX(I.CCUS.StartRange,203))</f>
        <v/>
      </c>
      <c r="G2275" s="54"/>
      <c r="H2275" s="52" t="str">
        <f>IF(AND(I.Compliance.FulfilledCCUS&gt;0,I.CCUS.RangeCount&gt;=203,F2275=""),"Incomplete","Complete")</f>
        <v>Complete</v>
      </c>
      <c r="I2275" s="55" t="s">
        <v>2472</v>
      </c>
    </row>
    <row r="2276" spans="2:9" ht="15" customHeight="1" x14ac:dyDescent="0.25">
      <c r="B2276" s="51" t="s">
        <v>126</v>
      </c>
      <c r="C2276" s="52">
        <v>204</v>
      </c>
      <c r="D2276" s="53" t="s">
        <v>4329</v>
      </c>
      <c r="E2276" s="54"/>
      <c r="F2276" s="52" t="str">
        <f>IF(INDEX(I.CCUS.StartRange,204)="","",INDEX(I.CCUS.StartRange,204))</f>
        <v/>
      </c>
      <c r="G2276" s="54"/>
      <c r="H2276" s="52" t="str">
        <f>IF(AND(I.Compliance.FulfilledCCUS&gt;0,I.CCUS.RangeCount&gt;=204,F2276=""),"Incomplete","Complete")</f>
        <v>Complete</v>
      </c>
      <c r="I2276" s="55" t="s">
        <v>2473</v>
      </c>
    </row>
    <row r="2277" spans="2:9" ht="15" customHeight="1" x14ac:dyDescent="0.25">
      <c r="B2277" s="51" t="s">
        <v>126</v>
      </c>
      <c r="C2277" s="52">
        <v>205</v>
      </c>
      <c r="D2277" s="53" t="s">
        <v>4329</v>
      </c>
      <c r="E2277" s="54"/>
      <c r="F2277" s="52" t="str">
        <f>IF(INDEX(I.CCUS.StartRange,205)="","",INDEX(I.CCUS.StartRange,205))</f>
        <v/>
      </c>
      <c r="G2277" s="54"/>
      <c r="H2277" s="52" t="str">
        <f>IF(AND(I.Compliance.FulfilledCCUS&gt;0,I.CCUS.RangeCount&gt;=205,F2277=""),"Incomplete","Complete")</f>
        <v>Complete</v>
      </c>
      <c r="I2277" s="55" t="s">
        <v>2474</v>
      </c>
    </row>
    <row r="2278" spans="2:9" ht="15" customHeight="1" x14ac:dyDescent="0.25">
      <c r="B2278" s="51" t="s">
        <v>126</v>
      </c>
      <c r="C2278" s="52">
        <v>206</v>
      </c>
      <c r="D2278" s="53" t="s">
        <v>4329</v>
      </c>
      <c r="E2278" s="54"/>
      <c r="F2278" s="52" t="str">
        <f>IF(INDEX(I.CCUS.StartRange,206)="","",INDEX(I.CCUS.StartRange,206))</f>
        <v/>
      </c>
      <c r="G2278" s="54"/>
      <c r="H2278" s="52" t="str">
        <f>IF(AND(I.Compliance.FulfilledCCUS&gt;0,I.CCUS.RangeCount&gt;=206,F2278=""),"Incomplete","Complete")</f>
        <v>Complete</v>
      </c>
      <c r="I2278" s="55" t="s">
        <v>2475</v>
      </c>
    </row>
    <row r="2279" spans="2:9" ht="15" customHeight="1" x14ac:dyDescent="0.25">
      <c r="B2279" s="51" t="s">
        <v>126</v>
      </c>
      <c r="C2279" s="52">
        <v>207</v>
      </c>
      <c r="D2279" s="53" t="s">
        <v>4329</v>
      </c>
      <c r="E2279" s="54"/>
      <c r="F2279" s="52" t="str">
        <f>IF(INDEX(I.CCUS.StartRange,207)="","",INDEX(I.CCUS.StartRange,207))</f>
        <v/>
      </c>
      <c r="G2279" s="54"/>
      <c r="H2279" s="52" t="str">
        <f>IF(AND(I.Compliance.FulfilledCCUS&gt;0,I.CCUS.RangeCount&gt;=207,F2279=""),"Incomplete","Complete")</f>
        <v>Complete</v>
      </c>
      <c r="I2279" s="55" t="s">
        <v>2476</v>
      </c>
    </row>
    <row r="2280" spans="2:9" ht="15" customHeight="1" x14ac:dyDescent="0.25">
      <c r="B2280" s="51" t="s">
        <v>126</v>
      </c>
      <c r="C2280" s="52">
        <v>208</v>
      </c>
      <c r="D2280" s="53" t="s">
        <v>4329</v>
      </c>
      <c r="E2280" s="54"/>
      <c r="F2280" s="52" t="str">
        <f>IF(INDEX(I.CCUS.StartRange,208)="","",INDEX(I.CCUS.StartRange,208))</f>
        <v/>
      </c>
      <c r="G2280" s="54"/>
      <c r="H2280" s="52" t="str">
        <f>IF(AND(I.Compliance.FulfilledCCUS&gt;0,I.CCUS.RangeCount&gt;=208,F2280=""),"Incomplete","Complete")</f>
        <v>Complete</v>
      </c>
      <c r="I2280" s="55" t="s">
        <v>2477</v>
      </c>
    </row>
    <row r="2281" spans="2:9" ht="15" customHeight="1" x14ac:dyDescent="0.25">
      <c r="B2281" s="51" t="s">
        <v>126</v>
      </c>
      <c r="C2281" s="52">
        <v>209</v>
      </c>
      <c r="D2281" s="53" t="s">
        <v>4329</v>
      </c>
      <c r="E2281" s="54"/>
      <c r="F2281" s="52" t="str">
        <f>IF(INDEX(I.CCUS.StartRange,209)="","",INDEX(I.CCUS.StartRange,209))</f>
        <v/>
      </c>
      <c r="G2281" s="54"/>
      <c r="H2281" s="52" t="str">
        <f>IF(AND(I.Compliance.FulfilledCCUS&gt;0,I.CCUS.RangeCount&gt;=209,F2281=""),"Incomplete","Complete")</f>
        <v>Complete</v>
      </c>
      <c r="I2281" s="55" t="s">
        <v>2478</v>
      </c>
    </row>
    <row r="2282" spans="2:9" ht="15" customHeight="1" x14ac:dyDescent="0.25">
      <c r="B2282" s="51" t="s">
        <v>126</v>
      </c>
      <c r="C2282" s="52">
        <v>210</v>
      </c>
      <c r="D2282" s="53" t="s">
        <v>4329</v>
      </c>
      <c r="E2282" s="54"/>
      <c r="F2282" s="52" t="str">
        <f>IF(INDEX(I.CCUS.StartRange,210)="","",INDEX(I.CCUS.StartRange,210))</f>
        <v/>
      </c>
      <c r="G2282" s="54"/>
      <c r="H2282" s="52" t="str">
        <f>IF(AND(I.Compliance.FulfilledCCUS&gt;0,I.CCUS.RangeCount&gt;=210,F2282=""),"Incomplete","Complete")</f>
        <v>Complete</v>
      </c>
      <c r="I2282" s="55" t="s">
        <v>2479</v>
      </c>
    </row>
    <row r="2283" spans="2:9" ht="15" customHeight="1" x14ac:dyDescent="0.25">
      <c r="B2283" s="51" t="s">
        <v>126</v>
      </c>
      <c r="C2283" s="52">
        <v>211</v>
      </c>
      <c r="D2283" s="53" t="s">
        <v>4329</v>
      </c>
      <c r="E2283" s="54"/>
      <c r="F2283" s="52" t="str">
        <f>IF(INDEX(I.CCUS.StartRange,211)="","",INDEX(I.CCUS.StartRange,211))</f>
        <v/>
      </c>
      <c r="G2283" s="54"/>
      <c r="H2283" s="52" t="str">
        <f>IF(AND(I.Compliance.FulfilledCCUS&gt;0,I.CCUS.RangeCount&gt;=211,F2283=""),"Incomplete","Complete")</f>
        <v>Complete</v>
      </c>
      <c r="I2283" s="55" t="s">
        <v>2480</v>
      </c>
    </row>
    <row r="2284" spans="2:9" ht="15" customHeight="1" x14ac:dyDescent="0.25">
      <c r="B2284" s="51" t="s">
        <v>126</v>
      </c>
      <c r="C2284" s="52">
        <v>212</v>
      </c>
      <c r="D2284" s="53" t="s">
        <v>4329</v>
      </c>
      <c r="E2284" s="54"/>
      <c r="F2284" s="52" t="str">
        <f>IF(INDEX(I.CCUS.StartRange,212)="","",INDEX(I.CCUS.StartRange,212))</f>
        <v/>
      </c>
      <c r="G2284" s="54"/>
      <c r="H2284" s="52" t="str">
        <f>IF(AND(I.Compliance.FulfilledCCUS&gt;0,I.CCUS.RangeCount&gt;=212,F2284=""),"Incomplete","Complete")</f>
        <v>Complete</v>
      </c>
      <c r="I2284" s="55" t="s">
        <v>2481</v>
      </c>
    </row>
    <row r="2285" spans="2:9" ht="15" customHeight="1" x14ac:dyDescent="0.25">
      <c r="B2285" s="51" t="s">
        <v>126</v>
      </c>
      <c r="C2285" s="52">
        <v>213</v>
      </c>
      <c r="D2285" s="53" t="s">
        <v>4329</v>
      </c>
      <c r="E2285" s="54"/>
      <c r="F2285" s="52" t="str">
        <f>IF(INDEX(I.CCUS.StartRange,213)="","",INDEX(I.CCUS.StartRange,213))</f>
        <v/>
      </c>
      <c r="G2285" s="54"/>
      <c r="H2285" s="52" t="str">
        <f>IF(AND(I.Compliance.FulfilledCCUS&gt;0,I.CCUS.RangeCount&gt;=213,F2285=""),"Incomplete","Complete")</f>
        <v>Complete</v>
      </c>
      <c r="I2285" s="55" t="s">
        <v>2482</v>
      </c>
    </row>
    <row r="2286" spans="2:9" ht="15" customHeight="1" x14ac:dyDescent="0.25">
      <c r="B2286" s="51" t="s">
        <v>126</v>
      </c>
      <c r="C2286" s="52">
        <v>214</v>
      </c>
      <c r="D2286" s="53" t="s">
        <v>4329</v>
      </c>
      <c r="E2286" s="54"/>
      <c r="F2286" s="52" t="str">
        <f>IF(INDEX(I.CCUS.StartRange,214)="","",INDEX(I.CCUS.StartRange,214))</f>
        <v/>
      </c>
      <c r="G2286" s="54"/>
      <c r="H2286" s="52" t="str">
        <f>IF(AND(I.Compliance.FulfilledCCUS&gt;0,I.CCUS.RangeCount&gt;=214,F2286=""),"Incomplete","Complete")</f>
        <v>Complete</v>
      </c>
      <c r="I2286" s="55" t="s">
        <v>2483</v>
      </c>
    </row>
    <row r="2287" spans="2:9" ht="15" customHeight="1" x14ac:dyDescent="0.25">
      <c r="B2287" s="51" t="s">
        <v>126</v>
      </c>
      <c r="C2287" s="52">
        <v>215</v>
      </c>
      <c r="D2287" s="53" t="s">
        <v>4329</v>
      </c>
      <c r="E2287" s="54"/>
      <c r="F2287" s="52" t="str">
        <f>IF(INDEX(I.CCUS.StartRange,215)="","",INDEX(I.CCUS.StartRange,215))</f>
        <v/>
      </c>
      <c r="G2287" s="54"/>
      <c r="H2287" s="52" t="str">
        <f>IF(AND(I.Compliance.FulfilledCCUS&gt;0,I.CCUS.RangeCount&gt;=215,F2287=""),"Incomplete","Complete")</f>
        <v>Complete</v>
      </c>
      <c r="I2287" s="55" t="s">
        <v>2484</v>
      </c>
    </row>
    <row r="2288" spans="2:9" ht="15" customHeight="1" x14ac:dyDescent="0.25">
      <c r="B2288" s="51" t="s">
        <v>126</v>
      </c>
      <c r="C2288" s="52">
        <v>216</v>
      </c>
      <c r="D2288" s="53" t="s">
        <v>4329</v>
      </c>
      <c r="E2288" s="54"/>
      <c r="F2288" s="52" t="str">
        <f>IF(INDEX(I.CCUS.StartRange,216)="","",INDEX(I.CCUS.StartRange,216))</f>
        <v/>
      </c>
      <c r="G2288" s="54"/>
      <c r="H2288" s="52" t="str">
        <f>IF(AND(I.Compliance.FulfilledCCUS&gt;0,I.CCUS.RangeCount&gt;=216,F2288=""),"Incomplete","Complete")</f>
        <v>Complete</v>
      </c>
      <c r="I2288" s="55" t="s">
        <v>2485</v>
      </c>
    </row>
    <row r="2289" spans="2:9" ht="15" customHeight="1" x14ac:dyDescent="0.25">
      <c r="B2289" s="51" t="s">
        <v>126</v>
      </c>
      <c r="C2289" s="52">
        <v>217</v>
      </c>
      <c r="D2289" s="53" t="s">
        <v>4329</v>
      </c>
      <c r="E2289" s="54"/>
      <c r="F2289" s="52" t="str">
        <f>IF(INDEX(I.CCUS.StartRange,217)="","",INDEX(I.CCUS.StartRange,217))</f>
        <v/>
      </c>
      <c r="G2289" s="54"/>
      <c r="H2289" s="52" t="str">
        <f>IF(AND(I.Compliance.FulfilledCCUS&gt;0,I.CCUS.RangeCount&gt;=217,F2289=""),"Incomplete","Complete")</f>
        <v>Complete</v>
      </c>
      <c r="I2289" s="55" t="s">
        <v>2486</v>
      </c>
    </row>
    <row r="2290" spans="2:9" ht="15" customHeight="1" x14ac:dyDescent="0.25">
      <c r="B2290" s="51" t="s">
        <v>126</v>
      </c>
      <c r="C2290" s="52">
        <v>218</v>
      </c>
      <c r="D2290" s="53" t="s">
        <v>4329</v>
      </c>
      <c r="E2290" s="54"/>
      <c r="F2290" s="52" t="str">
        <f>IF(INDEX(I.CCUS.StartRange,218)="","",INDEX(I.CCUS.StartRange,218))</f>
        <v/>
      </c>
      <c r="G2290" s="54"/>
      <c r="H2290" s="52" t="str">
        <f>IF(AND(I.Compliance.FulfilledCCUS&gt;0,I.CCUS.RangeCount&gt;=218,F2290=""),"Incomplete","Complete")</f>
        <v>Complete</v>
      </c>
      <c r="I2290" s="55" t="s">
        <v>2487</v>
      </c>
    </row>
    <row r="2291" spans="2:9" ht="15" customHeight="1" x14ac:dyDescent="0.25">
      <c r="B2291" s="51" t="s">
        <v>126</v>
      </c>
      <c r="C2291" s="52">
        <v>219</v>
      </c>
      <c r="D2291" s="53" t="s">
        <v>4329</v>
      </c>
      <c r="E2291" s="54"/>
      <c r="F2291" s="52" t="str">
        <f>IF(INDEX(I.CCUS.StartRange,219)="","",INDEX(I.CCUS.StartRange,219))</f>
        <v/>
      </c>
      <c r="G2291" s="54"/>
      <c r="H2291" s="52" t="str">
        <f>IF(AND(I.Compliance.FulfilledCCUS&gt;0,I.CCUS.RangeCount&gt;=219,F2291=""),"Incomplete","Complete")</f>
        <v>Complete</v>
      </c>
      <c r="I2291" s="55" t="s">
        <v>2488</v>
      </c>
    </row>
    <row r="2292" spans="2:9" ht="15" customHeight="1" x14ac:dyDescent="0.25">
      <c r="B2292" s="51" t="s">
        <v>126</v>
      </c>
      <c r="C2292" s="52">
        <v>220</v>
      </c>
      <c r="D2292" s="53" t="s">
        <v>4329</v>
      </c>
      <c r="E2292" s="54"/>
      <c r="F2292" s="52" t="str">
        <f>IF(INDEX(I.CCUS.StartRange,220)="","",INDEX(I.CCUS.StartRange,220))</f>
        <v/>
      </c>
      <c r="G2292" s="54"/>
      <c r="H2292" s="52" t="str">
        <f>IF(AND(I.Compliance.FulfilledCCUS&gt;0,I.CCUS.RangeCount&gt;=220,F2292=""),"Incomplete","Complete")</f>
        <v>Complete</v>
      </c>
      <c r="I2292" s="55" t="s">
        <v>2489</v>
      </c>
    </row>
    <row r="2293" spans="2:9" ht="15" customHeight="1" x14ac:dyDescent="0.25">
      <c r="B2293" s="51" t="s">
        <v>126</v>
      </c>
      <c r="C2293" s="52">
        <v>221</v>
      </c>
      <c r="D2293" s="53" t="s">
        <v>4329</v>
      </c>
      <c r="E2293" s="54"/>
      <c r="F2293" s="52" t="str">
        <f>IF(INDEX(I.CCUS.StartRange,221)="","",INDEX(I.CCUS.StartRange,221))</f>
        <v/>
      </c>
      <c r="G2293" s="54"/>
      <c r="H2293" s="52" t="str">
        <f>IF(AND(I.Compliance.FulfilledCCUS&gt;0,I.CCUS.RangeCount&gt;=221,F2293=""),"Incomplete","Complete")</f>
        <v>Complete</v>
      </c>
      <c r="I2293" s="55" t="s">
        <v>2490</v>
      </c>
    </row>
    <row r="2294" spans="2:9" ht="15" customHeight="1" x14ac:dyDescent="0.25">
      <c r="B2294" s="51" t="s">
        <v>126</v>
      </c>
      <c r="C2294" s="52">
        <v>222</v>
      </c>
      <c r="D2294" s="53" t="s">
        <v>4329</v>
      </c>
      <c r="E2294" s="54"/>
      <c r="F2294" s="52" t="str">
        <f>IF(INDEX(I.CCUS.StartRange,222)="","",INDEX(I.CCUS.StartRange,222))</f>
        <v/>
      </c>
      <c r="G2294" s="54"/>
      <c r="H2294" s="52" t="str">
        <f>IF(AND(I.Compliance.FulfilledCCUS&gt;0,I.CCUS.RangeCount&gt;=222,F2294=""),"Incomplete","Complete")</f>
        <v>Complete</v>
      </c>
      <c r="I2294" s="55" t="s">
        <v>2491</v>
      </c>
    </row>
    <row r="2295" spans="2:9" ht="15" customHeight="1" x14ac:dyDescent="0.25">
      <c r="B2295" s="51" t="s">
        <v>126</v>
      </c>
      <c r="C2295" s="52">
        <v>223</v>
      </c>
      <c r="D2295" s="53" t="s">
        <v>4329</v>
      </c>
      <c r="E2295" s="54"/>
      <c r="F2295" s="52" t="str">
        <f>IF(INDEX(I.CCUS.StartRange,223)="","",INDEX(I.CCUS.StartRange,223))</f>
        <v/>
      </c>
      <c r="G2295" s="54"/>
      <c r="H2295" s="52" t="str">
        <f>IF(AND(I.Compliance.FulfilledCCUS&gt;0,I.CCUS.RangeCount&gt;=223,F2295=""),"Incomplete","Complete")</f>
        <v>Complete</v>
      </c>
      <c r="I2295" s="55" t="s">
        <v>2492</v>
      </c>
    </row>
    <row r="2296" spans="2:9" ht="15" customHeight="1" x14ac:dyDescent="0.25">
      <c r="B2296" s="51" t="s">
        <v>126</v>
      </c>
      <c r="C2296" s="52">
        <v>224</v>
      </c>
      <c r="D2296" s="53" t="s">
        <v>4329</v>
      </c>
      <c r="E2296" s="54"/>
      <c r="F2296" s="52" t="str">
        <f>IF(INDEX(I.CCUS.StartRange,224)="","",INDEX(I.CCUS.StartRange,224))</f>
        <v/>
      </c>
      <c r="G2296" s="54"/>
      <c r="H2296" s="52" t="str">
        <f>IF(AND(I.Compliance.FulfilledCCUS&gt;0,I.CCUS.RangeCount&gt;=224,F2296=""),"Incomplete","Complete")</f>
        <v>Complete</v>
      </c>
      <c r="I2296" s="55" t="s">
        <v>2493</v>
      </c>
    </row>
    <row r="2297" spans="2:9" ht="15" customHeight="1" x14ac:dyDescent="0.25">
      <c r="B2297" s="51" t="s">
        <v>126</v>
      </c>
      <c r="C2297" s="52">
        <v>225</v>
      </c>
      <c r="D2297" s="53" t="s">
        <v>4329</v>
      </c>
      <c r="E2297" s="54"/>
      <c r="F2297" s="52" t="str">
        <f>IF(INDEX(I.CCUS.StartRange,225)="","",INDEX(I.CCUS.StartRange,225))</f>
        <v/>
      </c>
      <c r="G2297" s="54"/>
      <c r="H2297" s="52" t="str">
        <f>IF(AND(I.Compliance.FulfilledCCUS&gt;0,I.CCUS.RangeCount&gt;=225,F2297=""),"Incomplete","Complete")</f>
        <v>Complete</v>
      </c>
      <c r="I2297" s="55" t="s">
        <v>2494</v>
      </c>
    </row>
    <row r="2298" spans="2:9" ht="15" customHeight="1" x14ac:dyDescent="0.25">
      <c r="B2298" s="51" t="s">
        <v>126</v>
      </c>
      <c r="C2298" s="52">
        <v>226</v>
      </c>
      <c r="D2298" s="53" t="s">
        <v>4329</v>
      </c>
      <c r="E2298" s="54"/>
      <c r="F2298" s="52" t="str">
        <f>IF(INDEX(I.CCUS.StartRange,226)="","",INDEX(I.CCUS.StartRange,226))</f>
        <v/>
      </c>
      <c r="G2298" s="54"/>
      <c r="H2298" s="52" t="str">
        <f>IF(AND(I.Compliance.FulfilledCCUS&gt;0,I.CCUS.RangeCount&gt;=226,F2298=""),"Incomplete","Complete")</f>
        <v>Complete</v>
      </c>
      <c r="I2298" s="55" t="s">
        <v>2495</v>
      </c>
    </row>
    <row r="2299" spans="2:9" ht="15" customHeight="1" x14ac:dyDescent="0.25">
      <c r="B2299" s="51" t="s">
        <v>126</v>
      </c>
      <c r="C2299" s="52">
        <v>227</v>
      </c>
      <c r="D2299" s="53" t="s">
        <v>4329</v>
      </c>
      <c r="E2299" s="54"/>
      <c r="F2299" s="52" t="str">
        <f>IF(INDEX(I.CCUS.StartRange,227)="","",INDEX(I.CCUS.StartRange,227))</f>
        <v/>
      </c>
      <c r="G2299" s="54"/>
      <c r="H2299" s="52" t="str">
        <f>IF(AND(I.Compliance.FulfilledCCUS&gt;0,I.CCUS.RangeCount&gt;=227,F2299=""),"Incomplete","Complete")</f>
        <v>Complete</v>
      </c>
      <c r="I2299" s="55" t="s">
        <v>2496</v>
      </c>
    </row>
    <row r="2300" spans="2:9" ht="15" customHeight="1" x14ac:dyDescent="0.25">
      <c r="B2300" s="51" t="s">
        <v>126</v>
      </c>
      <c r="C2300" s="52">
        <v>228</v>
      </c>
      <c r="D2300" s="53" t="s">
        <v>4329</v>
      </c>
      <c r="E2300" s="54"/>
      <c r="F2300" s="52" t="str">
        <f>IF(INDEX(I.CCUS.StartRange,228)="","",INDEX(I.CCUS.StartRange,228))</f>
        <v/>
      </c>
      <c r="G2300" s="54"/>
      <c r="H2300" s="52" t="str">
        <f>IF(AND(I.Compliance.FulfilledCCUS&gt;0,I.CCUS.RangeCount&gt;=228,F2300=""),"Incomplete","Complete")</f>
        <v>Complete</v>
      </c>
      <c r="I2300" s="55" t="s">
        <v>2497</v>
      </c>
    </row>
    <row r="2301" spans="2:9" ht="15" customHeight="1" x14ac:dyDescent="0.25">
      <c r="B2301" s="51" t="s">
        <v>126</v>
      </c>
      <c r="C2301" s="52">
        <v>229</v>
      </c>
      <c r="D2301" s="53" t="s">
        <v>4329</v>
      </c>
      <c r="E2301" s="54"/>
      <c r="F2301" s="52" t="str">
        <f>IF(INDEX(I.CCUS.StartRange,229)="","",INDEX(I.CCUS.StartRange,229))</f>
        <v/>
      </c>
      <c r="G2301" s="54"/>
      <c r="H2301" s="52" t="str">
        <f>IF(AND(I.Compliance.FulfilledCCUS&gt;0,I.CCUS.RangeCount&gt;=229,F2301=""),"Incomplete","Complete")</f>
        <v>Complete</v>
      </c>
      <c r="I2301" s="55" t="s">
        <v>2498</v>
      </c>
    </row>
    <row r="2302" spans="2:9" ht="15" customHeight="1" x14ac:dyDescent="0.25">
      <c r="B2302" s="51" t="s">
        <v>126</v>
      </c>
      <c r="C2302" s="52">
        <v>230</v>
      </c>
      <c r="D2302" s="53" t="s">
        <v>4329</v>
      </c>
      <c r="E2302" s="54"/>
      <c r="F2302" s="52" t="str">
        <f>IF(INDEX(I.CCUS.StartRange,230)="","",INDEX(I.CCUS.StartRange,230))</f>
        <v/>
      </c>
      <c r="G2302" s="54"/>
      <c r="H2302" s="52" t="str">
        <f>IF(AND(I.Compliance.FulfilledCCUS&gt;0,I.CCUS.RangeCount&gt;=230,F2302=""),"Incomplete","Complete")</f>
        <v>Complete</v>
      </c>
      <c r="I2302" s="55" t="s">
        <v>2499</v>
      </c>
    </row>
    <row r="2303" spans="2:9" ht="15" customHeight="1" x14ac:dyDescent="0.25">
      <c r="B2303" s="51" t="s">
        <v>126</v>
      </c>
      <c r="C2303" s="52">
        <v>231</v>
      </c>
      <c r="D2303" s="53" t="s">
        <v>4329</v>
      </c>
      <c r="E2303" s="54"/>
      <c r="F2303" s="52" t="str">
        <f>IF(INDEX(I.CCUS.StartRange,231)="","",INDEX(I.CCUS.StartRange,231))</f>
        <v/>
      </c>
      <c r="G2303" s="54"/>
      <c r="H2303" s="52" t="str">
        <f>IF(AND(I.Compliance.FulfilledCCUS&gt;0,I.CCUS.RangeCount&gt;=231,F2303=""),"Incomplete","Complete")</f>
        <v>Complete</v>
      </c>
      <c r="I2303" s="55" t="s">
        <v>2500</v>
      </c>
    </row>
    <row r="2304" spans="2:9" ht="15" customHeight="1" x14ac:dyDescent="0.25">
      <c r="B2304" s="51" t="s">
        <v>126</v>
      </c>
      <c r="C2304" s="52">
        <v>232</v>
      </c>
      <c r="D2304" s="53" t="s">
        <v>4329</v>
      </c>
      <c r="E2304" s="54"/>
      <c r="F2304" s="52" t="str">
        <f>IF(INDEX(I.CCUS.StartRange,232)="","",INDEX(I.CCUS.StartRange,232))</f>
        <v/>
      </c>
      <c r="G2304" s="54"/>
      <c r="H2304" s="52" t="str">
        <f>IF(AND(I.Compliance.FulfilledCCUS&gt;0,I.CCUS.RangeCount&gt;=232,F2304=""),"Incomplete","Complete")</f>
        <v>Complete</v>
      </c>
      <c r="I2304" s="55" t="s">
        <v>2501</v>
      </c>
    </row>
    <row r="2305" spans="2:9" ht="15" customHeight="1" x14ac:dyDescent="0.25">
      <c r="B2305" s="51" t="s">
        <v>126</v>
      </c>
      <c r="C2305" s="52">
        <v>233</v>
      </c>
      <c r="D2305" s="53" t="s">
        <v>4329</v>
      </c>
      <c r="E2305" s="54"/>
      <c r="F2305" s="52" t="str">
        <f>IF(INDEX(I.CCUS.StartRange,233)="","",INDEX(I.CCUS.StartRange,233))</f>
        <v/>
      </c>
      <c r="G2305" s="54"/>
      <c r="H2305" s="52" t="str">
        <f>IF(AND(I.Compliance.FulfilledCCUS&gt;0,I.CCUS.RangeCount&gt;=233,F2305=""),"Incomplete","Complete")</f>
        <v>Complete</v>
      </c>
      <c r="I2305" s="55" t="s">
        <v>2502</v>
      </c>
    </row>
    <row r="2306" spans="2:9" ht="15" customHeight="1" x14ac:dyDescent="0.25">
      <c r="B2306" s="51" t="s">
        <v>126</v>
      </c>
      <c r="C2306" s="52">
        <v>234</v>
      </c>
      <c r="D2306" s="53" t="s">
        <v>4329</v>
      </c>
      <c r="E2306" s="54"/>
      <c r="F2306" s="52" t="str">
        <f>IF(INDEX(I.CCUS.StartRange,234)="","",INDEX(I.CCUS.StartRange,234))</f>
        <v/>
      </c>
      <c r="G2306" s="54"/>
      <c r="H2306" s="52" t="str">
        <f>IF(AND(I.Compliance.FulfilledCCUS&gt;0,I.CCUS.RangeCount&gt;=234,F2306=""),"Incomplete","Complete")</f>
        <v>Complete</v>
      </c>
      <c r="I2306" s="55" t="s">
        <v>2503</v>
      </c>
    </row>
    <row r="2307" spans="2:9" ht="15" customHeight="1" x14ac:dyDescent="0.25">
      <c r="B2307" s="51" t="s">
        <v>126</v>
      </c>
      <c r="C2307" s="52">
        <v>235</v>
      </c>
      <c r="D2307" s="53" t="s">
        <v>4329</v>
      </c>
      <c r="E2307" s="54"/>
      <c r="F2307" s="52" t="str">
        <f>IF(INDEX(I.CCUS.StartRange,235)="","",INDEX(I.CCUS.StartRange,235))</f>
        <v/>
      </c>
      <c r="G2307" s="54"/>
      <c r="H2307" s="52" t="str">
        <f>IF(AND(I.Compliance.FulfilledCCUS&gt;0,I.CCUS.RangeCount&gt;=235,F2307=""),"Incomplete","Complete")</f>
        <v>Complete</v>
      </c>
      <c r="I2307" s="55" t="s">
        <v>2504</v>
      </c>
    </row>
    <row r="2308" spans="2:9" ht="15" customHeight="1" x14ac:dyDescent="0.25">
      <c r="B2308" s="51" t="s">
        <v>126</v>
      </c>
      <c r="C2308" s="52">
        <v>236</v>
      </c>
      <c r="D2308" s="53" t="s">
        <v>4329</v>
      </c>
      <c r="E2308" s="54"/>
      <c r="F2308" s="52" t="str">
        <f>IF(INDEX(I.CCUS.StartRange,236)="","",INDEX(I.CCUS.StartRange,236))</f>
        <v/>
      </c>
      <c r="G2308" s="54"/>
      <c r="H2308" s="52" t="str">
        <f>IF(AND(I.Compliance.FulfilledCCUS&gt;0,I.CCUS.RangeCount&gt;=236,F2308=""),"Incomplete","Complete")</f>
        <v>Complete</v>
      </c>
      <c r="I2308" s="55" t="s">
        <v>2505</v>
      </c>
    </row>
    <row r="2309" spans="2:9" ht="15" customHeight="1" x14ac:dyDescent="0.25">
      <c r="B2309" s="51" t="s">
        <v>126</v>
      </c>
      <c r="C2309" s="52">
        <v>237</v>
      </c>
      <c r="D2309" s="53" t="s">
        <v>4329</v>
      </c>
      <c r="E2309" s="54"/>
      <c r="F2309" s="52" t="str">
        <f>IF(INDEX(I.CCUS.StartRange,237)="","",INDEX(I.CCUS.StartRange,237))</f>
        <v/>
      </c>
      <c r="G2309" s="54"/>
      <c r="H2309" s="52" t="str">
        <f>IF(AND(I.Compliance.FulfilledCCUS&gt;0,I.CCUS.RangeCount&gt;=237,F2309=""),"Incomplete","Complete")</f>
        <v>Complete</v>
      </c>
      <c r="I2309" s="55" t="s">
        <v>2506</v>
      </c>
    </row>
    <row r="2310" spans="2:9" ht="15" customHeight="1" x14ac:dyDescent="0.25">
      <c r="B2310" s="51" t="s">
        <v>126</v>
      </c>
      <c r="C2310" s="52">
        <v>238</v>
      </c>
      <c r="D2310" s="53" t="s">
        <v>4329</v>
      </c>
      <c r="E2310" s="54"/>
      <c r="F2310" s="52" t="str">
        <f>IF(INDEX(I.CCUS.StartRange,238)="","",INDEX(I.CCUS.StartRange,238))</f>
        <v/>
      </c>
      <c r="G2310" s="54"/>
      <c r="H2310" s="52" t="str">
        <f>IF(AND(I.Compliance.FulfilledCCUS&gt;0,I.CCUS.RangeCount&gt;=238,F2310=""),"Incomplete","Complete")</f>
        <v>Complete</v>
      </c>
      <c r="I2310" s="55" t="s">
        <v>2507</v>
      </c>
    </row>
    <row r="2311" spans="2:9" ht="15" customHeight="1" x14ac:dyDescent="0.25">
      <c r="B2311" s="51" t="s">
        <v>126</v>
      </c>
      <c r="C2311" s="52">
        <v>239</v>
      </c>
      <c r="D2311" s="53" t="s">
        <v>4329</v>
      </c>
      <c r="E2311" s="54"/>
      <c r="F2311" s="52" t="str">
        <f>IF(INDEX(I.CCUS.StartRange,239)="","",INDEX(I.CCUS.StartRange,239))</f>
        <v/>
      </c>
      <c r="G2311" s="54"/>
      <c r="H2311" s="52" t="str">
        <f>IF(AND(I.Compliance.FulfilledCCUS&gt;0,I.CCUS.RangeCount&gt;=239,F2311=""),"Incomplete","Complete")</f>
        <v>Complete</v>
      </c>
      <c r="I2311" s="55" t="s">
        <v>2508</v>
      </c>
    </row>
    <row r="2312" spans="2:9" ht="15" customHeight="1" x14ac:dyDescent="0.25">
      <c r="B2312" s="51" t="s">
        <v>126</v>
      </c>
      <c r="C2312" s="52">
        <v>240</v>
      </c>
      <c r="D2312" s="53" t="s">
        <v>4329</v>
      </c>
      <c r="E2312" s="54"/>
      <c r="F2312" s="52" t="str">
        <f>IF(INDEX(I.CCUS.StartRange,240)="","",INDEX(I.CCUS.StartRange,240))</f>
        <v/>
      </c>
      <c r="G2312" s="54"/>
      <c r="H2312" s="52" t="str">
        <f>IF(AND(I.Compliance.FulfilledCCUS&gt;0,I.CCUS.RangeCount&gt;=240,F2312=""),"Incomplete","Complete")</f>
        <v>Complete</v>
      </c>
      <c r="I2312" s="55" t="s">
        <v>2509</v>
      </c>
    </row>
    <row r="2313" spans="2:9" ht="15" customHeight="1" x14ac:dyDescent="0.25">
      <c r="B2313" s="51" t="s">
        <v>126</v>
      </c>
      <c r="C2313" s="52">
        <v>241</v>
      </c>
      <c r="D2313" s="53" t="s">
        <v>4329</v>
      </c>
      <c r="E2313" s="54"/>
      <c r="F2313" s="52" t="str">
        <f>IF(INDEX(I.CCUS.StartRange,241)="","",INDEX(I.CCUS.StartRange,241))</f>
        <v/>
      </c>
      <c r="G2313" s="54"/>
      <c r="H2313" s="52" t="str">
        <f>IF(AND(I.Compliance.FulfilledCCUS&gt;0,I.CCUS.RangeCount&gt;=241,F2313=""),"Incomplete","Complete")</f>
        <v>Complete</v>
      </c>
      <c r="I2313" s="55" t="s">
        <v>2510</v>
      </c>
    </row>
    <row r="2314" spans="2:9" ht="15" customHeight="1" x14ac:dyDescent="0.25">
      <c r="B2314" s="51" t="s">
        <v>126</v>
      </c>
      <c r="C2314" s="52">
        <v>242</v>
      </c>
      <c r="D2314" s="53" t="s">
        <v>4329</v>
      </c>
      <c r="E2314" s="54"/>
      <c r="F2314" s="52" t="str">
        <f>IF(INDEX(I.CCUS.StartRange,242)="","",INDEX(I.CCUS.StartRange,242))</f>
        <v/>
      </c>
      <c r="G2314" s="54"/>
      <c r="H2314" s="52" t="str">
        <f>IF(AND(I.Compliance.FulfilledCCUS&gt;0,I.CCUS.RangeCount&gt;=242,F2314=""),"Incomplete","Complete")</f>
        <v>Complete</v>
      </c>
      <c r="I2314" s="55" t="s">
        <v>2511</v>
      </c>
    </row>
    <row r="2315" spans="2:9" ht="15" customHeight="1" x14ac:dyDescent="0.25">
      <c r="B2315" s="51" t="s">
        <v>126</v>
      </c>
      <c r="C2315" s="52">
        <v>243</v>
      </c>
      <c r="D2315" s="53" t="s">
        <v>4329</v>
      </c>
      <c r="E2315" s="54"/>
      <c r="F2315" s="52" t="str">
        <f>IF(INDEX(I.CCUS.StartRange,243)="","",INDEX(I.CCUS.StartRange,243))</f>
        <v/>
      </c>
      <c r="G2315" s="54"/>
      <c r="H2315" s="52" t="str">
        <f>IF(AND(I.Compliance.FulfilledCCUS&gt;0,I.CCUS.RangeCount&gt;=243,F2315=""),"Incomplete","Complete")</f>
        <v>Complete</v>
      </c>
      <c r="I2315" s="55" t="s">
        <v>2512</v>
      </c>
    </row>
    <row r="2316" spans="2:9" ht="15" customHeight="1" x14ac:dyDescent="0.25">
      <c r="B2316" s="51" t="s">
        <v>126</v>
      </c>
      <c r="C2316" s="52">
        <v>244</v>
      </c>
      <c r="D2316" s="53" t="s">
        <v>4329</v>
      </c>
      <c r="E2316" s="54"/>
      <c r="F2316" s="52" t="str">
        <f>IF(INDEX(I.CCUS.StartRange,244)="","",INDEX(I.CCUS.StartRange,244))</f>
        <v/>
      </c>
      <c r="G2316" s="54"/>
      <c r="H2316" s="52" t="str">
        <f>IF(AND(I.Compliance.FulfilledCCUS&gt;0,I.CCUS.RangeCount&gt;=244,F2316=""),"Incomplete","Complete")</f>
        <v>Complete</v>
      </c>
      <c r="I2316" s="55" t="s">
        <v>2513</v>
      </c>
    </row>
    <row r="2317" spans="2:9" ht="15" customHeight="1" x14ac:dyDescent="0.25">
      <c r="B2317" s="51" t="s">
        <v>126</v>
      </c>
      <c r="C2317" s="52">
        <v>245</v>
      </c>
      <c r="D2317" s="53" t="s">
        <v>4329</v>
      </c>
      <c r="E2317" s="54"/>
      <c r="F2317" s="52" t="str">
        <f>IF(INDEX(I.CCUS.StartRange,245)="","",INDEX(I.CCUS.StartRange,245))</f>
        <v/>
      </c>
      <c r="G2317" s="54"/>
      <c r="H2317" s="52" t="str">
        <f>IF(AND(I.Compliance.FulfilledCCUS&gt;0,I.CCUS.RangeCount&gt;=245,F2317=""),"Incomplete","Complete")</f>
        <v>Complete</v>
      </c>
      <c r="I2317" s="55" t="s">
        <v>2514</v>
      </c>
    </row>
    <row r="2318" spans="2:9" ht="15" customHeight="1" x14ac:dyDescent="0.25">
      <c r="B2318" s="51" t="s">
        <v>126</v>
      </c>
      <c r="C2318" s="52">
        <v>246</v>
      </c>
      <c r="D2318" s="53" t="s">
        <v>4329</v>
      </c>
      <c r="E2318" s="54"/>
      <c r="F2318" s="52" t="str">
        <f>IF(INDEX(I.CCUS.StartRange,246)="","",INDEX(I.CCUS.StartRange,246))</f>
        <v/>
      </c>
      <c r="G2318" s="54"/>
      <c r="H2318" s="52" t="str">
        <f>IF(AND(I.Compliance.FulfilledCCUS&gt;0,I.CCUS.RangeCount&gt;=246,F2318=""),"Incomplete","Complete")</f>
        <v>Complete</v>
      </c>
      <c r="I2318" s="55" t="s">
        <v>2515</v>
      </c>
    </row>
    <row r="2319" spans="2:9" ht="15" customHeight="1" x14ac:dyDescent="0.25">
      <c r="B2319" s="51" t="s">
        <v>126</v>
      </c>
      <c r="C2319" s="52">
        <v>247</v>
      </c>
      <c r="D2319" s="53" t="s">
        <v>4329</v>
      </c>
      <c r="E2319" s="54"/>
      <c r="F2319" s="52" t="str">
        <f>IF(INDEX(I.CCUS.StartRange,247)="","",INDEX(I.CCUS.StartRange,247))</f>
        <v/>
      </c>
      <c r="G2319" s="54"/>
      <c r="H2319" s="52" t="str">
        <f>IF(AND(I.Compliance.FulfilledCCUS&gt;0,I.CCUS.RangeCount&gt;=247,F2319=""),"Incomplete","Complete")</f>
        <v>Complete</v>
      </c>
      <c r="I2319" s="55" t="s">
        <v>2516</v>
      </c>
    </row>
    <row r="2320" spans="2:9" ht="15" customHeight="1" x14ac:dyDescent="0.25">
      <c r="B2320" s="51" t="s">
        <v>126</v>
      </c>
      <c r="C2320" s="52">
        <v>248</v>
      </c>
      <c r="D2320" s="53" t="s">
        <v>4329</v>
      </c>
      <c r="E2320" s="54"/>
      <c r="F2320" s="52" t="str">
        <f>IF(INDEX(I.CCUS.StartRange,248)="","",INDEX(I.CCUS.StartRange,248))</f>
        <v/>
      </c>
      <c r="G2320" s="54"/>
      <c r="H2320" s="52" t="str">
        <f>IF(AND(I.Compliance.FulfilledCCUS&gt;0,I.CCUS.RangeCount&gt;=248,F2320=""),"Incomplete","Complete")</f>
        <v>Complete</v>
      </c>
      <c r="I2320" s="55" t="s">
        <v>2517</v>
      </c>
    </row>
    <row r="2321" spans="2:9" ht="15" customHeight="1" x14ac:dyDescent="0.25">
      <c r="B2321" s="51" t="s">
        <v>126</v>
      </c>
      <c r="C2321" s="52">
        <v>249</v>
      </c>
      <c r="D2321" s="53" t="s">
        <v>4329</v>
      </c>
      <c r="E2321" s="54"/>
      <c r="F2321" s="52" t="str">
        <f>IF(INDEX(I.CCUS.StartRange,249)="","",INDEX(I.CCUS.StartRange,249))</f>
        <v/>
      </c>
      <c r="G2321" s="54"/>
      <c r="H2321" s="52" t="str">
        <f>IF(AND(I.Compliance.FulfilledCCUS&gt;0,I.CCUS.RangeCount&gt;=249,F2321=""),"Incomplete","Complete")</f>
        <v>Complete</v>
      </c>
      <c r="I2321" s="55" t="s">
        <v>2518</v>
      </c>
    </row>
    <row r="2322" spans="2:9" ht="15" customHeight="1" x14ac:dyDescent="0.25">
      <c r="B2322" s="51" t="s">
        <v>126</v>
      </c>
      <c r="C2322" s="52">
        <v>250</v>
      </c>
      <c r="D2322" s="53" t="s">
        <v>4329</v>
      </c>
      <c r="E2322" s="54"/>
      <c r="F2322" s="52" t="str">
        <f>IF(INDEX(I.CCUS.StartRange,250)="","",INDEX(I.CCUS.StartRange,250))</f>
        <v/>
      </c>
      <c r="G2322" s="54"/>
      <c r="H2322" s="52" t="str">
        <f>IF(AND(I.Compliance.FulfilledCCUS&gt;0,I.CCUS.RangeCount&gt;=250,F2322=""),"Incomplete","Complete")</f>
        <v>Complete</v>
      </c>
      <c r="I2322" s="55" t="s">
        <v>2519</v>
      </c>
    </row>
    <row r="2323" spans="2:9" ht="15" customHeight="1" x14ac:dyDescent="0.25">
      <c r="B2323" s="51" t="s">
        <v>126</v>
      </c>
      <c r="C2323" s="52">
        <v>251</v>
      </c>
      <c r="D2323" s="53" t="s">
        <v>4329</v>
      </c>
      <c r="E2323" s="54"/>
      <c r="F2323" s="52" t="str">
        <f>IF(INDEX(I.CCUS.StartRange,251)="","",INDEX(I.CCUS.StartRange,251))</f>
        <v/>
      </c>
      <c r="G2323" s="54"/>
      <c r="H2323" s="52" t="str">
        <f>IF(AND(I.Compliance.FulfilledCCUS&gt;0,I.CCUS.RangeCount&gt;=251,F2323=""),"Incomplete","Complete")</f>
        <v>Complete</v>
      </c>
      <c r="I2323" s="55" t="s">
        <v>2520</v>
      </c>
    </row>
    <row r="2324" spans="2:9" ht="15" customHeight="1" x14ac:dyDescent="0.25">
      <c r="B2324" s="51" t="s">
        <v>126</v>
      </c>
      <c r="C2324" s="52">
        <v>252</v>
      </c>
      <c r="D2324" s="53" t="s">
        <v>4329</v>
      </c>
      <c r="E2324" s="54"/>
      <c r="F2324" s="52" t="str">
        <f>IF(INDEX(I.CCUS.StartRange,252)="","",INDEX(I.CCUS.StartRange,252))</f>
        <v/>
      </c>
      <c r="G2324" s="54"/>
      <c r="H2324" s="52" t="str">
        <f>IF(AND(I.Compliance.FulfilledCCUS&gt;0,I.CCUS.RangeCount&gt;=252,F2324=""),"Incomplete","Complete")</f>
        <v>Complete</v>
      </c>
      <c r="I2324" s="55" t="s">
        <v>2521</v>
      </c>
    </row>
    <row r="2325" spans="2:9" ht="15" customHeight="1" x14ac:dyDescent="0.25">
      <c r="B2325" s="51" t="s">
        <v>126</v>
      </c>
      <c r="C2325" s="52">
        <v>253</v>
      </c>
      <c r="D2325" s="53" t="s">
        <v>4329</v>
      </c>
      <c r="E2325" s="54"/>
      <c r="F2325" s="52" t="str">
        <f>IF(INDEX(I.CCUS.StartRange,253)="","",INDEX(I.CCUS.StartRange,253))</f>
        <v/>
      </c>
      <c r="G2325" s="54"/>
      <c r="H2325" s="52" t="str">
        <f>IF(AND(I.Compliance.FulfilledCCUS&gt;0,I.CCUS.RangeCount&gt;=253,F2325=""),"Incomplete","Complete")</f>
        <v>Complete</v>
      </c>
      <c r="I2325" s="55" t="s">
        <v>2522</v>
      </c>
    </row>
    <row r="2326" spans="2:9" ht="15" customHeight="1" x14ac:dyDescent="0.25">
      <c r="B2326" s="51" t="s">
        <v>126</v>
      </c>
      <c r="C2326" s="52">
        <v>254</v>
      </c>
      <c r="D2326" s="53" t="s">
        <v>4329</v>
      </c>
      <c r="E2326" s="54"/>
      <c r="F2326" s="52" t="str">
        <f>IF(INDEX(I.CCUS.StartRange,254)="","",INDEX(I.CCUS.StartRange,254))</f>
        <v/>
      </c>
      <c r="G2326" s="54"/>
      <c r="H2326" s="52" t="str">
        <f>IF(AND(I.Compliance.FulfilledCCUS&gt;0,I.CCUS.RangeCount&gt;=254,F2326=""),"Incomplete","Complete")</f>
        <v>Complete</v>
      </c>
      <c r="I2326" s="55" t="s">
        <v>2523</v>
      </c>
    </row>
    <row r="2327" spans="2:9" ht="15" customHeight="1" x14ac:dyDescent="0.25">
      <c r="B2327" s="51" t="s">
        <v>126</v>
      </c>
      <c r="C2327" s="52">
        <v>255</v>
      </c>
      <c r="D2327" s="53" t="s">
        <v>4329</v>
      </c>
      <c r="E2327" s="54"/>
      <c r="F2327" s="52" t="str">
        <f>IF(INDEX(I.CCUS.StartRange,255)="","",INDEX(I.CCUS.StartRange,255))</f>
        <v/>
      </c>
      <c r="G2327" s="54"/>
      <c r="H2327" s="52" t="str">
        <f>IF(AND(I.Compliance.FulfilledCCUS&gt;0,I.CCUS.RangeCount&gt;=255,F2327=""),"Incomplete","Complete")</f>
        <v>Complete</v>
      </c>
      <c r="I2327" s="55" t="s">
        <v>2524</v>
      </c>
    </row>
    <row r="2328" spans="2:9" ht="15" customHeight="1" x14ac:dyDescent="0.25">
      <c r="B2328" s="51" t="s">
        <v>126</v>
      </c>
      <c r="C2328" s="52">
        <v>256</v>
      </c>
      <c r="D2328" s="53" t="s">
        <v>4329</v>
      </c>
      <c r="E2328" s="54"/>
      <c r="F2328" s="52" t="str">
        <f>IF(INDEX(I.CCUS.StartRange,256)="","",INDEX(I.CCUS.StartRange,256))</f>
        <v/>
      </c>
      <c r="G2328" s="54"/>
      <c r="H2328" s="52" t="str">
        <f>IF(AND(I.Compliance.FulfilledCCUS&gt;0,I.CCUS.RangeCount&gt;=256,F2328=""),"Incomplete","Complete")</f>
        <v>Complete</v>
      </c>
      <c r="I2328" s="55" t="s">
        <v>2525</v>
      </c>
    </row>
    <row r="2329" spans="2:9" ht="15" customHeight="1" x14ac:dyDescent="0.25">
      <c r="B2329" s="51" t="s">
        <v>126</v>
      </c>
      <c r="C2329" s="52">
        <v>257</v>
      </c>
      <c r="D2329" s="53" t="s">
        <v>4329</v>
      </c>
      <c r="E2329" s="54"/>
      <c r="F2329" s="52" t="str">
        <f>IF(INDEX(I.CCUS.StartRange,257)="","",INDEX(I.CCUS.StartRange,257))</f>
        <v/>
      </c>
      <c r="G2329" s="54"/>
      <c r="H2329" s="52" t="str">
        <f>IF(AND(I.Compliance.FulfilledCCUS&gt;0,I.CCUS.RangeCount&gt;=257,F2329=""),"Incomplete","Complete")</f>
        <v>Complete</v>
      </c>
      <c r="I2329" s="55" t="s">
        <v>2526</v>
      </c>
    </row>
    <row r="2330" spans="2:9" ht="15" customHeight="1" x14ac:dyDescent="0.25">
      <c r="B2330" s="51" t="s">
        <v>126</v>
      </c>
      <c r="C2330" s="52">
        <v>258</v>
      </c>
      <c r="D2330" s="53" t="s">
        <v>4329</v>
      </c>
      <c r="E2330" s="54"/>
      <c r="F2330" s="52" t="str">
        <f>IF(INDEX(I.CCUS.StartRange,258)="","",INDEX(I.CCUS.StartRange,258))</f>
        <v/>
      </c>
      <c r="G2330" s="54"/>
      <c r="H2330" s="52" t="str">
        <f>IF(AND(I.Compliance.FulfilledCCUS&gt;0,I.CCUS.RangeCount&gt;=258,F2330=""),"Incomplete","Complete")</f>
        <v>Complete</v>
      </c>
      <c r="I2330" s="55" t="s">
        <v>2527</v>
      </c>
    </row>
    <row r="2331" spans="2:9" ht="15" customHeight="1" x14ac:dyDescent="0.25">
      <c r="B2331" s="51" t="s">
        <v>126</v>
      </c>
      <c r="C2331" s="52">
        <v>259</v>
      </c>
      <c r="D2331" s="53" t="s">
        <v>4329</v>
      </c>
      <c r="E2331" s="54"/>
      <c r="F2331" s="52" t="str">
        <f>IF(INDEX(I.CCUS.StartRange,259)="","",INDEX(I.CCUS.StartRange,259))</f>
        <v/>
      </c>
      <c r="G2331" s="54"/>
      <c r="H2331" s="52" t="str">
        <f>IF(AND(I.Compliance.FulfilledCCUS&gt;0,I.CCUS.RangeCount&gt;=259,F2331=""),"Incomplete","Complete")</f>
        <v>Complete</v>
      </c>
      <c r="I2331" s="55" t="s">
        <v>2528</v>
      </c>
    </row>
    <row r="2332" spans="2:9" ht="15" customHeight="1" x14ac:dyDescent="0.25">
      <c r="B2332" s="51" t="s">
        <v>126</v>
      </c>
      <c r="C2332" s="52">
        <v>260</v>
      </c>
      <c r="D2332" s="53" t="s">
        <v>4329</v>
      </c>
      <c r="E2332" s="54"/>
      <c r="F2332" s="52" t="str">
        <f>IF(INDEX(I.CCUS.StartRange,260)="","",INDEX(I.CCUS.StartRange,260))</f>
        <v/>
      </c>
      <c r="G2332" s="54"/>
      <c r="H2332" s="52" t="str">
        <f>IF(AND(I.Compliance.FulfilledCCUS&gt;0,I.CCUS.RangeCount&gt;=260,F2332=""),"Incomplete","Complete")</f>
        <v>Complete</v>
      </c>
      <c r="I2332" s="55" t="s">
        <v>2529</v>
      </c>
    </row>
    <row r="2333" spans="2:9" ht="15" customHeight="1" x14ac:dyDescent="0.25">
      <c r="B2333" s="51" t="s">
        <v>126</v>
      </c>
      <c r="C2333" s="52">
        <v>261</v>
      </c>
      <c r="D2333" s="53" t="s">
        <v>4329</v>
      </c>
      <c r="E2333" s="54"/>
      <c r="F2333" s="52" t="str">
        <f>IF(INDEX(I.CCUS.StartRange,261)="","",INDEX(I.CCUS.StartRange,261))</f>
        <v/>
      </c>
      <c r="G2333" s="54"/>
      <c r="H2333" s="52" t="str">
        <f>IF(AND(I.Compliance.FulfilledCCUS&gt;0,I.CCUS.RangeCount&gt;=261,F2333=""),"Incomplete","Complete")</f>
        <v>Complete</v>
      </c>
      <c r="I2333" s="55" t="s">
        <v>2530</v>
      </c>
    </row>
    <row r="2334" spans="2:9" ht="15" customHeight="1" x14ac:dyDescent="0.25">
      <c r="B2334" s="51" t="s">
        <v>126</v>
      </c>
      <c r="C2334" s="52">
        <v>262</v>
      </c>
      <c r="D2334" s="53" t="s">
        <v>4329</v>
      </c>
      <c r="E2334" s="54"/>
      <c r="F2334" s="52" t="str">
        <f>IF(INDEX(I.CCUS.StartRange,262)="","",INDEX(I.CCUS.StartRange,262))</f>
        <v/>
      </c>
      <c r="G2334" s="54"/>
      <c r="H2334" s="52" t="str">
        <f>IF(AND(I.Compliance.FulfilledCCUS&gt;0,I.CCUS.RangeCount&gt;=262,F2334=""),"Incomplete","Complete")</f>
        <v>Complete</v>
      </c>
      <c r="I2334" s="55" t="s">
        <v>2531</v>
      </c>
    </row>
    <row r="2335" spans="2:9" ht="15" customHeight="1" x14ac:dyDescent="0.25">
      <c r="B2335" s="51" t="s">
        <v>126</v>
      </c>
      <c r="C2335" s="52">
        <v>263</v>
      </c>
      <c r="D2335" s="53" t="s">
        <v>4329</v>
      </c>
      <c r="E2335" s="54"/>
      <c r="F2335" s="52" t="str">
        <f>IF(INDEX(I.CCUS.StartRange,263)="","",INDEX(I.CCUS.StartRange,263))</f>
        <v/>
      </c>
      <c r="G2335" s="54"/>
      <c r="H2335" s="52" t="str">
        <f>IF(AND(I.Compliance.FulfilledCCUS&gt;0,I.CCUS.RangeCount&gt;=263,F2335=""),"Incomplete","Complete")</f>
        <v>Complete</v>
      </c>
      <c r="I2335" s="55" t="s">
        <v>2532</v>
      </c>
    </row>
    <row r="2336" spans="2:9" ht="15" customHeight="1" x14ac:dyDescent="0.25">
      <c r="B2336" s="51" t="s">
        <v>126</v>
      </c>
      <c r="C2336" s="52">
        <v>264</v>
      </c>
      <c r="D2336" s="53" t="s">
        <v>4329</v>
      </c>
      <c r="E2336" s="54"/>
      <c r="F2336" s="52" t="str">
        <f>IF(INDEX(I.CCUS.StartRange,264)="","",INDEX(I.CCUS.StartRange,264))</f>
        <v/>
      </c>
      <c r="G2336" s="54"/>
      <c r="H2336" s="52" t="str">
        <f>IF(AND(I.Compliance.FulfilledCCUS&gt;0,I.CCUS.RangeCount&gt;=264,F2336=""),"Incomplete","Complete")</f>
        <v>Complete</v>
      </c>
      <c r="I2336" s="55" t="s">
        <v>2533</v>
      </c>
    </row>
    <row r="2337" spans="2:9" ht="15" customHeight="1" x14ac:dyDescent="0.25">
      <c r="B2337" s="51" t="s">
        <v>126</v>
      </c>
      <c r="C2337" s="52">
        <v>265</v>
      </c>
      <c r="D2337" s="53" t="s">
        <v>4329</v>
      </c>
      <c r="E2337" s="54"/>
      <c r="F2337" s="52" t="str">
        <f>IF(INDEX(I.CCUS.StartRange,265)="","",INDEX(I.CCUS.StartRange,265))</f>
        <v/>
      </c>
      <c r="G2337" s="54"/>
      <c r="H2337" s="52" t="str">
        <f>IF(AND(I.Compliance.FulfilledCCUS&gt;0,I.CCUS.RangeCount&gt;=265,F2337=""),"Incomplete","Complete")</f>
        <v>Complete</v>
      </c>
      <c r="I2337" s="55" t="s">
        <v>2534</v>
      </c>
    </row>
    <row r="2338" spans="2:9" ht="15" customHeight="1" x14ac:dyDescent="0.25">
      <c r="B2338" s="51" t="s">
        <v>126</v>
      </c>
      <c r="C2338" s="52">
        <v>266</v>
      </c>
      <c r="D2338" s="53" t="s">
        <v>4329</v>
      </c>
      <c r="E2338" s="54"/>
      <c r="F2338" s="52" t="str">
        <f>IF(INDEX(I.CCUS.StartRange,266)="","",INDEX(I.CCUS.StartRange,266))</f>
        <v/>
      </c>
      <c r="G2338" s="54"/>
      <c r="H2338" s="52" t="str">
        <f>IF(AND(I.Compliance.FulfilledCCUS&gt;0,I.CCUS.RangeCount&gt;=266,F2338=""),"Incomplete","Complete")</f>
        <v>Complete</v>
      </c>
      <c r="I2338" s="55" t="s">
        <v>2535</v>
      </c>
    </row>
    <row r="2339" spans="2:9" ht="15" customHeight="1" x14ac:dyDescent="0.25">
      <c r="B2339" s="51" t="s">
        <v>126</v>
      </c>
      <c r="C2339" s="52">
        <v>267</v>
      </c>
      <c r="D2339" s="53" t="s">
        <v>4329</v>
      </c>
      <c r="E2339" s="54"/>
      <c r="F2339" s="52" t="str">
        <f>IF(INDEX(I.CCUS.StartRange,267)="","",INDEX(I.CCUS.StartRange,267))</f>
        <v/>
      </c>
      <c r="G2339" s="54"/>
      <c r="H2339" s="52" t="str">
        <f>IF(AND(I.Compliance.FulfilledCCUS&gt;0,I.CCUS.RangeCount&gt;=267,F2339=""),"Incomplete","Complete")</f>
        <v>Complete</v>
      </c>
      <c r="I2339" s="55" t="s">
        <v>2536</v>
      </c>
    </row>
    <row r="2340" spans="2:9" ht="15" customHeight="1" x14ac:dyDescent="0.25">
      <c r="B2340" s="51" t="s">
        <v>126</v>
      </c>
      <c r="C2340" s="52">
        <v>268</v>
      </c>
      <c r="D2340" s="53" t="s">
        <v>4329</v>
      </c>
      <c r="E2340" s="54"/>
      <c r="F2340" s="52" t="str">
        <f>IF(INDEX(I.CCUS.StartRange,268)="","",INDEX(I.CCUS.StartRange,268))</f>
        <v/>
      </c>
      <c r="G2340" s="54"/>
      <c r="H2340" s="52" t="str">
        <f>IF(AND(I.Compliance.FulfilledCCUS&gt;0,I.CCUS.RangeCount&gt;=268,F2340=""),"Incomplete","Complete")</f>
        <v>Complete</v>
      </c>
      <c r="I2340" s="55" t="s">
        <v>2537</v>
      </c>
    </row>
    <row r="2341" spans="2:9" ht="15" customHeight="1" x14ac:dyDescent="0.25">
      <c r="B2341" s="51" t="s">
        <v>126</v>
      </c>
      <c r="C2341" s="52">
        <v>269</v>
      </c>
      <c r="D2341" s="53" t="s">
        <v>4329</v>
      </c>
      <c r="E2341" s="54"/>
      <c r="F2341" s="52" t="str">
        <f>IF(INDEX(I.CCUS.StartRange,269)="","",INDEX(I.CCUS.StartRange,269))</f>
        <v/>
      </c>
      <c r="G2341" s="54"/>
      <c r="H2341" s="52" t="str">
        <f>IF(AND(I.Compliance.FulfilledCCUS&gt;0,I.CCUS.RangeCount&gt;=269,F2341=""),"Incomplete","Complete")</f>
        <v>Complete</v>
      </c>
      <c r="I2341" s="55" t="s">
        <v>2538</v>
      </c>
    </row>
    <row r="2342" spans="2:9" ht="15" customHeight="1" x14ac:dyDescent="0.25">
      <c r="B2342" s="51" t="s">
        <v>126</v>
      </c>
      <c r="C2342" s="52">
        <v>270</v>
      </c>
      <c r="D2342" s="53" t="s">
        <v>4329</v>
      </c>
      <c r="E2342" s="54"/>
      <c r="F2342" s="52" t="str">
        <f>IF(INDEX(I.CCUS.StartRange,270)="","",INDEX(I.CCUS.StartRange,270))</f>
        <v/>
      </c>
      <c r="G2342" s="54"/>
      <c r="H2342" s="52" t="str">
        <f>IF(AND(I.Compliance.FulfilledCCUS&gt;0,I.CCUS.RangeCount&gt;=270,F2342=""),"Incomplete","Complete")</f>
        <v>Complete</v>
      </c>
      <c r="I2342" s="55" t="s">
        <v>2539</v>
      </c>
    </row>
    <row r="2343" spans="2:9" ht="15" customHeight="1" x14ac:dyDescent="0.25">
      <c r="B2343" s="51" t="s">
        <v>126</v>
      </c>
      <c r="C2343" s="52">
        <v>271</v>
      </c>
      <c r="D2343" s="53" t="s">
        <v>4329</v>
      </c>
      <c r="E2343" s="54"/>
      <c r="F2343" s="52" t="str">
        <f>IF(INDEX(I.CCUS.StartRange,271)="","",INDEX(I.CCUS.StartRange,271))</f>
        <v/>
      </c>
      <c r="G2343" s="54"/>
      <c r="H2343" s="52" t="str">
        <f>IF(AND(I.Compliance.FulfilledCCUS&gt;0,I.CCUS.RangeCount&gt;=271,F2343=""),"Incomplete","Complete")</f>
        <v>Complete</v>
      </c>
      <c r="I2343" s="55" t="s">
        <v>2540</v>
      </c>
    </row>
    <row r="2344" spans="2:9" ht="15" customHeight="1" x14ac:dyDescent="0.25">
      <c r="B2344" s="51" t="s">
        <v>126</v>
      </c>
      <c r="C2344" s="52">
        <v>272</v>
      </c>
      <c r="D2344" s="53" t="s">
        <v>4329</v>
      </c>
      <c r="E2344" s="54"/>
      <c r="F2344" s="52" t="str">
        <f>IF(INDEX(I.CCUS.StartRange,272)="","",INDEX(I.CCUS.StartRange,272))</f>
        <v/>
      </c>
      <c r="G2344" s="54"/>
      <c r="H2344" s="52" t="str">
        <f>IF(AND(I.Compliance.FulfilledCCUS&gt;0,I.CCUS.RangeCount&gt;=272,F2344=""),"Incomplete","Complete")</f>
        <v>Complete</v>
      </c>
      <c r="I2344" s="55" t="s">
        <v>2541</v>
      </c>
    </row>
    <row r="2345" spans="2:9" ht="15" customHeight="1" x14ac:dyDescent="0.25">
      <c r="B2345" s="51" t="s">
        <v>126</v>
      </c>
      <c r="C2345" s="52">
        <v>273</v>
      </c>
      <c r="D2345" s="53" t="s">
        <v>4329</v>
      </c>
      <c r="E2345" s="54"/>
      <c r="F2345" s="52" t="str">
        <f>IF(INDEX(I.CCUS.StartRange,273)="","",INDEX(I.CCUS.StartRange,273))</f>
        <v/>
      </c>
      <c r="G2345" s="54"/>
      <c r="H2345" s="52" t="str">
        <f>IF(AND(I.Compliance.FulfilledCCUS&gt;0,I.CCUS.RangeCount&gt;=273,F2345=""),"Incomplete","Complete")</f>
        <v>Complete</v>
      </c>
      <c r="I2345" s="55" t="s">
        <v>2542</v>
      </c>
    </row>
    <row r="2346" spans="2:9" ht="15" customHeight="1" x14ac:dyDescent="0.25">
      <c r="B2346" s="51" t="s">
        <v>126</v>
      </c>
      <c r="C2346" s="52">
        <v>274</v>
      </c>
      <c r="D2346" s="53" t="s">
        <v>4329</v>
      </c>
      <c r="E2346" s="54"/>
      <c r="F2346" s="52" t="str">
        <f>IF(INDEX(I.CCUS.StartRange,274)="","",INDEX(I.CCUS.StartRange,274))</f>
        <v/>
      </c>
      <c r="G2346" s="54"/>
      <c r="H2346" s="52" t="str">
        <f>IF(AND(I.Compliance.FulfilledCCUS&gt;0,I.CCUS.RangeCount&gt;=274,F2346=""),"Incomplete","Complete")</f>
        <v>Complete</v>
      </c>
      <c r="I2346" s="55" t="s">
        <v>2543</v>
      </c>
    </row>
    <row r="2347" spans="2:9" ht="15" customHeight="1" x14ac:dyDescent="0.25">
      <c r="B2347" s="51" t="s">
        <v>126</v>
      </c>
      <c r="C2347" s="52">
        <v>275</v>
      </c>
      <c r="D2347" s="53" t="s">
        <v>4329</v>
      </c>
      <c r="E2347" s="54"/>
      <c r="F2347" s="52" t="str">
        <f>IF(INDEX(I.CCUS.StartRange,275)="","",INDEX(I.CCUS.StartRange,275))</f>
        <v/>
      </c>
      <c r="G2347" s="54"/>
      <c r="H2347" s="52" t="str">
        <f>IF(AND(I.Compliance.FulfilledCCUS&gt;0,I.CCUS.RangeCount&gt;=275,F2347=""),"Incomplete","Complete")</f>
        <v>Complete</v>
      </c>
      <c r="I2347" s="55" t="s">
        <v>2544</v>
      </c>
    </row>
    <row r="2348" spans="2:9" ht="15" customHeight="1" x14ac:dyDescent="0.25">
      <c r="B2348" s="51" t="s">
        <v>126</v>
      </c>
      <c r="C2348" s="52">
        <v>276</v>
      </c>
      <c r="D2348" s="53" t="s">
        <v>4329</v>
      </c>
      <c r="E2348" s="54"/>
      <c r="F2348" s="52" t="str">
        <f>IF(INDEX(I.CCUS.StartRange,276)="","",INDEX(I.CCUS.StartRange,276))</f>
        <v/>
      </c>
      <c r="G2348" s="54"/>
      <c r="H2348" s="52" t="str">
        <f>IF(AND(I.Compliance.FulfilledCCUS&gt;0,I.CCUS.RangeCount&gt;=276,F2348=""),"Incomplete","Complete")</f>
        <v>Complete</v>
      </c>
      <c r="I2348" s="55" t="s">
        <v>2545</v>
      </c>
    </row>
    <row r="2349" spans="2:9" ht="15" customHeight="1" x14ac:dyDescent="0.25">
      <c r="B2349" s="51" t="s">
        <v>126</v>
      </c>
      <c r="C2349" s="52">
        <v>277</v>
      </c>
      <c r="D2349" s="53" t="s">
        <v>4329</v>
      </c>
      <c r="E2349" s="54"/>
      <c r="F2349" s="52" t="str">
        <f>IF(INDEX(I.CCUS.StartRange,277)="","",INDEX(I.CCUS.StartRange,277))</f>
        <v/>
      </c>
      <c r="G2349" s="54"/>
      <c r="H2349" s="52" t="str">
        <f>IF(AND(I.Compliance.FulfilledCCUS&gt;0,I.CCUS.RangeCount&gt;=277,F2349=""),"Incomplete","Complete")</f>
        <v>Complete</v>
      </c>
      <c r="I2349" s="55" t="s">
        <v>2546</v>
      </c>
    </row>
    <row r="2350" spans="2:9" ht="15" customHeight="1" x14ac:dyDescent="0.25">
      <c r="B2350" s="51" t="s">
        <v>126</v>
      </c>
      <c r="C2350" s="52">
        <v>278</v>
      </c>
      <c r="D2350" s="53" t="s">
        <v>4329</v>
      </c>
      <c r="E2350" s="54"/>
      <c r="F2350" s="52" t="str">
        <f>IF(INDEX(I.CCUS.StartRange,278)="","",INDEX(I.CCUS.StartRange,278))</f>
        <v/>
      </c>
      <c r="G2350" s="54"/>
      <c r="H2350" s="52" t="str">
        <f>IF(AND(I.Compliance.FulfilledCCUS&gt;0,I.CCUS.RangeCount&gt;=278,F2350=""),"Incomplete","Complete")</f>
        <v>Complete</v>
      </c>
      <c r="I2350" s="55" t="s">
        <v>2547</v>
      </c>
    </row>
    <row r="2351" spans="2:9" ht="15" customHeight="1" x14ac:dyDescent="0.25">
      <c r="B2351" s="51" t="s">
        <v>126</v>
      </c>
      <c r="C2351" s="52">
        <v>279</v>
      </c>
      <c r="D2351" s="53" t="s">
        <v>4329</v>
      </c>
      <c r="E2351" s="54"/>
      <c r="F2351" s="52" t="str">
        <f>IF(INDEX(I.CCUS.StartRange,279)="","",INDEX(I.CCUS.StartRange,279))</f>
        <v/>
      </c>
      <c r="G2351" s="54"/>
      <c r="H2351" s="52" t="str">
        <f>IF(AND(I.Compliance.FulfilledCCUS&gt;0,I.CCUS.RangeCount&gt;=279,F2351=""),"Incomplete","Complete")</f>
        <v>Complete</v>
      </c>
      <c r="I2351" s="55" t="s">
        <v>2548</v>
      </c>
    </row>
    <row r="2352" spans="2:9" ht="15" customHeight="1" x14ac:dyDescent="0.25">
      <c r="B2352" s="51" t="s">
        <v>126</v>
      </c>
      <c r="C2352" s="52">
        <v>280</v>
      </c>
      <c r="D2352" s="53" t="s">
        <v>4329</v>
      </c>
      <c r="E2352" s="54"/>
      <c r="F2352" s="52" t="str">
        <f>IF(INDEX(I.CCUS.StartRange,280)="","",INDEX(I.CCUS.StartRange,280))</f>
        <v/>
      </c>
      <c r="G2352" s="54"/>
      <c r="H2352" s="52" t="str">
        <f>IF(AND(I.Compliance.FulfilledCCUS&gt;0,I.CCUS.RangeCount&gt;=280,F2352=""),"Incomplete","Complete")</f>
        <v>Complete</v>
      </c>
      <c r="I2352" s="55" t="s">
        <v>2549</v>
      </c>
    </row>
    <row r="2353" spans="2:9" ht="15" customHeight="1" x14ac:dyDescent="0.25">
      <c r="B2353" s="51" t="s">
        <v>126</v>
      </c>
      <c r="C2353" s="52">
        <v>281</v>
      </c>
      <c r="D2353" s="53" t="s">
        <v>4329</v>
      </c>
      <c r="E2353" s="54"/>
      <c r="F2353" s="52" t="str">
        <f>IF(INDEX(I.CCUS.StartRange,281)="","",INDEX(I.CCUS.StartRange,281))</f>
        <v/>
      </c>
      <c r="G2353" s="54"/>
      <c r="H2353" s="52" t="str">
        <f>IF(AND(I.Compliance.FulfilledCCUS&gt;0,I.CCUS.RangeCount&gt;=281,F2353=""),"Incomplete","Complete")</f>
        <v>Complete</v>
      </c>
      <c r="I2353" s="55" t="s">
        <v>2550</v>
      </c>
    </row>
    <row r="2354" spans="2:9" ht="15" customHeight="1" x14ac:dyDescent="0.25">
      <c r="B2354" s="51" t="s">
        <v>126</v>
      </c>
      <c r="C2354" s="52">
        <v>282</v>
      </c>
      <c r="D2354" s="53" t="s">
        <v>4329</v>
      </c>
      <c r="E2354" s="54"/>
      <c r="F2354" s="52" t="str">
        <f>IF(INDEX(I.CCUS.StartRange,282)="","",INDEX(I.CCUS.StartRange,282))</f>
        <v/>
      </c>
      <c r="G2354" s="54"/>
      <c r="H2354" s="52" t="str">
        <f>IF(AND(I.Compliance.FulfilledCCUS&gt;0,I.CCUS.RangeCount&gt;=282,F2354=""),"Incomplete","Complete")</f>
        <v>Complete</v>
      </c>
      <c r="I2354" s="55" t="s">
        <v>2551</v>
      </c>
    </row>
    <row r="2355" spans="2:9" ht="15" customHeight="1" x14ac:dyDescent="0.25">
      <c r="B2355" s="51" t="s">
        <v>126</v>
      </c>
      <c r="C2355" s="52">
        <v>283</v>
      </c>
      <c r="D2355" s="53" t="s">
        <v>4329</v>
      </c>
      <c r="E2355" s="54"/>
      <c r="F2355" s="52" t="str">
        <f>IF(INDEX(I.CCUS.StartRange,283)="","",INDEX(I.CCUS.StartRange,283))</f>
        <v/>
      </c>
      <c r="G2355" s="54"/>
      <c r="H2355" s="52" t="str">
        <f>IF(AND(I.Compliance.FulfilledCCUS&gt;0,I.CCUS.RangeCount&gt;=283,F2355=""),"Incomplete","Complete")</f>
        <v>Complete</v>
      </c>
      <c r="I2355" s="55" t="s">
        <v>2552</v>
      </c>
    </row>
    <row r="2356" spans="2:9" ht="15" customHeight="1" x14ac:dyDescent="0.25">
      <c r="B2356" s="51" t="s">
        <v>126</v>
      </c>
      <c r="C2356" s="52">
        <v>284</v>
      </c>
      <c r="D2356" s="53" t="s">
        <v>4329</v>
      </c>
      <c r="E2356" s="54"/>
      <c r="F2356" s="52" t="str">
        <f>IF(INDEX(I.CCUS.StartRange,284)="","",INDEX(I.CCUS.StartRange,284))</f>
        <v/>
      </c>
      <c r="G2356" s="54"/>
      <c r="H2356" s="52" t="str">
        <f>IF(AND(I.Compliance.FulfilledCCUS&gt;0,I.CCUS.RangeCount&gt;=284,F2356=""),"Incomplete","Complete")</f>
        <v>Complete</v>
      </c>
      <c r="I2356" s="55" t="s">
        <v>2553</v>
      </c>
    </row>
    <row r="2357" spans="2:9" ht="15" customHeight="1" x14ac:dyDescent="0.25">
      <c r="B2357" s="51" t="s">
        <v>126</v>
      </c>
      <c r="C2357" s="52">
        <v>285</v>
      </c>
      <c r="D2357" s="53" t="s">
        <v>4329</v>
      </c>
      <c r="E2357" s="54"/>
      <c r="F2357" s="52" t="str">
        <f>IF(INDEX(I.CCUS.StartRange,285)="","",INDEX(I.CCUS.StartRange,285))</f>
        <v/>
      </c>
      <c r="G2357" s="54"/>
      <c r="H2357" s="52" t="str">
        <f>IF(AND(I.Compliance.FulfilledCCUS&gt;0,I.CCUS.RangeCount&gt;=285,F2357=""),"Incomplete","Complete")</f>
        <v>Complete</v>
      </c>
      <c r="I2357" s="55" t="s">
        <v>2554</v>
      </c>
    </row>
    <row r="2358" spans="2:9" ht="15" customHeight="1" x14ac:dyDescent="0.25">
      <c r="B2358" s="51" t="s">
        <v>126</v>
      </c>
      <c r="C2358" s="52">
        <v>286</v>
      </c>
      <c r="D2358" s="53" t="s">
        <v>4329</v>
      </c>
      <c r="E2358" s="54"/>
      <c r="F2358" s="52" t="str">
        <f>IF(INDEX(I.CCUS.StartRange,286)="","",INDEX(I.CCUS.StartRange,286))</f>
        <v/>
      </c>
      <c r="G2358" s="54"/>
      <c r="H2358" s="52" t="str">
        <f>IF(AND(I.Compliance.FulfilledCCUS&gt;0,I.CCUS.RangeCount&gt;=286,F2358=""),"Incomplete","Complete")</f>
        <v>Complete</v>
      </c>
      <c r="I2358" s="55" t="s">
        <v>2555</v>
      </c>
    </row>
    <row r="2359" spans="2:9" ht="15" customHeight="1" x14ac:dyDescent="0.25">
      <c r="B2359" s="51" t="s">
        <v>126</v>
      </c>
      <c r="C2359" s="52">
        <v>287</v>
      </c>
      <c r="D2359" s="53" t="s">
        <v>4329</v>
      </c>
      <c r="E2359" s="54"/>
      <c r="F2359" s="52" t="str">
        <f>IF(INDEX(I.CCUS.StartRange,287)="","",INDEX(I.CCUS.StartRange,287))</f>
        <v/>
      </c>
      <c r="G2359" s="54"/>
      <c r="H2359" s="52" t="str">
        <f>IF(AND(I.Compliance.FulfilledCCUS&gt;0,I.CCUS.RangeCount&gt;=287,F2359=""),"Incomplete","Complete")</f>
        <v>Complete</v>
      </c>
      <c r="I2359" s="55" t="s">
        <v>2556</v>
      </c>
    </row>
    <row r="2360" spans="2:9" ht="15" customHeight="1" x14ac:dyDescent="0.25">
      <c r="B2360" s="51" t="s">
        <v>126</v>
      </c>
      <c r="C2360" s="52">
        <v>288</v>
      </c>
      <c r="D2360" s="53" t="s">
        <v>4329</v>
      </c>
      <c r="E2360" s="54"/>
      <c r="F2360" s="52" t="str">
        <f>IF(INDEX(I.CCUS.StartRange,288)="","",INDEX(I.CCUS.StartRange,288))</f>
        <v/>
      </c>
      <c r="G2360" s="54"/>
      <c r="H2360" s="52" t="str">
        <f>IF(AND(I.Compliance.FulfilledCCUS&gt;0,I.CCUS.RangeCount&gt;=288,F2360=""),"Incomplete","Complete")</f>
        <v>Complete</v>
      </c>
      <c r="I2360" s="55" t="s">
        <v>2557</v>
      </c>
    </row>
    <row r="2361" spans="2:9" ht="15" customHeight="1" x14ac:dyDescent="0.25">
      <c r="B2361" s="51" t="s">
        <v>126</v>
      </c>
      <c r="C2361" s="52">
        <v>289</v>
      </c>
      <c r="D2361" s="53" t="s">
        <v>4329</v>
      </c>
      <c r="E2361" s="54"/>
      <c r="F2361" s="52" t="str">
        <f>IF(INDEX(I.CCUS.StartRange,289)="","",INDEX(I.CCUS.StartRange,289))</f>
        <v/>
      </c>
      <c r="G2361" s="54"/>
      <c r="H2361" s="52" t="str">
        <f>IF(AND(I.Compliance.FulfilledCCUS&gt;0,I.CCUS.RangeCount&gt;=289,F2361=""),"Incomplete","Complete")</f>
        <v>Complete</v>
      </c>
      <c r="I2361" s="55" t="s">
        <v>2558</v>
      </c>
    </row>
    <row r="2362" spans="2:9" ht="15" customHeight="1" x14ac:dyDescent="0.25">
      <c r="B2362" s="51" t="s">
        <v>126</v>
      </c>
      <c r="C2362" s="52">
        <v>290</v>
      </c>
      <c r="D2362" s="53" t="s">
        <v>4329</v>
      </c>
      <c r="E2362" s="54"/>
      <c r="F2362" s="52" t="str">
        <f>IF(INDEX(I.CCUS.StartRange,290)="","",INDEX(I.CCUS.StartRange,290))</f>
        <v/>
      </c>
      <c r="G2362" s="54"/>
      <c r="H2362" s="52" t="str">
        <f>IF(AND(I.Compliance.FulfilledCCUS&gt;0,I.CCUS.RangeCount&gt;=290,F2362=""),"Incomplete","Complete")</f>
        <v>Complete</v>
      </c>
      <c r="I2362" s="55" t="s">
        <v>2559</v>
      </c>
    </row>
    <row r="2363" spans="2:9" ht="15" customHeight="1" x14ac:dyDescent="0.25">
      <c r="B2363" s="51" t="s">
        <v>126</v>
      </c>
      <c r="C2363" s="52">
        <v>291</v>
      </c>
      <c r="D2363" s="53" t="s">
        <v>4329</v>
      </c>
      <c r="E2363" s="54"/>
      <c r="F2363" s="52" t="str">
        <f>IF(INDEX(I.CCUS.StartRange,291)="","",INDEX(I.CCUS.StartRange,291))</f>
        <v/>
      </c>
      <c r="G2363" s="54"/>
      <c r="H2363" s="52" t="str">
        <f>IF(AND(I.Compliance.FulfilledCCUS&gt;0,I.CCUS.RangeCount&gt;=291,F2363=""),"Incomplete","Complete")</f>
        <v>Complete</v>
      </c>
      <c r="I2363" s="55" t="s">
        <v>2560</v>
      </c>
    </row>
    <row r="2364" spans="2:9" ht="15" customHeight="1" x14ac:dyDescent="0.25">
      <c r="B2364" s="51" t="s">
        <v>126</v>
      </c>
      <c r="C2364" s="52">
        <v>292</v>
      </c>
      <c r="D2364" s="53" t="s">
        <v>4329</v>
      </c>
      <c r="E2364" s="54"/>
      <c r="F2364" s="52" t="str">
        <f>IF(INDEX(I.CCUS.StartRange,292)="","",INDEX(I.CCUS.StartRange,292))</f>
        <v/>
      </c>
      <c r="G2364" s="54"/>
      <c r="H2364" s="52" t="str">
        <f>IF(AND(I.Compliance.FulfilledCCUS&gt;0,I.CCUS.RangeCount&gt;=292,F2364=""),"Incomplete","Complete")</f>
        <v>Complete</v>
      </c>
      <c r="I2364" s="55" t="s">
        <v>2561</v>
      </c>
    </row>
    <row r="2365" spans="2:9" ht="15" customHeight="1" x14ac:dyDescent="0.25">
      <c r="B2365" s="51" t="s">
        <v>126</v>
      </c>
      <c r="C2365" s="52">
        <v>293</v>
      </c>
      <c r="D2365" s="53" t="s">
        <v>4329</v>
      </c>
      <c r="E2365" s="54"/>
      <c r="F2365" s="52" t="str">
        <f>IF(INDEX(I.CCUS.StartRange,293)="","",INDEX(I.CCUS.StartRange,293))</f>
        <v/>
      </c>
      <c r="G2365" s="54"/>
      <c r="H2365" s="52" t="str">
        <f>IF(AND(I.Compliance.FulfilledCCUS&gt;0,I.CCUS.RangeCount&gt;=293,F2365=""),"Incomplete","Complete")</f>
        <v>Complete</v>
      </c>
      <c r="I2365" s="55" t="s">
        <v>2562</v>
      </c>
    </row>
    <row r="2366" spans="2:9" ht="15" customHeight="1" x14ac:dyDescent="0.25">
      <c r="B2366" s="51" t="s">
        <v>126</v>
      </c>
      <c r="C2366" s="52">
        <v>294</v>
      </c>
      <c r="D2366" s="53" t="s">
        <v>4329</v>
      </c>
      <c r="E2366" s="54"/>
      <c r="F2366" s="52" t="str">
        <f>IF(INDEX(I.CCUS.StartRange,294)="","",INDEX(I.CCUS.StartRange,294))</f>
        <v/>
      </c>
      <c r="G2366" s="54"/>
      <c r="H2366" s="52" t="str">
        <f>IF(AND(I.Compliance.FulfilledCCUS&gt;0,I.CCUS.RangeCount&gt;=294,F2366=""),"Incomplete","Complete")</f>
        <v>Complete</v>
      </c>
      <c r="I2366" s="55" t="s">
        <v>2563</v>
      </c>
    </row>
    <row r="2367" spans="2:9" ht="15" customHeight="1" x14ac:dyDescent="0.25">
      <c r="B2367" s="51" t="s">
        <v>126</v>
      </c>
      <c r="C2367" s="52">
        <v>295</v>
      </c>
      <c r="D2367" s="53" t="s">
        <v>4329</v>
      </c>
      <c r="E2367" s="54"/>
      <c r="F2367" s="52" t="str">
        <f>IF(INDEX(I.CCUS.StartRange,295)="","",INDEX(I.CCUS.StartRange,295))</f>
        <v/>
      </c>
      <c r="G2367" s="54"/>
      <c r="H2367" s="52" t="str">
        <f>IF(AND(I.Compliance.FulfilledCCUS&gt;0,I.CCUS.RangeCount&gt;=295,F2367=""),"Incomplete","Complete")</f>
        <v>Complete</v>
      </c>
      <c r="I2367" s="55" t="s">
        <v>2564</v>
      </c>
    </row>
    <row r="2368" spans="2:9" ht="15" customHeight="1" x14ac:dyDescent="0.25">
      <c r="B2368" s="51" t="s">
        <v>126</v>
      </c>
      <c r="C2368" s="52">
        <v>296</v>
      </c>
      <c r="D2368" s="53" t="s">
        <v>4329</v>
      </c>
      <c r="E2368" s="54"/>
      <c r="F2368" s="52" t="str">
        <f>IF(INDEX(I.CCUS.StartRange,296)="","",INDEX(I.CCUS.StartRange,296))</f>
        <v/>
      </c>
      <c r="G2368" s="54"/>
      <c r="H2368" s="52" t="str">
        <f>IF(AND(I.Compliance.FulfilledCCUS&gt;0,I.CCUS.RangeCount&gt;=296,F2368=""),"Incomplete","Complete")</f>
        <v>Complete</v>
      </c>
      <c r="I2368" s="55" t="s">
        <v>2565</v>
      </c>
    </row>
    <row r="2369" spans="2:9" ht="15" customHeight="1" x14ac:dyDescent="0.25">
      <c r="B2369" s="51" t="s">
        <v>126</v>
      </c>
      <c r="C2369" s="52">
        <v>297</v>
      </c>
      <c r="D2369" s="53" t="s">
        <v>4329</v>
      </c>
      <c r="E2369" s="54"/>
      <c r="F2369" s="52" t="str">
        <f>IF(INDEX(I.CCUS.StartRange,297)="","",INDEX(I.CCUS.StartRange,297))</f>
        <v/>
      </c>
      <c r="G2369" s="54"/>
      <c r="H2369" s="52" t="str">
        <f>IF(AND(I.Compliance.FulfilledCCUS&gt;0,I.CCUS.RangeCount&gt;=297,F2369=""),"Incomplete","Complete")</f>
        <v>Complete</v>
      </c>
      <c r="I2369" s="55" t="s">
        <v>2566</v>
      </c>
    </row>
    <row r="2370" spans="2:9" ht="15" customHeight="1" x14ac:dyDescent="0.25">
      <c r="B2370" s="51" t="s">
        <v>126</v>
      </c>
      <c r="C2370" s="52">
        <v>298</v>
      </c>
      <c r="D2370" s="53" t="s">
        <v>4329</v>
      </c>
      <c r="E2370" s="54"/>
      <c r="F2370" s="52" t="str">
        <f>IF(INDEX(I.CCUS.StartRange,298)="","",INDEX(I.CCUS.StartRange,298))</f>
        <v/>
      </c>
      <c r="G2370" s="54"/>
      <c r="H2370" s="52" t="str">
        <f>IF(AND(I.Compliance.FulfilledCCUS&gt;0,I.CCUS.RangeCount&gt;=298,F2370=""),"Incomplete","Complete")</f>
        <v>Complete</v>
      </c>
      <c r="I2370" s="55" t="s">
        <v>2567</v>
      </c>
    </row>
    <row r="2371" spans="2:9" ht="15" customHeight="1" x14ac:dyDescent="0.25">
      <c r="B2371" s="51" t="s">
        <v>126</v>
      </c>
      <c r="C2371" s="52">
        <v>299</v>
      </c>
      <c r="D2371" s="53" t="s">
        <v>4329</v>
      </c>
      <c r="E2371" s="54"/>
      <c r="F2371" s="52" t="str">
        <f>IF(INDEX(I.CCUS.StartRange,299)="","",INDEX(I.CCUS.StartRange,299))</f>
        <v/>
      </c>
      <c r="G2371" s="54"/>
      <c r="H2371" s="52" t="str">
        <f>IF(AND(I.Compliance.FulfilledCCUS&gt;0,I.CCUS.RangeCount&gt;=299,F2371=""),"Incomplete","Complete")</f>
        <v>Complete</v>
      </c>
      <c r="I2371" s="55" t="s">
        <v>2568</v>
      </c>
    </row>
    <row r="2372" spans="2:9" ht="15" customHeight="1" x14ac:dyDescent="0.25">
      <c r="B2372" s="51" t="s">
        <v>126</v>
      </c>
      <c r="C2372" s="52">
        <v>300</v>
      </c>
      <c r="D2372" s="53" t="s">
        <v>4329</v>
      </c>
      <c r="E2372" s="54"/>
      <c r="F2372" s="52" t="str">
        <f>IF(INDEX(I.CCUS.StartRange,300)="","",INDEX(I.CCUS.StartRange,300))</f>
        <v/>
      </c>
      <c r="G2372" s="54"/>
      <c r="H2372" s="52" t="str">
        <f>IF(AND(I.Compliance.FulfilledCCUS&gt;0,I.CCUS.RangeCount&gt;=300,F2372=""),"Incomplete","Complete")</f>
        <v>Complete</v>
      </c>
      <c r="I2372" s="55" t="s">
        <v>2569</v>
      </c>
    </row>
    <row r="2373" spans="2:9" ht="15" customHeight="1" x14ac:dyDescent="0.25">
      <c r="B2373" s="51" t="s">
        <v>126</v>
      </c>
      <c r="C2373" s="52">
        <v>301</v>
      </c>
      <c r="D2373" s="53" t="s">
        <v>4329</v>
      </c>
      <c r="E2373" s="54"/>
      <c r="F2373" s="52" t="str">
        <f>IF(INDEX(I.CCUS.StartRange,301)="","",INDEX(I.CCUS.StartRange,301))</f>
        <v/>
      </c>
      <c r="G2373" s="54"/>
      <c r="H2373" s="52" t="str">
        <f>IF(AND(I.Compliance.FulfilledCCUS&gt;0,I.CCUS.RangeCount&gt;=301,F2373=""),"Incomplete","Complete")</f>
        <v>Complete</v>
      </c>
      <c r="I2373" s="55" t="s">
        <v>2570</v>
      </c>
    </row>
    <row r="2374" spans="2:9" ht="15" customHeight="1" x14ac:dyDescent="0.25">
      <c r="B2374" s="51" t="s">
        <v>126</v>
      </c>
      <c r="C2374" s="52">
        <v>302</v>
      </c>
      <c r="D2374" s="53" t="s">
        <v>4329</v>
      </c>
      <c r="E2374" s="54"/>
      <c r="F2374" s="52" t="str">
        <f>IF(INDEX(I.CCUS.StartRange,302)="","",INDEX(I.CCUS.StartRange,302))</f>
        <v/>
      </c>
      <c r="G2374" s="54"/>
      <c r="H2374" s="52" t="str">
        <f>IF(AND(I.Compliance.FulfilledCCUS&gt;0,I.CCUS.RangeCount&gt;=302,F2374=""),"Incomplete","Complete")</f>
        <v>Complete</v>
      </c>
      <c r="I2374" s="55" t="s">
        <v>2571</v>
      </c>
    </row>
    <row r="2375" spans="2:9" ht="15" customHeight="1" x14ac:dyDescent="0.25">
      <c r="B2375" s="51" t="s">
        <v>126</v>
      </c>
      <c r="C2375" s="52">
        <v>303</v>
      </c>
      <c r="D2375" s="53" t="s">
        <v>4329</v>
      </c>
      <c r="E2375" s="54"/>
      <c r="F2375" s="52" t="str">
        <f>IF(INDEX(I.CCUS.StartRange,303)="","",INDEX(I.CCUS.StartRange,303))</f>
        <v/>
      </c>
      <c r="G2375" s="54"/>
      <c r="H2375" s="52" t="str">
        <f>IF(AND(I.Compliance.FulfilledCCUS&gt;0,I.CCUS.RangeCount&gt;=303,F2375=""),"Incomplete","Complete")</f>
        <v>Complete</v>
      </c>
      <c r="I2375" s="55" t="s">
        <v>2572</v>
      </c>
    </row>
    <row r="2376" spans="2:9" ht="15" customHeight="1" x14ac:dyDescent="0.25">
      <c r="B2376" s="51" t="s">
        <v>126</v>
      </c>
      <c r="C2376" s="52">
        <v>304</v>
      </c>
      <c r="D2376" s="53" t="s">
        <v>4329</v>
      </c>
      <c r="E2376" s="54"/>
      <c r="F2376" s="52" t="str">
        <f>IF(INDEX(I.CCUS.StartRange,304)="","",INDEX(I.CCUS.StartRange,304))</f>
        <v/>
      </c>
      <c r="G2376" s="54"/>
      <c r="H2376" s="52" t="str">
        <f>IF(AND(I.Compliance.FulfilledCCUS&gt;0,I.CCUS.RangeCount&gt;=304,F2376=""),"Incomplete","Complete")</f>
        <v>Complete</v>
      </c>
      <c r="I2376" s="55" t="s">
        <v>2573</v>
      </c>
    </row>
    <row r="2377" spans="2:9" ht="15" customHeight="1" x14ac:dyDescent="0.25">
      <c r="B2377" s="51" t="s">
        <v>126</v>
      </c>
      <c r="C2377" s="52">
        <v>305</v>
      </c>
      <c r="D2377" s="53" t="s">
        <v>4329</v>
      </c>
      <c r="E2377" s="54"/>
      <c r="F2377" s="52" t="str">
        <f>IF(INDEX(I.CCUS.StartRange,305)="","",INDEX(I.CCUS.StartRange,305))</f>
        <v/>
      </c>
      <c r="G2377" s="54"/>
      <c r="H2377" s="52" t="str">
        <f>IF(AND(I.Compliance.FulfilledCCUS&gt;0,I.CCUS.RangeCount&gt;=305,F2377=""),"Incomplete","Complete")</f>
        <v>Complete</v>
      </c>
      <c r="I2377" s="55" t="s">
        <v>2574</v>
      </c>
    </row>
    <row r="2378" spans="2:9" ht="15" customHeight="1" x14ac:dyDescent="0.25">
      <c r="B2378" s="51" t="s">
        <v>126</v>
      </c>
      <c r="C2378" s="52">
        <v>306</v>
      </c>
      <c r="D2378" s="53" t="s">
        <v>4329</v>
      </c>
      <c r="E2378" s="54"/>
      <c r="F2378" s="52" t="str">
        <f>IF(INDEX(I.CCUS.StartRange,306)="","",INDEX(I.CCUS.StartRange,306))</f>
        <v/>
      </c>
      <c r="G2378" s="54"/>
      <c r="H2378" s="52" t="str">
        <f>IF(AND(I.Compliance.FulfilledCCUS&gt;0,I.CCUS.RangeCount&gt;=306,F2378=""),"Incomplete","Complete")</f>
        <v>Complete</v>
      </c>
      <c r="I2378" s="55" t="s">
        <v>2575</v>
      </c>
    </row>
    <row r="2379" spans="2:9" ht="15" customHeight="1" x14ac:dyDescent="0.25">
      <c r="B2379" s="51" t="s">
        <v>126</v>
      </c>
      <c r="C2379" s="52">
        <v>307</v>
      </c>
      <c r="D2379" s="53" t="s">
        <v>4329</v>
      </c>
      <c r="E2379" s="54"/>
      <c r="F2379" s="52" t="str">
        <f>IF(INDEX(I.CCUS.StartRange,307)="","",INDEX(I.CCUS.StartRange,307))</f>
        <v/>
      </c>
      <c r="G2379" s="54"/>
      <c r="H2379" s="52" t="str">
        <f>IF(AND(I.Compliance.FulfilledCCUS&gt;0,I.CCUS.RangeCount&gt;=307,F2379=""),"Incomplete","Complete")</f>
        <v>Complete</v>
      </c>
      <c r="I2379" s="55" t="s">
        <v>2576</v>
      </c>
    </row>
    <row r="2380" spans="2:9" ht="15" customHeight="1" x14ac:dyDescent="0.25">
      <c r="B2380" s="51" t="s">
        <v>126</v>
      </c>
      <c r="C2380" s="52">
        <v>308</v>
      </c>
      <c r="D2380" s="53" t="s">
        <v>4329</v>
      </c>
      <c r="E2380" s="54"/>
      <c r="F2380" s="52" t="str">
        <f>IF(INDEX(I.CCUS.StartRange,308)="","",INDEX(I.CCUS.StartRange,308))</f>
        <v/>
      </c>
      <c r="G2380" s="54"/>
      <c r="H2380" s="52" t="str">
        <f>IF(AND(I.Compliance.FulfilledCCUS&gt;0,I.CCUS.RangeCount&gt;=308,F2380=""),"Incomplete","Complete")</f>
        <v>Complete</v>
      </c>
      <c r="I2380" s="55" t="s">
        <v>2577</v>
      </c>
    </row>
    <row r="2381" spans="2:9" ht="15" customHeight="1" x14ac:dyDescent="0.25">
      <c r="B2381" s="51" t="s">
        <v>126</v>
      </c>
      <c r="C2381" s="52">
        <v>309</v>
      </c>
      <c r="D2381" s="53" t="s">
        <v>4329</v>
      </c>
      <c r="E2381" s="54"/>
      <c r="F2381" s="52" t="str">
        <f>IF(INDEX(I.CCUS.StartRange,309)="","",INDEX(I.CCUS.StartRange,309))</f>
        <v/>
      </c>
      <c r="G2381" s="54"/>
      <c r="H2381" s="52" t="str">
        <f>IF(AND(I.Compliance.FulfilledCCUS&gt;0,I.CCUS.RangeCount&gt;=309,F2381=""),"Incomplete","Complete")</f>
        <v>Complete</v>
      </c>
      <c r="I2381" s="55" t="s">
        <v>2578</v>
      </c>
    </row>
    <row r="2382" spans="2:9" ht="15" customHeight="1" x14ac:dyDescent="0.25">
      <c r="B2382" s="51" t="s">
        <v>126</v>
      </c>
      <c r="C2382" s="52">
        <v>310</v>
      </c>
      <c r="D2382" s="53" t="s">
        <v>4329</v>
      </c>
      <c r="E2382" s="54"/>
      <c r="F2382" s="52" t="str">
        <f>IF(INDEX(I.CCUS.StartRange,310)="","",INDEX(I.CCUS.StartRange,310))</f>
        <v/>
      </c>
      <c r="G2382" s="54"/>
      <c r="H2382" s="52" t="str">
        <f>IF(AND(I.Compliance.FulfilledCCUS&gt;0,I.CCUS.RangeCount&gt;=310,F2382=""),"Incomplete","Complete")</f>
        <v>Complete</v>
      </c>
      <c r="I2382" s="55" t="s">
        <v>2579</v>
      </c>
    </row>
    <row r="2383" spans="2:9" ht="15" customHeight="1" x14ac:dyDescent="0.25">
      <c r="B2383" s="51" t="s">
        <v>126</v>
      </c>
      <c r="C2383" s="52">
        <v>311</v>
      </c>
      <c r="D2383" s="53" t="s">
        <v>4329</v>
      </c>
      <c r="E2383" s="54"/>
      <c r="F2383" s="52" t="str">
        <f>IF(INDEX(I.CCUS.StartRange,311)="","",INDEX(I.CCUS.StartRange,311))</f>
        <v/>
      </c>
      <c r="G2383" s="54"/>
      <c r="H2383" s="52" t="str">
        <f>IF(AND(I.Compliance.FulfilledCCUS&gt;0,I.CCUS.RangeCount&gt;=311,F2383=""),"Incomplete","Complete")</f>
        <v>Complete</v>
      </c>
      <c r="I2383" s="55" t="s">
        <v>2580</v>
      </c>
    </row>
    <row r="2384" spans="2:9" ht="15" customHeight="1" x14ac:dyDescent="0.25">
      <c r="B2384" s="51" t="s">
        <v>126</v>
      </c>
      <c r="C2384" s="52">
        <v>312</v>
      </c>
      <c r="D2384" s="53" t="s">
        <v>4329</v>
      </c>
      <c r="E2384" s="54"/>
      <c r="F2384" s="52" t="str">
        <f>IF(INDEX(I.CCUS.StartRange,312)="","",INDEX(I.CCUS.StartRange,312))</f>
        <v/>
      </c>
      <c r="G2384" s="54"/>
      <c r="H2384" s="52" t="str">
        <f>IF(AND(I.Compliance.FulfilledCCUS&gt;0,I.CCUS.RangeCount&gt;=312,F2384=""),"Incomplete","Complete")</f>
        <v>Complete</v>
      </c>
      <c r="I2384" s="55" t="s">
        <v>2581</v>
      </c>
    </row>
    <row r="2385" spans="2:9" ht="15" customHeight="1" x14ac:dyDescent="0.25">
      <c r="B2385" s="51" t="s">
        <v>126</v>
      </c>
      <c r="C2385" s="52">
        <v>313</v>
      </c>
      <c r="D2385" s="53" t="s">
        <v>4329</v>
      </c>
      <c r="E2385" s="54"/>
      <c r="F2385" s="52" t="str">
        <f>IF(INDEX(I.CCUS.StartRange,313)="","",INDEX(I.CCUS.StartRange,313))</f>
        <v/>
      </c>
      <c r="G2385" s="54"/>
      <c r="H2385" s="52" t="str">
        <f>IF(AND(I.Compliance.FulfilledCCUS&gt;0,I.CCUS.RangeCount&gt;=313,F2385=""),"Incomplete","Complete")</f>
        <v>Complete</v>
      </c>
      <c r="I2385" s="55" t="s">
        <v>2582</v>
      </c>
    </row>
    <row r="2386" spans="2:9" ht="15" customHeight="1" x14ac:dyDescent="0.25">
      <c r="B2386" s="51" t="s">
        <v>126</v>
      </c>
      <c r="C2386" s="52">
        <v>314</v>
      </c>
      <c r="D2386" s="53" t="s">
        <v>4329</v>
      </c>
      <c r="E2386" s="54"/>
      <c r="F2386" s="52" t="str">
        <f>IF(INDEX(I.CCUS.StartRange,314)="","",INDEX(I.CCUS.StartRange,314))</f>
        <v/>
      </c>
      <c r="G2386" s="54"/>
      <c r="H2386" s="52" t="str">
        <f>IF(AND(I.Compliance.FulfilledCCUS&gt;0,I.CCUS.RangeCount&gt;=314,F2386=""),"Incomplete","Complete")</f>
        <v>Complete</v>
      </c>
      <c r="I2386" s="55" t="s">
        <v>2583</v>
      </c>
    </row>
    <row r="2387" spans="2:9" ht="15" customHeight="1" x14ac:dyDescent="0.25">
      <c r="B2387" s="51" t="s">
        <v>126</v>
      </c>
      <c r="C2387" s="52">
        <v>315</v>
      </c>
      <c r="D2387" s="53" t="s">
        <v>4329</v>
      </c>
      <c r="E2387" s="54"/>
      <c r="F2387" s="52" t="str">
        <f>IF(INDEX(I.CCUS.StartRange,315)="","",INDEX(I.CCUS.StartRange,315))</f>
        <v/>
      </c>
      <c r="G2387" s="54"/>
      <c r="H2387" s="52" t="str">
        <f>IF(AND(I.Compliance.FulfilledCCUS&gt;0,I.CCUS.RangeCount&gt;=315,F2387=""),"Incomplete","Complete")</f>
        <v>Complete</v>
      </c>
      <c r="I2387" s="55" t="s">
        <v>2584</v>
      </c>
    </row>
    <row r="2388" spans="2:9" ht="15" customHeight="1" x14ac:dyDescent="0.25">
      <c r="B2388" s="51" t="s">
        <v>126</v>
      </c>
      <c r="C2388" s="52">
        <v>316</v>
      </c>
      <c r="D2388" s="53" t="s">
        <v>4329</v>
      </c>
      <c r="E2388" s="54"/>
      <c r="F2388" s="52" t="str">
        <f>IF(INDEX(I.CCUS.StartRange,316)="","",INDEX(I.CCUS.StartRange,316))</f>
        <v/>
      </c>
      <c r="G2388" s="54"/>
      <c r="H2388" s="52" t="str">
        <f>IF(AND(I.Compliance.FulfilledCCUS&gt;0,I.CCUS.RangeCount&gt;=316,F2388=""),"Incomplete","Complete")</f>
        <v>Complete</v>
      </c>
      <c r="I2388" s="55" t="s">
        <v>2585</v>
      </c>
    </row>
    <row r="2389" spans="2:9" ht="15" customHeight="1" x14ac:dyDescent="0.25">
      <c r="B2389" s="51" t="s">
        <v>126</v>
      </c>
      <c r="C2389" s="52">
        <v>317</v>
      </c>
      <c r="D2389" s="53" t="s">
        <v>4329</v>
      </c>
      <c r="E2389" s="54"/>
      <c r="F2389" s="52" t="str">
        <f>IF(INDEX(I.CCUS.StartRange,317)="","",INDEX(I.CCUS.StartRange,317))</f>
        <v/>
      </c>
      <c r="G2389" s="54"/>
      <c r="H2389" s="52" t="str">
        <f>IF(AND(I.Compliance.FulfilledCCUS&gt;0,I.CCUS.RangeCount&gt;=317,F2389=""),"Incomplete","Complete")</f>
        <v>Complete</v>
      </c>
      <c r="I2389" s="55" t="s">
        <v>2586</v>
      </c>
    </row>
    <row r="2390" spans="2:9" ht="15" customHeight="1" x14ac:dyDescent="0.25">
      <c r="B2390" s="51" t="s">
        <v>126</v>
      </c>
      <c r="C2390" s="52">
        <v>318</v>
      </c>
      <c r="D2390" s="53" t="s">
        <v>4329</v>
      </c>
      <c r="E2390" s="54"/>
      <c r="F2390" s="52" t="str">
        <f>IF(INDEX(I.CCUS.StartRange,318)="","",INDEX(I.CCUS.StartRange,318))</f>
        <v/>
      </c>
      <c r="G2390" s="54"/>
      <c r="H2390" s="52" t="str">
        <f>IF(AND(I.Compliance.FulfilledCCUS&gt;0,I.CCUS.RangeCount&gt;=318,F2390=""),"Incomplete","Complete")</f>
        <v>Complete</v>
      </c>
      <c r="I2390" s="55" t="s">
        <v>2587</v>
      </c>
    </row>
    <row r="2391" spans="2:9" ht="15" customHeight="1" x14ac:dyDescent="0.25">
      <c r="B2391" s="51" t="s">
        <v>126</v>
      </c>
      <c r="C2391" s="52">
        <v>319</v>
      </c>
      <c r="D2391" s="53" t="s">
        <v>4329</v>
      </c>
      <c r="E2391" s="54"/>
      <c r="F2391" s="52" t="str">
        <f>IF(INDEX(I.CCUS.StartRange,319)="","",INDEX(I.CCUS.StartRange,319))</f>
        <v/>
      </c>
      <c r="G2391" s="54"/>
      <c r="H2391" s="52" t="str">
        <f>IF(AND(I.Compliance.FulfilledCCUS&gt;0,I.CCUS.RangeCount&gt;=319,F2391=""),"Incomplete","Complete")</f>
        <v>Complete</v>
      </c>
      <c r="I2391" s="55" t="s">
        <v>2588</v>
      </c>
    </row>
    <row r="2392" spans="2:9" ht="15" customHeight="1" x14ac:dyDescent="0.25">
      <c r="B2392" s="51" t="s">
        <v>126</v>
      </c>
      <c r="C2392" s="52">
        <v>320</v>
      </c>
      <c r="D2392" s="53" t="s">
        <v>4329</v>
      </c>
      <c r="E2392" s="54"/>
      <c r="F2392" s="52" t="str">
        <f>IF(INDEX(I.CCUS.StartRange,320)="","",INDEX(I.CCUS.StartRange,320))</f>
        <v/>
      </c>
      <c r="G2392" s="54"/>
      <c r="H2392" s="52" t="str">
        <f>IF(AND(I.Compliance.FulfilledCCUS&gt;0,I.CCUS.RangeCount&gt;=320,F2392=""),"Incomplete","Complete")</f>
        <v>Complete</v>
      </c>
      <c r="I2392" s="55" t="s">
        <v>2589</v>
      </c>
    </row>
    <row r="2393" spans="2:9" ht="15" customHeight="1" x14ac:dyDescent="0.25">
      <c r="B2393" s="51" t="s">
        <v>126</v>
      </c>
      <c r="C2393" s="52">
        <v>321</v>
      </c>
      <c r="D2393" s="53" t="s">
        <v>4329</v>
      </c>
      <c r="E2393" s="54"/>
      <c r="F2393" s="52" t="str">
        <f>IF(INDEX(I.CCUS.StartRange,321)="","",INDEX(I.CCUS.StartRange,321))</f>
        <v/>
      </c>
      <c r="G2393" s="54"/>
      <c r="H2393" s="52" t="str">
        <f>IF(AND(I.Compliance.FulfilledCCUS&gt;0,I.CCUS.RangeCount&gt;=321,F2393=""),"Incomplete","Complete")</f>
        <v>Complete</v>
      </c>
      <c r="I2393" s="55" t="s">
        <v>2590</v>
      </c>
    </row>
    <row r="2394" spans="2:9" ht="15" customHeight="1" x14ac:dyDescent="0.25">
      <c r="B2394" s="51" t="s">
        <v>126</v>
      </c>
      <c r="C2394" s="52">
        <v>322</v>
      </c>
      <c r="D2394" s="53" t="s">
        <v>4329</v>
      </c>
      <c r="E2394" s="54"/>
      <c r="F2394" s="52" t="str">
        <f>IF(INDEX(I.CCUS.StartRange,322)="","",INDEX(I.CCUS.StartRange,322))</f>
        <v/>
      </c>
      <c r="G2394" s="54"/>
      <c r="H2394" s="52" t="str">
        <f>IF(AND(I.Compliance.FulfilledCCUS&gt;0,I.CCUS.RangeCount&gt;=322,F2394=""),"Incomplete","Complete")</f>
        <v>Complete</v>
      </c>
      <c r="I2394" s="55" t="s">
        <v>2591</v>
      </c>
    </row>
    <row r="2395" spans="2:9" ht="15" customHeight="1" x14ac:dyDescent="0.25">
      <c r="B2395" s="51" t="s">
        <v>126</v>
      </c>
      <c r="C2395" s="52">
        <v>323</v>
      </c>
      <c r="D2395" s="53" t="s">
        <v>4329</v>
      </c>
      <c r="E2395" s="54"/>
      <c r="F2395" s="52" t="str">
        <f>IF(INDEX(I.CCUS.StartRange,323)="","",INDEX(I.CCUS.StartRange,323))</f>
        <v/>
      </c>
      <c r="G2395" s="54"/>
      <c r="H2395" s="52" t="str">
        <f>IF(AND(I.Compliance.FulfilledCCUS&gt;0,I.CCUS.RangeCount&gt;=323,F2395=""),"Incomplete","Complete")</f>
        <v>Complete</v>
      </c>
      <c r="I2395" s="55" t="s">
        <v>2592</v>
      </c>
    </row>
    <row r="2396" spans="2:9" ht="15" customHeight="1" x14ac:dyDescent="0.25">
      <c r="B2396" s="51" t="s">
        <v>126</v>
      </c>
      <c r="C2396" s="52">
        <v>324</v>
      </c>
      <c r="D2396" s="53" t="s">
        <v>4329</v>
      </c>
      <c r="E2396" s="54"/>
      <c r="F2396" s="52" t="str">
        <f>IF(INDEX(I.CCUS.StartRange,324)="","",INDEX(I.CCUS.StartRange,324))</f>
        <v/>
      </c>
      <c r="G2396" s="54"/>
      <c r="H2396" s="52" t="str">
        <f>IF(AND(I.Compliance.FulfilledCCUS&gt;0,I.CCUS.RangeCount&gt;=324,F2396=""),"Incomplete","Complete")</f>
        <v>Complete</v>
      </c>
      <c r="I2396" s="55" t="s">
        <v>2593</v>
      </c>
    </row>
    <row r="2397" spans="2:9" ht="15" customHeight="1" x14ac:dyDescent="0.25">
      <c r="B2397" s="51" t="s">
        <v>126</v>
      </c>
      <c r="C2397" s="52">
        <v>325</v>
      </c>
      <c r="D2397" s="53" t="s">
        <v>4329</v>
      </c>
      <c r="E2397" s="54"/>
      <c r="F2397" s="52" t="str">
        <f>IF(INDEX(I.CCUS.StartRange,325)="","",INDEX(I.CCUS.StartRange,325))</f>
        <v/>
      </c>
      <c r="G2397" s="54"/>
      <c r="H2397" s="52" t="str">
        <f>IF(AND(I.Compliance.FulfilledCCUS&gt;0,I.CCUS.RangeCount&gt;=325,F2397=""),"Incomplete","Complete")</f>
        <v>Complete</v>
      </c>
      <c r="I2397" s="55" t="s">
        <v>2594</v>
      </c>
    </row>
    <row r="2398" spans="2:9" ht="15" customHeight="1" x14ac:dyDescent="0.25">
      <c r="B2398" s="51" t="s">
        <v>126</v>
      </c>
      <c r="C2398" s="52">
        <v>326</v>
      </c>
      <c r="D2398" s="53" t="s">
        <v>4329</v>
      </c>
      <c r="E2398" s="54"/>
      <c r="F2398" s="52" t="str">
        <f>IF(INDEX(I.CCUS.StartRange,326)="","",INDEX(I.CCUS.StartRange,326))</f>
        <v/>
      </c>
      <c r="G2398" s="54"/>
      <c r="H2398" s="52" t="str">
        <f>IF(AND(I.Compliance.FulfilledCCUS&gt;0,I.CCUS.RangeCount&gt;=326,F2398=""),"Incomplete","Complete")</f>
        <v>Complete</v>
      </c>
      <c r="I2398" s="55" t="s">
        <v>2595</v>
      </c>
    </row>
    <row r="2399" spans="2:9" ht="15" customHeight="1" x14ac:dyDescent="0.25">
      <c r="B2399" s="51" t="s">
        <v>126</v>
      </c>
      <c r="C2399" s="52">
        <v>327</v>
      </c>
      <c r="D2399" s="53" t="s">
        <v>4329</v>
      </c>
      <c r="E2399" s="54"/>
      <c r="F2399" s="52" t="str">
        <f>IF(INDEX(I.CCUS.StartRange,327)="","",INDEX(I.CCUS.StartRange,327))</f>
        <v/>
      </c>
      <c r="G2399" s="54"/>
      <c r="H2399" s="52" t="str">
        <f>IF(AND(I.Compliance.FulfilledCCUS&gt;0,I.CCUS.RangeCount&gt;=327,F2399=""),"Incomplete","Complete")</f>
        <v>Complete</v>
      </c>
      <c r="I2399" s="55" t="s">
        <v>2596</v>
      </c>
    </row>
    <row r="2400" spans="2:9" ht="15" customHeight="1" x14ac:dyDescent="0.25">
      <c r="B2400" s="51" t="s">
        <v>126</v>
      </c>
      <c r="C2400" s="52">
        <v>328</v>
      </c>
      <c r="D2400" s="53" t="s">
        <v>4329</v>
      </c>
      <c r="E2400" s="54"/>
      <c r="F2400" s="52" t="str">
        <f>IF(INDEX(I.CCUS.StartRange,328)="","",INDEX(I.CCUS.StartRange,328))</f>
        <v/>
      </c>
      <c r="G2400" s="54"/>
      <c r="H2400" s="52" t="str">
        <f>IF(AND(I.Compliance.FulfilledCCUS&gt;0,I.CCUS.RangeCount&gt;=328,F2400=""),"Incomplete","Complete")</f>
        <v>Complete</v>
      </c>
      <c r="I2400" s="55" t="s">
        <v>2597</v>
      </c>
    </row>
    <row r="2401" spans="2:9" ht="15" customHeight="1" x14ac:dyDescent="0.25">
      <c r="B2401" s="51" t="s">
        <v>126</v>
      </c>
      <c r="C2401" s="52">
        <v>329</v>
      </c>
      <c r="D2401" s="53" t="s">
        <v>4329</v>
      </c>
      <c r="E2401" s="54"/>
      <c r="F2401" s="52" t="str">
        <f>IF(INDEX(I.CCUS.StartRange,329)="","",INDEX(I.CCUS.StartRange,329))</f>
        <v/>
      </c>
      <c r="G2401" s="54"/>
      <c r="H2401" s="52" t="str">
        <f>IF(AND(I.Compliance.FulfilledCCUS&gt;0,I.CCUS.RangeCount&gt;=329,F2401=""),"Incomplete","Complete")</f>
        <v>Complete</v>
      </c>
      <c r="I2401" s="55" t="s">
        <v>2598</v>
      </c>
    </row>
    <row r="2402" spans="2:9" ht="15" customHeight="1" x14ac:dyDescent="0.25">
      <c r="B2402" s="51" t="s">
        <v>126</v>
      </c>
      <c r="C2402" s="52">
        <v>330</v>
      </c>
      <c r="D2402" s="53" t="s">
        <v>4329</v>
      </c>
      <c r="E2402" s="54"/>
      <c r="F2402" s="52" t="str">
        <f>IF(INDEX(I.CCUS.StartRange,330)="","",INDEX(I.CCUS.StartRange,330))</f>
        <v/>
      </c>
      <c r="G2402" s="54"/>
      <c r="H2402" s="52" t="str">
        <f>IF(AND(I.Compliance.FulfilledCCUS&gt;0,I.CCUS.RangeCount&gt;=330,F2402=""),"Incomplete","Complete")</f>
        <v>Complete</v>
      </c>
      <c r="I2402" s="55" t="s">
        <v>2599</v>
      </c>
    </row>
    <row r="2403" spans="2:9" ht="15" customHeight="1" x14ac:dyDescent="0.25">
      <c r="B2403" s="51" t="s">
        <v>126</v>
      </c>
      <c r="C2403" s="52">
        <v>331</v>
      </c>
      <c r="D2403" s="53" t="s">
        <v>4329</v>
      </c>
      <c r="E2403" s="54"/>
      <c r="F2403" s="52" t="str">
        <f>IF(INDEX(I.CCUS.StartRange,331)="","",INDEX(I.CCUS.StartRange,331))</f>
        <v/>
      </c>
      <c r="G2403" s="54"/>
      <c r="H2403" s="52" t="str">
        <f>IF(AND(I.Compliance.FulfilledCCUS&gt;0,I.CCUS.RangeCount&gt;=331,F2403=""),"Incomplete","Complete")</f>
        <v>Complete</v>
      </c>
      <c r="I2403" s="55" t="s">
        <v>2600</v>
      </c>
    </row>
    <row r="2404" spans="2:9" ht="15" customHeight="1" x14ac:dyDescent="0.25">
      <c r="B2404" s="51" t="s">
        <v>126</v>
      </c>
      <c r="C2404" s="52">
        <v>332</v>
      </c>
      <c r="D2404" s="53" t="s">
        <v>4329</v>
      </c>
      <c r="E2404" s="54"/>
      <c r="F2404" s="52" t="str">
        <f>IF(INDEX(I.CCUS.StartRange,332)="","",INDEX(I.CCUS.StartRange,332))</f>
        <v/>
      </c>
      <c r="G2404" s="54"/>
      <c r="H2404" s="52" t="str">
        <f>IF(AND(I.Compliance.FulfilledCCUS&gt;0,I.CCUS.RangeCount&gt;=332,F2404=""),"Incomplete","Complete")</f>
        <v>Complete</v>
      </c>
      <c r="I2404" s="55" t="s">
        <v>2601</v>
      </c>
    </row>
    <row r="2405" spans="2:9" ht="15" customHeight="1" x14ac:dyDescent="0.25">
      <c r="B2405" s="51" t="s">
        <v>126</v>
      </c>
      <c r="C2405" s="52">
        <v>333</v>
      </c>
      <c r="D2405" s="53" t="s">
        <v>4329</v>
      </c>
      <c r="E2405" s="54"/>
      <c r="F2405" s="52" t="str">
        <f>IF(INDEX(I.CCUS.StartRange,333)="","",INDEX(I.CCUS.StartRange,333))</f>
        <v/>
      </c>
      <c r="G2405" s="54"/>
      <c r="H2405" s="52" t="str">
        <f>IF(AND(I.Compliance.FulfilledCCUS&gt;0,I.CCUS.RangeCount&gt;=333,F2405=""),"Incomplete","Complete")</f>
        <v>Complete</v>
      </c>
      <c r="I2405" s="55" t="s">
        <v>2602</v>
      </c>
    </row>
    <row r="2406" spans="2:9" ht="15" customHeight="1" x14ac:dyDescent="0.25">
      <c r="B2406" s="51" t="s">
        <v>126</v>
      </c>
      <c r="C2406" s="52">
        <v>334</v>
      </c>
      <c r="D2406" s="53" t="s">
        <v>4329</v>
      </c>
      <c r="E2406" s="54"/>
      <c r="F2406" s="52" t="str">
        <f>IF(INDEX(I.CCUS.StartRange,334)="","",INDEX(I.CCUS.StartRange,334))</f>
        <v/>
      </c>
      <c r="G2406" s="54"/>
      <c r="H2406" s="52" t="str">
        <f>IF(AND(I.Compliance.FulfilledCCUS&gt;0,I.CCUS.RangeCount&gt;=334,F2406=""),"Incomplete","Complete")</f>
        <v>Complete</v>
      </c>
      <c r="I2406" s="55" t="s">
        <v>2603</v>
      </c>
    </row>
    <row r="2407" spans="2:9" ht="15" customHeight="1" x14ac:dyDescent="0.25">
      <c r="B2407" s="51" t="s">
        <v>126</v>
      </c>
      <c r="C2407" s="52">
        <v>335</v>
      </c>
      <c r="D2407" s="53" t="s">
        <v>4329</v>
      </c>
      <c r="E2407" s="54"/>
      <c r="F2407" s="52" t="str">
        <f>IF(INDEX(I.CCUS.StartRange,335)="","",INDEX(I.CCUS.StartRange,335))</f>
        <v/>
      </c>
      <c r="G2407" s="54"/>
      <c r="H2407" s="52" t="str">
        <f>IF(AND(I.Compliance.FulfilledCCUS&gt;0,I.CCUS.RangeCount&gt;=335,F2407=""),"Incomplete","Complete")</f>
        <v>Complete</v>
      </c>
      <c r="I2407" s="55" t="s">
        <v>2604</v>
      </c>
    </row>
    <row r="2408" spans="2:9" ht="15" customHeight="1" x14ac:dyDescent="0.25">
      <c r="B2408" s="51" t="s">
        <v>126</v>
      </c>
      <c r="C2408" s="52">
        <v>336</v>
      </c>
      <c r="D2408" s="53" t="s">
        <v>4329</v>
      </c>
      <c r="E2408" s="54"/>
      <c r="F2408" s="52" t="str">
        <f>IF(INDEX(I.CCUS.StartRange,336)="","",INDEX(I.CCUS.StartRange,336))</f>
        <v/>
      </c>
      <c r="G2408" s="54"/>
      <c r="H2408" s="52" t="str">
        <f>IF(AND(I.Compliance.FulfilledCCUS&gt;0,I.CCUS.RangeCount&gt;=336,F2408=""),"Incomplete","Complete")</f>
        <v>Complete</v>
      </c>
      <c r="I2408" s="55" t="s">
        <v>2605</v>
      </c>
    </row>
    <row r="2409" spans="2:9" ht="15" customHeight="1" x14ac:dyDescent="0.25">
      <c r="B2409" s="51" t="s">
        <v>126</v>
      </c>
      <c r="C2409" s="52">
        <v>337</v>
      </c>
      <c r="D2409" s="53" t="s">
        <v>4329</v>
      </c>
      <c r="E2409" s="54"/>
      <c r="F2409" s="52" t="str">
        <f>IF(INDEX(I.CCUS.StartRange,337)="","",INDEX(I.CCUS.StartRange,337))</f>
        <v/>
      </c>
      <c r="G2409" s="54"/>
      <c r="H2409" s="52" t="str">
        <f>IF(AND(I.Compliance.FulfilledCCUS&gt;0,I.CCUS.RangeCount&gt;=337,F2409=""),"Incomplete","Complete")</f>
        <v>Complete</v>
      </c>
      <c r="I2409" s="55" t="s">
        <v>2606</v>
      </c>
    </row>
    <row r="2410" spans="2:9" ht="15" customHeight="1" x14ac:dyDescent="0.25">
      <c r="B2410" s="51" t="s">
        <v>126</v>
      </c>
      <c r="C2410" s="52">
        <v>338</v>
      </c>
      <c r="D2410" s="53" t="s">
        <v>4329</v>
      </c>
      <c r="E2410" s="54"/>
      <c r="F2410" s="52" t="str">
        <f>IF(INDEX(I.CCUS.StartRange,338)="","",INDEX(I.CCUS.StartRange,338))</f>
        <v/>
      </c>
      <c r="G2410" s="54"/>
      <c r="H2410" s="52" t="str">
        <f>IF(AND(I.Compliance.FulfilledCCUS&gt;0,I.CCUS.RangeCount&gt;=338,F2410=""),"Incomplete","Complete")</f>
        <v>Complete</v>
      </c>
      <c r="I2410" s="55" t="s">
        <v>2607</v>
      </c>
    </row>
    <row r="2411" spans="2:9" ht="15" customHeight="1" x14ac:dyDescent="0.25">
      <c r="B2411" s="51" t="s">
        <v>126</v>
      </c>
      <c r="C2411" s="52">
        <v>339</v>
      </c>
      <c r="D2411" s="53" t="s">
        <v>4329</v>
      </c>
      <c r="E2411" s="54"/>
      <c r="F2411" s="52" t="str">
        <f>IF(INDEX(I.CCUS.StartRange,339)="","",INDEX(I.CCUS.StartRange,339))</f>
        <v/>
      </c>
      <c r="G2411" s="54"/>
      <c r="H2411" s="52" t="str">
        <f>IF(AND(I.Compliance.FulfilledCCUS&gt;0,I.CCUS.RangeCount&gt;=339,F2411=""),"Incomplete","Complete")</f>
        <v>Complete</v>
      </c>
      <c r="I2411" s="55" t="s">
        <v>2608</v>
      </c>
    </row>
    <row r="2412" spans="2:9" ht="15" customHeight="1" x14ac:dyDescent="0.25">
      <c r="B2412" s="51" t="s">
        <v>126</v>
      </c>
      <c r="C2412" s="52">
        <v>340</v>
      </c>
      <c r="D2412" s="53" t="s">
        <v>4329</v>
      </c>
      <c r="E2412" s="54"/>
      <c r="F2412" s="52" t="str">
        <f>IF(INDEX(I.CCUS.StartRange,340)="","",INDEX(I.CCUS.StartRange,340))</f>
        <v/>
      </c>
      <c r="G2412" s="54"/>
      <c r="H2412" s="52" t="str">
        <f>IF(AND(I.Compliance.FulfilledCCUS&gt;0,I.CCUS.RangeCount&gt;=340,F2412=""),"Incomplete","Complete")</f>
        <v>Complete</v>
      </c>
      <c r="I2412" s="55" t="s">
        <v>2609</v>
      </c>
    </row>
    <row r="2413" spans="2:9" ht="15" customHeight="1" x14ac:dyDescent="0.25">
      <c r="B2413" s="51" t="s">
        <v>126</v>
      </c>
      <c r="C2413" s="52">
        <v>341</v>
      </c>
      <c r="D2413" s="53" t="s">
        <v>4329</v>
      </c>
      <c r="E2413" s="54"/>
      <c r="F2413" s="52" t="str">
        <f>IF(INDEX(I.CCUS.StartRange,341)="","",INDEX(I.CCUS.StartRange,341))</f>
        <v/>
      </c>
      <c r="G2413" s="54"/>
      <c r="H2413" s="52" t="str">
        <f>IF(AND(I.Compliance.FulfilledCCUS&gt;0,I.CCUS.RangeCount&gt;=341,F2413=""),"Incomplete","Complete")</f>
        <v>Complete</v>
      </c>
      <c r="I2413" s="55" t="s">
        <v>2610</v>
      </c>
    </row>
    <row r="2414" spans="2:9" ht="15" customHeight="1" x14ac:dyDescent="0.25">
      <c r="B2414" s="51" t="s">
        <v>126</v>
      </c>
      <c r="C2414" s="52">
        <v>342</v>
      </c>
      <c r="D2414" s="53" t="s">
        <v>4329</v>
      </c>
      <c r="E2414" s="54"/>
      <c r="F2414" s="52" t="str">
        <f>IF(INDEX(I.CCUS.StartRange,342)="","",INDEX(I.CCUS.StartRange,342))</f>
        <v/>
      </c>
      <c r="G2414" s="54"/>
      <c r="H2414" s="52" t="str">
        <f>IF(AND(I.Compliance.FulfilledCCUS&gt;0,I.CCUS.RangeCount&gt;=342,F2414=""),"Incomplete","Complete")</f>
        <v>Complete</v>
      </c>
      <c r="I2414" s="55" t="s">
        <v>2611</v>
      </c>
    </row>
    <row r="2415" spans="2:9" ht="15" customHeight="1" x14ac:dyDescent="0.25">
      <c r="B2415" s="51" t="s">
        <v>126</v>
      </c>
      <c r="C2415" s="52">
        <v>343</v>
      </c>
      <c r="D2415" s="53" t="s">
        <v>4329</v>
      </c>
      <c r="E2415" s="54"/>
      <c r="F2415" s="52" t="str">
        <f>IF(INDEX(I.CCUS.StartRange,343)="","",INDEX(I.CCUS.StartRange,343))</f>
        <v/>
      </c>
      <c r="G2415" s="54"/>
      <c r="H2415" s="52" t="str">
        <f>IF(AND(I.Compliance.FulfilledCCUS&gt;0,I.CCUS.RangeCount&gt;=343,F2415=""),"Incomplete","Complete")</f>
        <v>Complete</v>
      </c>
      <c r="I2415" s="55" t="s">
        <v>2612</v>
      </c>
    </row>
    <row r="2416" spans="2:9" ht="15" customHeight="1" x14ac:dyDescent="0.25">
      <c r="B2416" s="51" t="s">
        <v>126</v>
      </c>
      <c r="C2416" s="52">
        <v>344</v>
      </c>
      <c r="D2416" s="53" t="s">
        <v>4329</v>
      </c>
      <c r="E2416" s="54"/>
      <c r="F2416" s="52" t="str">
        <f>IF(INDEX(I.CCUS.StartRange,344)="","",INDEX(I.CCUS.StartRange,344))</f>
        <v/>
      </c>
      <c r="G2416" s="54"/>
      <c r="H2416" s="52" t="str">
        <f>IF(AND(I.Compliance.FulfilledCCUS&gt;0,I.CCUS.RangeCount&gt;=344,F2416=""),"Incomplete","Complete")</f>
        <v>Complete</v>
      </c>
      <c r="I2416" s="55" t="s">
        <v>2613</v>
      </c>
    </row>
    <row r="2417" spans="2:9" ht="15" customHeight="1" x14ac:dyDescent="0.25">
      <c r="B2417" s="51" t="s">
        <v>126</v>
      </c>
      <c r="C2417" s="52">
        <v>345</v>
      </c>
      <c r="D2417" s="53" t="s">
        <v>4329</v>
      </c>
      <c r="E2417" s="54"/>
      <c r="F2417" s="52" t="str">
        <f>IF(INDEX(I.CCUS.StartRange,345)="","",INDEX(I.CCUS.StartRange,345))</f>
        <v/>
      </c>
      <c r="G2417" s="54"/>
      <c r="H2417" s="52" t="str">
        <f>IF(AND(I.Compliance.FulfilledCCUS&gt;0,I.CCUS.RangeCount&gt;=345,F2417=""),"Incomplete","Complete")</f>
        <v>Complete</v>
      </c>
      <c r="I2417" s="55" t="s">
        <v>2614</v>
      </c>
    </row>
    <row r="2418" spans="2:9" ht="15" customHeight="1" x14ac:dyDescent="0.25">
      <c r="B2418" s="51" t="s">
        <v>126</v>
      </c>
      <c r="C2418" s="52">
        <v>346</v>
      </c>
      <c r="D2418" s="53" t="s">
        <v>4329</v>
      </c>
      <c r="E2418" s="54"/>
      <c r="F2418" s="52" t="str">
        <f>IF(INDEX(I.CCUS.StartRange,346)="","",INDEX(I.CCUS.StartRange,346))</f>
        <v/>
      </c>
      <c r="G2418" s="54"/>
      <c r="H2418" s="52" t="str">
        <f>IF(AND(I.Compliance.FulfilledCCUS&gt;0,I.CCUS.RangeCount&gt;=346,F2418=""),"Incomplete","Complete")</f>
        <v>Complete</v>
      </c>
      <c r="I2418" s="55" t="s">
        <v>2615</v>
      </c>
    </row>
    <row r="2419" spans="2:9" ht="15" customHeight="1" x14ac:dyDescent="0.25">
      <c r="B2419" s="51" t="s">
        <v>126</v>
      </c>
      <c r="C2419" s="52">
        <v>347</v>
      </c>
      <c r="D2419" s="53" t="s">
        <v>4329</v>
      </c>
      <c r="E2419" s="54"/>
      <c r="F2419" s="52" t="str">
        <f>IF(INDEX(I.CCUS.StartRange,347)="","",INDEX(I.CCUS.StartRange,347))</f>
        <v/>
      </c>
      <c r="G2419" s="54"/>
      <c r="H2419" s="52" t="str">
        <f>IF(AND(I.Compliance.FulfilledCCUS&gt;0,I.CCUS.RangeCount&gt;=347,F2419=""),"Incomplete","Complete")</f>
        <v>Complete</v>
      </c>
      <c r="I2419" s="55" t="s">
        <v>2616</v>
      </c>
    </row>
    <row r="2420" spans="2:9" ht="15" customHeight="1" x14ac:dyDescent="0.25">
      <c r="B2420" s="51" t="s">
        <v>126</v>
      </c>
      <c r="C2420" s="52">
        <v>348</v>
      </c>
      <c r="D2420" s="53" t="s">
        <v>4329</v>
      </c>
      <c r="E2420" s="54"/>
      <c r="F2420" s="52" t="str">
        <f>IF(INDEX(I.CCUS.StartRange,348)="","",INDEX(I.CCUS.StartRange,348))</f>
        <v/>
      </c>
      <c r="G2420" s="54"/>
      <c r="H2420" s="52" t="str">
        <f>IF(AND(I.Compliance.FulfilledCCUS&gt;0,I.CCUS.RangeCount&gt;=348,F2420=""),"Incomplete","Complete")</f>
        <v>Complete</v>
      </c>
      <c r="I2420" s="55" t="s">
        <v>2617</v>
      </c>
    </row>
    <row r="2421" spans="2:9" ht="15" customHeight="1" x14ac:dyDescent="0.25">
      <c r="B2421" s="51" t="s">
        <v>126</v>
      </c>
      <c r="C2421" s="52">
        <v>349</v>
      </c>
      <c r="D2421" s="53" t="s">
        <v>4329</v>
      </c>
      <c r="E2421" s="54"/>
      <c r="F2421" s="52" t="str">
        <f>IF(INDEX(I.CCUS.StartRange,349)="","",INDEX(I.CCUS.StartRange,349))</f>
        <v/>
      </c>
      <c r="G2421" s="54"/>
      <c r="H2421" s="52" t="str">
        <f>IF(AND(I.Compliance.FulfilledCCUS&gt;0,I.CCUS.RangeCount&gt;=349,F2421=""),"Incomplete","Complete")</f>
        <v>Complete</v>
      </c>
      <c r="I2421" s="55" t="s">
        <v>2618</v>
      </c>
    </row>
    <row r="2422" spans="2:9" ht="15" customHeight="1" x14ac:dyDescent="0.25">
      <c r="B2422" s="51" t="s">
        <v>126</v>
      </c>
      <c r="C2422" s="52">
        <v>350</v>
      </c>
      <c r="D2422" s="53" t="s">
        <v>4329</v>
      </c>
      <c r="E2422" s="54"/>
      <c r="F2422" s="52" t="str">
        <f>IF(INDEX(I.CCUS.StartRange,350)="","",INDEX(I.CCUS.StartRange,350))</f>
        <v/>
      </c>
      <c r="G2422" s="54"/>
      <c r="H2422" s="52" t="str">
        <f>IF(AND(I.Compliance.FulfilledCCUS&gt;0,I.CCUS.RangeCount&gt;=350,F2422=""),"Incomplete","Complete")</f>
        <v>Complete</v>
      </c>
      <c r="I2422" s="55" t="s">
        <v>2619</v>
      </c>
    </row>
    <row r="2423" spans="2:9" ht="15" customHeight="1" x14ac:dyDescent="0.25">
      <c r="B2423" s="51" t="s">
        <v>126</v>
      </c>
      <c r="C2423" s="52">
        <v>351</v>
      </c>
      <c r="D2423" s="53" t="s">
        <v>4329</v>
      </c>
      <c r="E2423" s="54"/>
      <c r="F2423" s="52" t="str">
        <f>IF(INDEX(I.CCUS.StartRange,351)="","",INDEX(I.CCUS.StartRange,351))</f>
        <v/>
      </c>
      <c r="G2423" s="54"/>
      <c r="H2423" s="52" t="str">
        <f>IF(AND(I.Compliance.FulfilledCCUS&gt;0,I.CCUS.RangeCount&gt;=351,F2423=""),"Incomplete","Complete")</f>
        <v>Complete</v>
      </c>
      <c r="I2423" s="55" t="s">
        <v>2620</v>
      </c>
    </row>
    <row r="2424" spans="2:9" ht="15" customHeight="1" x14ac:dyDescent="0.25">
      <c r="B2424" s="51" t="s">
        <v>126</v>
      </c>
      <c r="C2424" s="52">
        <v>352</v>
      </c>
      <c r="D2424" s="53" t="s">
        <v>4329</v>
      </c>
      <c r="E2424" s="54"/>
      <c r="F2424" s="52" t="str">
        <f>IF(INDEX(I.CCUS.StartRange,352)="","",INDEX(I.CCUS.StartRange,352))</f>
        <v/>
      </c>
      <c r="G2424" s="54"/>
      <c r="H2424" s="52" t="str">
        <f>IF(AND(I.Compliance.FulfilledCCUS&gt;0,I.CCUS.RangeCount&gt;=352,F2424=""),"Incomplete","Complete")</f>
        <v>Complete</v>
      </c>
      <c r="I2424" s="55" t="s">
        <v>2621</v>
      </c>
    </row>
    <row r="2425" spans="2:9" ht="15" customHeight="1" x14ac:dyDescent="0.25">
      <c r="B2425" s="51" t="s">
        <v>126</v>
      </c>
      <c r="C2425" s="52">
        <v>353</v>
      </c>
      <c r="D2425" s="53" t="s">
        <v>4329</v>
      </c>
      <c r="E2425" s="54"/>
      <c r="F2425" s="52" t="str">
        <f>IF(INDEX(I.CCUS.StartRange,353)="","",INDEX(I.CCUS.StartRange,353))</f>
        <v/>
      </c>
      <c r="G2425" s="54"/>
      <c r="H2425" s="52" t="str">
        <f>IF(AND(I.Compliance.FulfilledCCUS&gt;0,I.CCUS.RangeCount&gt;=353,F2425=""),"Incomplete","Complete")</f>
        <v>Complete</v>
      </c>
      <c r="I2425" s="55" t="s">
        <v>2622</v>
      </c>
    </row>
    <row r="2426" spans="2:9" ht="15" customHeight="1" x14ac:dyDescent="0.25">
      <c r="B2426" s="51" t="s">
        <v>126</v>
      </c>
      <c r="C2426" s="52">
        <v>354</v>
      </c>
      <c r="D2426" s="53" t="s">
        <v>4329</v>
      </c>
      <c r="E2426" s="54"/>
      <c r="F2426" s="52" t="str">
        <f>IF(INDEX(I.CCUS.StartRange,354)="","",INDEX(I.CCUS.StartRange,354))</f>
        <v/>
      </c>
      <c r="G2426" s="54"/>
      <c r="H2426" s="52" t="str">
        <f>IF(AND(I.Compliance.FulfilledCCUS&gt;0,I.CCUS.RangeCount&gt;=354,F2426=""),"Incomplete","Complete")</f>
        <v>Complete</v>
      </c>
      <c r="I2426" s="55" t="s">
        <v>2623</v>
      </c>
    </row>
    <row r="2427" spans="2:9" ht="15" customHeight="1" x14ac:dyDescent="0.25">
      <c r="B2427" s="51" t="s">
        <v>126</v>
      </c>
      <c r="C2427" s="52">
        <v>355</v>
      </c>
      <c r="D2427" s="53" t="s">
        <v>4329</v>
      </c>
      <c r="E2427" s="54"/>
      <c r="F2427" s="52" t="str">
        <f>IF(INDEX(I.CCUS.StartRange,355)="","",INDEX(I.CCUS.StartRange,355))</f>
        <v/>
      </c>
      <c r="G2427" s="54"/>
      <c r="H2427" s="52" t="str">
        <f>IF(AND(I.Compliance.FulfilledCCUS&gt;0,I.CCUS.RangeCount&gt;=355,F2427=""),"Incomplete","Complete")</f>
        <v>Complete</v>
      </c>
      <c r="I2427" s="55" t="s">
        <v>2624</v>
      </c>
    </row>
    <row r="2428" spans="2:9" ht="15" customHeight="1" x14ac:dyDescent="0.25">
      <c r="B2428" s="51" t="s">
        <v>126</v>
      </c>
      <c r="C2428" s="52">
        <v>356</v>
      </c>
      <c r="D2428" s="53" t="s">
        <v>4329</v>
      </c>
      <c r="E2428" s="54"/>
      <c r="F2428" s="52" t="str">
        <f>IF(INDEX(I.CCUS.StartRange,356)="","",INDEX(I.CCUS.StartRange,356))</f>
        <v/>
      </c>
      <c r="G2428" s="54"/>
      <c r="H2428" s="52" t="str">
        <f>IF(AND(I.Compliance.FulfilledCCUS&gt;0,I.CCUS.RangeCount&gt;=356,F2428=""),"Incomplete","Complete")</f>
        <v>Complete</v>
      </c>
      <c r="I2428" s="55" t="s">
        <v>2625</v>
      </c>
    </row>
    <row r="2429" spans="2:9" ht="15" customHeight="1" x14ac:dyDescent="0.25">
      <c r="B2429" s="51" t="s">
        <v>126</v>
      </c>
      <c r="C2429" s="52">
        <v>357</v>
      </c>
      <c r="D2429" s="53" t="s">
        <v>4329</v>
      </c>
      <c r="E2429" s="54"/>
      <c r="F2429" s="52" t="str">
        <f>IF(INDEX(I.CCUS.StartRange,357)="","",INDEX(I.CCUS.StartRange,357))</f>
        <v/>
      </c>
      <c r="G2429" s="54"/>
      <c r="H2429" s="52" t="str">
        <f>IF(AND(I.Compliance.FulfilledCCUS&gt;0,I.CCUS.RangeCount&gt;=357,F2429=""),"Incomplete","Complete")</f>
        <v>Complete</v>
      </c>
      <c r="I2429" s="55" t="s">
        <v>2626</v>
      </c>
    </row>
    <row r="2430" spans="2:9" ht="15" customHeight="1" x14ac:dyDescent="0.25">
      <c r="B2430" s="51" t="s">
        <v>126</v>
      </c>
      <c r="C2430" s="52">
        <v>358</v>
      </c>
      <c r="D2430" s="53" t="s">
        <v>4329</v>
      </c>
      <c r="E2430" s="54"/>
      <c r="F2430" s="52" t="str">
        <f>IF(INDEX(I.CCUS.StartRange,358)="","",INDEX(I.CCUS.StartRange,358))</f>
        <v/>
      </c>
      <c r="G2430" s="54"/>
      <c r="H2430" s="52" t="str">
        <f>IF(AND(I.Compliance.FulfilledCCUS&gt;0,I.CCUS.RangeCount&gt;=358,F2430=""),"Incomplete","Complete")</f>
        <v>Complete</v>
      </c>
      <c r="I2430" s="55" t="s">
        <v>2627</v>
      </c>
    </row>
    <row r="2431" spans="2:9" ht="15" customHeight="1" x14ac:dyDescent="0.25">
      <c r="B2431" s="51" t="s">
        <v>126</v>
      </c>
      <c r="C2431" s="52">
        <v>359</v>
      </c>
      <c r="D2431" s="53" t="s">
        <v>4329</v>
      </c>
      <c r="E2431" s="54"/>
      <c r="F2431" s="52" t="str">
        <f>IF(INDEX(I.CCUS.StartRange,359)="","",INDEX(I.CCUS.StartRange,359))</f>
        <v/>
      </c>
      <c r="G2431" s="54"/>
      <c r="H2431" s="52" t="str">
        <f>IF(AND(I.Compliance.FulfilledCCUS&gt;0,I.CCUS.RangeCount&gt;=359,F2431=""),"Incomplete","Complete")</f>
        <v>Complete</v>
      </c>
      <c r="I2431" s="55" t="s">
        <v>2628</v>
      </c>
    </row>
    <row r="2432" spans="2:9" ht="15" customHeight="1" x14ac:dyDescent="0.25">
      <c r="B2432" s="51" t="s">
        <v>126</v>
      </c>
      <c r="C2432" s="52">
        <v>360</v>
      </c>
      <c r="D2432" s="53" t="s">
        <v>4329</v>
      </c>
      <c r="E2432" s="54"/>
      <c r="F2432" s="52" t="str">
        <f>IF(INDEX(I.CCUS.StartRange,360)="","",INDEX(I.CCUS.StartRange,360))</f>
        <v/>
      </c>
      <c r="G2432" s="54"/>
      <c r="H2432" s="52" t="str">
        <f>IF(AND(I.Compliance.FulfilledCCUS&gt;0,I.CCUS.RangeCount&gt;=360,F2432=""),"Incomplete","Complete")</f>
        <v>Complete</v>
      </c>
      <c r="I2432" s="55" t="s">
        <v>2629</v>
      </c>
    </row>
    <row r="2433" spans="2:9" ht="15" customHeight="1" x14ac:dyDescent="0.25">
      <c r="B2433" s="51" t="s">
        <v>126</v>
      </c>
      <c r="C2433" s="52">
        <v>361</v>
      </c>
      <c r="D2433" s="53" t="s">
        <v>4329</v>
      </c>
      <c r="E2433" s="54"/>
      <c r="F2433" s="52" t="str">
        <f>IF(INDEX(I.CCUS.StartRange,361)="","",INDEX(I.CCUS.StartRange,361))</f>
        <v/>
      </c>
      <c r="G2433" s="54"/>
      <c r="H2433" s="52" t="str">
        <f>IF(AND(I.Compliance.FulfilledCCUS&gt;0,I.CCUS.RangeCount&gt;=361,F2433=""),"Incomplete","Complete")</f>
        <v>Complete</v>
      </c>
      <c r="I2433" s="55" t="s">
        <v>2630</v>
      </c>
    </row>
    <row r="2434" spans="2:9" ht="15" customHeight="1" x14ac:dyDescent="0.25">
      <c r="B2434" s="51" t="s">
        <v>126</v>
      </c>
      <c r="C2434" s="52">
        <v>362</v>
      </c>
      <c r="D2434" s="53" t="s">
        <v>4329</v>
      </c>
      <c r="E2434" s="54"/>
      <c r="F2434" s="52" t="str">
        <f>IF(INDEX(I.CCUS.StartRange,362)="","",INDEX(I.CCUS.StartRange,362))</f>
        <v/>
      </c>
      <c r="G2434" s="54"/>
      <c r="H2434" s="52" t="str">
        <f>IF(AND(I.Compliance.FulfilledCCUS&gt;0,I.CCUS.RangeCount&gt;=362,F2434=""),"Incomplete","Complete")</f>
        <v>Complete</v>
      </c>
      <c r="I2434" s="55" t="s">
        <v>2631</v>
      </c>
    </row>
    <row r="2435" spans="2:9" ht="15" customHeight="1" x14ac:dyDescent="0.25">
      <c r="B2435" s="51" t="s">
        <v>126</v>
      </c>
      <c r="C2435" s="52">
        <v>363</v>
      </c>
      <c r="D2435" s="53" t="s">
        <v>4329</v>
      </c>
      <c r="E2435" s="54"/>
      <c r="F2435" s="52" t="str">
        <f>IF(INDEX(I.CCUS.StartRange,363)="","",INDEX(I.CCUS.StartRange,363))</f>
        <v/>
      </c>
      <c r="G2435" s="54"/>
      <c r="H2435" s="52" t="str">
        <f>IF(AND(I.Compliance.FulfilledCCUS&gt;0,I.CCUS.RangeCount&gt;=363,F2435=""),"Incomplete","Complete")</f>
        <v>Complete</v>
      </c>
      <c r="I2435" s="55" t="s">
        <v>2632</v>
      </c>
    </row>
    <row r="2436" spans="2:9" ht="15" customHeight="1" x14ac:dyDescent="0.25">
      <c r="B2436" s="51" t="s">
        <v>126</v>
      </c>
      <c r="C2436" s="52">
        <v>364</v>
      </c>
      <c r="D2436" s="53" t="s">
        <v>4329</v>
      </c>
      <c r="E2436" s="54"/>
      <c r="F2436" s="52" t="str">
        <f>IF(INDEX(I.CCUS.StartRange,364)="","",INDEX(I.CCUS.StartRange,364))</f>
        <v/>
      </c>
      <c r="G2436" s="54"/>
      <c r="H2436" s="52" t="str">
        <f>IF(AND(I.Compliance.FulfilledCCUS&gt;0,I.CCUS.RangeCount&gt;=364,F2436=""),"Incomplete","Complete")</f>
        <v>Complete</v>
      </c>
      <c r="I2436" s="55" t="s">
        <v>2633</v>
      </c>
    </row>
    <row r="2437" spans="2:9" ht="15" customHeight="1" x14ac:dyDescent="0.25">
      <c r="B2437" s="51" t="s">
        <v>126</v>
      </c>
      <c r="C2437" s="52">
        <v>365</v>
      </c>
      <c r="D2437" s="53" t="s">
        <v>4329</v>
      </c>
      <c r="E2437" s="54"/>
      <c r="F2437" s="52" t="str">
        <f>IF(INDEX(I.CCUS.StartRange,365)="","",INDEX(I.CCUS.StartRange,365))</f>
        <v/>
      </c>
      <c r="G2437" s="54"/>
      <c r="H2437" s="52" t="str">
        <f>IF(AND(I.Compliance.FulfilledCCUS&gt;0,I.CCUS.RangeCount&gt;=365,F2437=""),"Incomplete","Complete")</f>
        <v>Complete</v>
      </c>
      <c r="I2437" s="55" t="s">
        <v>2634</v>
      </c>
    </row>
    <row r="2438" spans="2:9" ht="15" customHeight="1" x14ac:dyDescent="0.25">
      <c r="B2438" s="51" t="s">
        <v>126</v>
      </c>
      <c r="C2438" s="52">
        <v>366</v>
      </c>
      <c r="D2438" s="53" t="s">
        <v>4329</v>
      </c>
      <c r="E2438" s="54"/>
      <c r="F2438" s="52" t="str">
        <f>IF(INDEX(I.CCUS.StartRange,366)="","",INDEX(I.CCUS.StartRange,366))</f>
        <v/>
      </c>
      <c r="G2438" s="54"/>
      <c r="H2438" s="52" t="str">
        <f>IF(AND(I.Compliance.FulfilledCCUS&gt;0,I.CCUS.RangeCount&gt;=366,F2438=""),"Incomplete","Complete")</f>
        <v>Complete</v>
      </c>
      <c r="I2438" s="55" t="s">
        <v>2635</v>
      </c>
    </row>
    <row r="2439" spans="2:9" ht="15" customHeight="1" x14ac:dyDescent="0.25">
      <c r="B2439" s="51" t="s">
        <v>126</v>
      </c>
      <c r="C2439" s="52">
        <v>367</v>
      </c>
      <c r="D2439" s="53" t="s">
        <v>4329</v>
      </c>
      <c r="E2439" s="54"/>
      <c r="F2439" s="52" t="str">
        <f>IF(INDEX(I.CCUS.StartRange,367)="","",INDEX(I.CCUS.StartRange,367))</f>
        <v/>
      </c>
      <c r="G2439" s="54"/>
      <c r="H2439" s="52" t="str">
        <f>IF(AND(I.Compliance.FulfilledCCUS&gt;0,I.CCUS.RangeCount&gt;=367,F2439=""),"Incomplete","Complete")</f>
        <v>Complete</v>
      </c>
      <c r="I2439" s="55" t="s">
        <v>2636</v>
      </c>
    </row>
    <row r="2440" spans="2:9" ht="15" customHeight="1" x14ac:dyDescent="0.25">
      <c r="B2440" s="51" t="s">
        <v>126</v>
      </c>
      <c r="C2440" s="52">
        <v>368</v>
      </c>
      <c r="D2440" s="53" t="s">
        <v>4329</v>
      </c>
      <c r="E2440" s="54"/>
      <c r="F2440" s="52" t="str">
        <f>IF(INDEX(I.CCUS.StartRange,368)="","",INDEX(I.CCUS.StartRange,368))</f>
        <v/>
      </c>
      <c r="G2440" s="54"/>
      <c r="H2440" s="52" t="str">
        <f>IF(AND(I.Compliance.FulfilledCCUS&gt;0,I.CCUS.RangeCount&gt;=368,F2440=""),"Incomplete","Complete")</f>
        <v>Complete</v>
      </c>
      <c r="I2440" s="55" t="s">
        <v>2637</v>
      </c>
    </row>
    <row r="2441" spans="2:9" ht="15" customHeight="1" x14ac:dyDescent="0.25">
      <c r="B2441" s="51" t="s">
        <v>126</v>
      </c>
      <c r="C2441" s="52">
        <v>369</v>
      </c>
      <c r="D2441" s="53" t="s">
        <v>4329</v>
      </c>
      <c r="E2441" s="54"/>
      <c r="F2441" s="52" t="str">
        <f>IF(INDEX(I.CCUS.StartRange,369)="","",INDEX(I.CCUS.StartRange,369))</f>
        <v/>
      </c>
      <c r="G2441" s="54"/>
      <c r="H2441" s="52" t="str">
        <f>IF(AND(I.Compliance.FulfilledCCUS&gt;0,I.CCUS.RangeCount&gt;=369,F2441=""),"Incomplete","Complete")</f>
        <v>Complete</v>
      </c>
      <c r="I2441" s="55" t="s">
        <v>2638</v>
      </c>
    </row>
    <row r="2442" spans="2:9" ht="15" customHeight="1" x14ac:dyDescent="0.25">
      <c r="B2442" s="51" t="s">
        <v>126</v>
      </c>
      <c r="C2442" s="52">
        <v>370</v>
      </c>
      <c r="D2442" s="53" t="s">
        <v>4329</v>
      </c>
      <c r="E2442" s="54"/>
      <c r="F2442" s="52" t="str">
        <f>IF(INDEX(I.CCUS.StartRange,370)="","",INDEX(I.CCUS.StartRange,370))</f>
        <v/>
      </c>
      <c r="G2442" s="54"/>
      <c r="H2442" s="52" t="str">
        <f>IF(AND(I.Compliance.FulfilledCCUS&gt;0,I.CCUS.RangeCount&gt;=370,F2442=""),"Incomplete","Complete")</f>
        <v>Complete</v>
      </c>
      <c r="I2442" s="55" t="s">
        <v>2639</v>
      </c>
    </row>
    <row r="2443" spans="2:9" ht="15" customHeight="1" x14ac:dyDescent="0.25">
      <c r="B2443" s="51" t="s">
        <v>126</v>
      </c>
      <c r="C2443" s="52">
        <v>371</v>
      </c>
      <c r="D2443" s="53" t="s">
        <v>4329</v>
      </c>
      <c r="E2443" s="54"/>
      <c r="F2443" s="52" t="str">
        <f>IF(INDEX(I.CCUS.StartRange,371)="","",INDEX(I.CCUS.StartRange,371))</f>
        <v/>
      </c>
      <c r="G2443" s="54"/>
      <c r="H2443" s="52" t="str">
        <f>IF(AND(I.Compliance.FulfilledCCUS&gt;0,I.CCUS.RangeCount&gt;=371,F2443=""),"Incomplete","Complete")</f>
        <v>Complete</v>
      </c>
      <c r="I2443" s="55" t="s">
        <v>2640</v>
      </c>
    </row>
    <row r="2444" spans="2:9" ht="15" customHeight="1" x14ac:dyDescent="0.25">
      <c r="B2444" s="51" t="s">
        <v>126</v>
      </c>
      <c r="C2444" s="52">
        <v>372</v>
      </c>
      <c r="D2444" s="53" t="s">
        <v>4329</v>
      </c>
      <c r="E2444" s="54"/>
      <c r="F2444" s="52" t="str">
        <f>IF(INDEX(I.CCUS.StartRange,372)="","",INDEX(I.CCUS.StartRange,372))</f>
        <v/>
      </c>
      <c r="G2444" s="54"/>
      <c r="H2444" s="52" t="str">
        <f>IF(AND(I.Compliance.FulfilledCCUS&gt;0,I.CCUS.RangeCount&gt;=372,F2444=""),"Incomplete","Complete")</f>
        <v>Complete</v>
      </c>
      <c r="I2444" s="55" t="s">
        <v>2641</v>
      </c>
    </row>
    <row r="2445" spans="2:9" ht="15" customHeight="1" x14ac:dyDescent="0.25">
      <c r="B2445" s="51" t="s">
        <v>126</v>
      </c>
      <c r="C2445" s="52">
        <v>373</v>
      </c>
      <c r="D2445" s="53" t="s">
        <v>4329</v>
      </c>
      <c r="E2445" s="54"/>
      <c r="F2445" s="52" t="str">
        <f>IF(INDEX(I.CCUS.StartRange,373)="","",INDEX(I.CCUS.StartRange,373))</f>
        <v/>
      </c>
      <c r="G2445" s="54"/>
      <c r="H2445" s="52" t="str">
        <f>IF(AND(I.Compliance.FulfilledCCUS&gt;0,I.CCUS.RangeCount&gt;=373,F2445=""),"Incomplete","Complete")</f>
        <v>Complete</v>
      </c>
      <c r="I2445" s="55" t="s">
        <v>2642</v>
      </c>
    </row>
    <row r="2446" spans="2:9" ht="15" customHeight="1" x14ac:dyDescent="0.25">
      <c r="B2446" s="51" t="s">
        <v>126</v>
      </c>
      <c r="C2446" s="52">
        <v>374</v>
      </c>
      <c r="D2446" s="53" t="s">
        <v>4329</v>
      </c>
      <c r="E2446" s="54"/>
      <c r="F2446" s="52" t="str">
        <f>IF(INDEX(I.CCUS.StartRange,374)="","",INDEX(I.CCUS.StartRange,374))</f>
        <v/>
      </c>
      <c r="G2446" s="54"/>
      <c r="H2446" s="52" t="str">
        <f>IF(AND(I.Compliance.FulfilledCCUS&gt;0,I.CCUS.RangeCount&gt;=374,F2446=""),"Incomplete","Complete")</f>
        <v>Complete</v>
      </c>
      <c r="I2446" s="55" t="s">
        <v>2643</v>
      </c>
    </row>
    <row r="2447" spans="2:9" ht="15" customHeight="1" x14ac:dyDescent="0.25">
      <c r="B2447" s="51" t="s">
        <v>126</v>
      </c>
      <c r="C2447" s="52">
        <v>375</v>
      </c>
      <c r="D2447" s="53" t="s">
        <v>4329</v>
      </c>
      <c r="E2447" s="54"/>
      <c r="F2447" s="52" t="str">
        <f>IF(INDEX(I.CCUS.StartRange,375)="","",INDEX(I.CCUS.StartRange,375))</f>
        <v/>
      </c>
      <c r="G2447" s="54"/>
      <c r="H2447" s="52" t="str">
        <f>IF(AND(I.Compliance.FulfilledCCUS&gt;0,I.CCUS.RangeCount&gt;=375,F2447=""),"Incomplete","Complete")</f>
        <v>Complete</v>
      </c>
      <c r="I2447" s="55" t="s">
        <v>2644</v>
      </c>
    </row>
    <row r="2448" spans="2:9" ht="15" customHeight="1" x14ac:dyDescent="0.25">
      <c r="B2448" s="51" t="s">
        <v>126</v>
      </c>
      <c r="C2448" s="52">
        <v>376</v>
      </c>
      <c r="D2448" s="53" t="s">
        <v>4329</v>
      </c>
      <c r="E2448" s="54"/>
      <c r="F2448" s="52" t="str">
        <f>IF(INDEX(I.CCUS.StartRange,376)="","",INDEX(I.CCUS.StartRange,376))</f>
        <v/>
      </c>
      <c r="G2448" s="54"/>
      <c r="H2448" s="52" t="str">
        <f>IF(AND(I.Compliance.FulfilledCCUS&gt;0,I.CCUS.RangeCount&gt;=376,F2448=""),"Incomplete","Complete")</f>
        <v>Complete</v>
      </c>
      <c r="I2448" s="55" t="s">
        <v>2645</v>
      </c>
    </row>
    <row r="2449" spans="2:9" ht="15" customHeight="1" x14ac:dyDescent="0.25">
      <c r="B2449" s="51" t="s">
        <v>126</v>
      </c>
      <c r="C2449" s="52">
        <v>377</v>
      </c>
      <c r="D2449" s="53" t="s">
        <v>4329</v>
      </c>
      <c r="E2449" s="54"/>
      <c r="F2449" s="52" t="str">
        <f>IF(INDEX(I.CCUS.StartRange,377)="","",INDEX(I.CCUS.StartRange,377))</f>
        <v/>
      </c>
      <c r="G2449" s="54"/>
      <c r="H2449" s="52" t="str">
        <f>IF(AND(I.Compliance.FulfilledCCUS&gt;0,I.CCUS.RangeCount&gt;=377,F2449=""),"Incomplete","Complete")</f>
        <v>Complete</v>
      </c>
      <c r="I2449" s="55" t="s">
        <v>2646</v>
      </c>
    </row>
    <row r="2450" spans="2:9" ht="15" customHeight="1" x14ac:dyDescent="0.25">
      <c r="B2450" s="51" t="s">
        <v>126</v>
      </c>
      <c r="C2450" s="52">
        <v>378</v>
      </c>
      <c r="D2450" s="53" t="s">
        <v>4329</v>
      </c>
      <c r="E2450" s="54"/>
      <c r="F2450" s="52" t="str">
        <f>IF(INDEX(I.CCUS.StartRange,378)="","",INDEX(I.CCUS.StartRange,378))</f>
        <v/>
      </c>
      <c r="G2450" s="54"/>
      <c r="H2450" s="52" t="str">
        <f>IF(AND(I.Compliance.FulfilledCCUS&gt;0,I.CCUS.RangeCount&gt;=378,F2450=""),"Incomplete","Complete")</f>
        <v>Complete</v>
      </c>
      <c r="I2450" s="55" t="s">
        <v>2647</v>
      </c>
    </row>
    <row r="2451" spans="2:9" ht="15" customHeight="1" x14ac:dyDescent="0.25">
      <c r="B2451" s="51" t="s">
        <v>126</v>
      </c>
      <c r="C2451" s="52">
        <v>379</v>
      </c>
      <c r="D2451" s="53" t="s">
        <v>4329</v>
      </c>
      <c r="E2451" s="54"/>
      <c r="F2451" s="52" t="str">
        <f>IF(INDEX(I.CCUS.StartRange,379)="","",INDEX(I.CCUS.StartRange,379))</f>
        <v/>
      </c>
      <c r="G2451" s="54"/>
      <c r="H2451" s="52" t="str">
        <f>IF(AND(I.Compliance.FulfilledCCUS&gt;0,I.CCUS.RangeCount&gt;=379,F2451=""),"Incomplete","Complete")</f>
        <v>Complete</v>
      </c>
      <c r="I2451" s="55" t="s">
        <v>2648</v>
      </c>
    </row>
    <row r="2452" spans="2:9" ht="15" customHeight="1" x14ac:dyDescent="0.25">
      <c r="B2452" s="51" t="s">
        <v>126</v>
      </c>
      <c r="C2452" s="52">
        <v>380</v>
      </c>
      <c r="D2452" s="53" t="s">
        <v>4329</v>
      </c>
      <c r="E2452" s="54"/>
      <c r="F2452" s="52" t="str">
        <f>IF(INDEX(I.CCUS.StartRange,380)="","",INDEX(I.CCUS.StartRange,380))</f>
        <v/>
      </c>
      <c r="G2452" s="54"/>
      <c r="H2452" s="52" t="str">
        <f>IF(AND(I.Compliance.FulfilledCCUS&gt;0,I.CCUS.RangeCount&gt;=380,F2452=""),"Incomplete","Complete")</f>
        <v>Complete</v>
      </c>
      <c r="I2452" s="55" t="s">
        <v>2649</v>
      </c>
    </row>
    <row r="2453" spans="2:9" ht="15" customHeight="1" x14ac:dyDescent="0.25">
      <c r="B2453" s="51" t="s">
        <v>126</v>
      </c>
      <c r="C2453" s="52">
        <v>381</v>
      </c>
      <c r="D2453" s="53" t="s">
        <v>4329</v>
      </c>
      <c r="E2453" s="54"/>
      <c r="F2453" s="52" t="str">
        <f>IF(INDEX(I.CCUS.StartRange,381)="","",INDEX(I.CCUS.StartRange,381))</f>
        <v/>
      </c>
      <c r="G2453" s="54"/>
      <c r="H2453" s="52" t="str">
        <f>IF(AND(I.Compliance.FulfilledCCUS&gt;0,I.CCUS.RangeCount&gt;=381,F2453=""),"Incomplete","Complete")</f>
        <v>Complete</v>
      </c>
      <c r="I2453" s="55" t="s">
        <v>2650</v>
      </c>
    </row>
    <row r="2454" spans="2:9" ht="15" customHeight="1" x14ac:dyDescent="0.25">
      <c r="B2454" s="51" t="s">
        <v>126</v>
      </c>
      <c r="C2454" s="52">
        <v>382</v>
      </c>
      <c r="D2454" s="53" t="s">
        <v>4329</v>
      </c>
      <c r="E2454" s="54"/>
      <c r="F2454" s="52" t="str">
        <f>IF(INDEX(I.CCUS.StartRange,382)="","",INDEX(I.CCUS.StartRange,382))</f>
        <v/>
      </c>
      <c r="G2454" s="54"/>
      <c r="H2454" s="52" t="str">
        <f>IF(AND(I.Compliance.FulfilledCCUS&gt;0,I.CCUS.RangeCount&gt;=382,F2454=""),"Incomplete","Complete")</f>
        <v>Complete</v>
      </c>
      <c r="I2454" s="55" t="s">
        <v>2651</v>
      </c>
    </row>
    <row r="2455" spans="2:9" ht="15" customHeight="1" x14ac:dyDescent="0.25">
      <c r="B2455" s="51" t="s">
        <v>126</v>
      </c>
      <c r="C2455" s="52">
        <v>383</v>
      </c>
      <c r="D2455" s="53" t="s">
        <v>4329</v>
      </c>
      <c r="E2455" s="54"/>
      <c r="F2455" s="52" t="str">
        <f>IF(INDEX(I.CCUS.StartRange,383)="","",INDEX(I.CCUS.StartRange,383))</f>
        <v/>
      </c>
      <c r="G2455" s="54"/>
      <c r="H2455" s="52" t="str">
        <f>IF(AND(I.Compliance.FulfilledCCUS&gt;0,I.CCUS.RangeCount&gt;=383,F2455=""),"Incomplete","Complete")</f>
        <v>Complete</v>
      </c>
      <c r="I2455" s="55" t="s">
        <v>2652</v>
      </c>
    </row>
    <row r="2456" spans="2:9" ht="15" customHeight="1" x14ac:dyDescent="0.25">
      <c r="B2456" s="51" t="s">
        <v>126</v>
      </c>
      <c r="C2456" s="52">
        <v>384</v>
      </c>
      <c r="D2456" s="53" t="s">
        <v>4329</v>
      </c>
      <c r="E2456" s="54"/>
      <c r="F2456" s="52" t="str">
        <f>IF(INDEX(I.CCUS.StartRange,384)="","",INDEX(I.CCUS.StartRange,384))</f>
        <v/>
      </c>
      <c r="G2456" s="54"/>
      <c r="H2456" s="52" t="str">
        <f>IF(AND(I.Compliance.FulfilledCCUS&gt;0,I.CCUS.RangeCount&gt;=384,F2456=""),"Incomplete","Complete")</f>
        <v>Complete</v>
      </c>
      <c r="I2456" s="55" t="s">
        <v>2653</v>
      </c>
    </row>
    <row r="2457" spans="2:9" ht="15" customHeight="1" x14ac:dyDescent="0.25">
      <c r="B2457" s="51" t="s">
        <v>126</v>
      </c>
      <c r="C2457" s="52">
        <v>385</v>
      </c>
      <c r="D2457" s="53" t="s">
        <v>4329</v>
      </c>
      <c r="E2457" s="54"/>
      <c r="F2457" s="52" t="str">
        <f>IF(INDEX(I.CCUS.StartRange,385)="","",INDEX(I.CCUS.StartRange,385))</f>
        <v/>
      </c>
      <c r="G2457" s="54"/>
      <c r="H2457" s="52" t="str">
        <f>IF(AND(I.Compliance.FulfilledCCUS&gt;0,I.CCUS.RangeCount&gt;=385,F2457=""),"Incomplete","Complete")</f>
        <v>Complete</v>
      </c>
      <c r="I2457" s="55" t="s">
        <v>2654</v>
      </c>
    </row>
    <row r="2458" spans="2:9" ht="15" customHeight="1" x14ac:dyDescent="0.25">
      <c r="B2458" s="51" t="s">
        <v>126</v>
      </c>
      <c r="C2458" s="52">
        <v>386</v>
      </c>
      <c r="D2458" s="53" t="s">
        <v>4329</v>
      </c>
      <c r="E2458" s="54"/>
      <c r="F2458" s="52" t="str">
        <f>IF(INDEX(I.CCUS.StartRange,386)="","",INDEX(I.CCUS.StartRange,386))</f>
        <v/>
      </c>
      <c r="G2458" s="54"/>
      <c r="H2458" s="52" t="str">
        <f>IF(AND(I.Compliance.FulfilledCCUS&gt;0,I.CCUS.RangeCount&gt;=386,F2458=""),"Incomplete","Complete")</f>
        <v>Complete</v>
      </c>
      <c r="I2458" s="55" t="s">
        <v>2655</v>
      </c>
    </row>
    <row r="2459" spans="2:9" ht="15" customHeight="1" x14ac:dyDescent="0.25">
      <c r="B2459" s="51" t="s">
        <v>126</v>
      </c>
      <c r="C2459" s="52">
        <v>387</v>
      </c>
      <c r="D2459" s="53" t="s">
        <v>4329</v>
      </c>
      <c r="E2459" s="54"/>
      <c r="F2459" s="52" t="str">
        <f>IF(INDEX(I.CCUS.StartRange,387)="","",INDEX(I.CCUS.StartRange,387))</f>
        <v/>
      </c>
      <c r="G2459" s="54"/>
      <c r="H2459" s="52" t="str">
        <f>IF(AND(I.Compliance.FulfilledCCUS&gt;0,I.CCUS.RangeCount&gt;=387,F2459=""),"Incomplete","Complete")</f>
        <v>Complete</v>
      </c>
      <c r="I2459" s="55" t="s">
        <v>2656</v>
      </c>
    </row>
    <row r="2460" spans="2:9" ht="15" customHeight="1" x14ac:dyDescent="0.25">
      <c r="B2460" s="51" t="s">
        <v>126</v>
      </c>
      <c r="C2460" s="52">
        <v>388</v>
      </c>
      <c r="D2460" s="53" t="s">
        <v>4329</v>
      </c>
      <c r="E2460" s="54"/>
      <c r="F2460" s="52" t="str">
        <f>IF(INDEX(I.CCUS.StartRange,388)="","",INDEX(I.CCUS.StartRange,388))</f>
        <v/>
      </c>
      <c r="G2460" s="54"/>
      <c r="H2460" s="52" t="str">
        <f>IF(AND(I.Compliance.FulfilledCCUS&gt;0,I.CCUS.RangeCount&gt;=388,F2460=""),"Incomplete","Complete")</f>
        <v>Complete</v>
      </c>
      <c r="I2460" s="55" t="s">
        <v>2657</v>
      </c>
    </row>
    <row r="2461" spans="2:9" ht="15" customHeight="1" x14ac:dyDescent="0.25">
      <c r="B2461" s="51" t="s">
        <v>126</v>
      </c>
      <c r="C2461" s="52">
        <v>389</v>
      </c>
      <c r="D2461" s="53" t="s">
        <v>4329</v>
      </c>
      <c r="E2461" s="54"/>
      <c r="F2461" s="52" t="str">
        <f>IF(INDEX(I.CCUS.StartRange,389)="","",INDEX(I.CCUS.StartRange,389))</f>
        <v/>
      </c>
      <c r="G2461" s="54"/>
      <c r="H2461" s="52" t="str">
        <f>IF(AND(I.Compliance.FulfilledCCUS&gt;0,I.CCUS.RangeCount&gt;=389,F2461=""),"Incomplete","Complete")</f>
        <v>Complete</v>
      </c>
      <c r="I2461" s="55" t="s">
        <v>2658</v>
      </c>
    </row>
    <row r="2462" spans="2:9" ht="15" customHeight="1" x14ac:dyDescent="0.25">
      <c r="B2462" s="51" t="s">
        <v>126</v>
      </c>
      <c r="C2462" s="52">
        <v>390</v>
      </c>
      <c r="D2462" s="53" t="s">
        <v>4329</v>
      </c>
      <c r="E2462" s="54"/>
      <c r="F2462" s="52" t="str">
        <f>IF(INDEX(I.CCUS.StartRange,390)="","",INDEX(I.CCUS.StartRange,390))</f>
        <v/>
      </c>
      <c r="G2462" s="54"/>
      <c r="H2462" s="52" t="str">
        <f>IF(AND(I.Compliance.FulfilledCCUS&gt;0,I.CCUS.RangeCount&gt;=390,F2462=""),"Incomplete","Complete")</f>
        <v>Complete</v>
      </c>
      <c r="I2462" s="55" t="s">
        <v>2659</v>
      </c>
    </row>
    <row r="2463" spans="2:9" ht="15" customHeight="1" x14ac:dyDescent="0.25">
      <c r="B2463" s="51" t="s">
        <v>126</v>
      </c>
      <c r="C2463" s="52">
        <v>391</v>
      </c>
      <c r="D2463" s="53" t="s">
        <v>4329</v>
      </c>
      <c r="E2463" s="54"/>
      <c r="F2463" s="52" t="str">
        <f>IF(INDEX(I.CCUS.StartRange,391)="","",INDEX(I.CCUS.StartRange,391))</f>
        <v/>
      </c>
      <c r="G2463" s="54"/>
      <c r="H2463" s="52" t="str">
        <f>IF(AND(I.Compliance.FulfilledCCUS&gt;0,I.CCUS.RangeCount&gt;=391,F2463=""),"Incomplete","Complete")</f>
        <v>Complete</v>
      </c>
      <c r="I2463" s="55" t="s">
        <v>2660</v>
      </c>
    </row>
    <row r="2464" spans="2:9" ht="15" customHeight="1" x14ac:dyDescent="0.25">
      <c r="B2464" s="51" t="s">
        <v>126</v>
      </c>
      <c r="C2464" s="52">
        <v>392</v>
      </c>
      <c r="D2464" s="53" t="s">
        <v>4329</v>
      </c>
      <c r="E2464" s="54"/>
      <c r="F2464" s="52" t="str">
        <f>IF(INDEX(I.CCUS.StartRange,392)="","",INDEX(I.CCUS.StartRange,392))</f>
        <v/>
      </c>
      <c r="G2464" s="54"/>
      <c r="H2464" s="52" t="str">
        <f>IF(AND(I.Compliance.FulfilledCCUS&gt;0,I.CCUS.RangeCount&gt;=392,F2464=""),"Incomplete","Complete")</f>
        <v>Complete</v>
      </c>
      <c r="I2464" s="55" t="s">
        <v>2661</v>
      </c>
    </row>
    <row r="2465" spans="2:9" ht="15" customHeight="1" x14ac:dyDescent="0.25">
      <c r="B2465" s="51" t="s">
        <v>126</v>
      </c>
      <c r="C2465" s="52">
        <v>393</v>
      </c>
      <c r="D2465" s="53" t="s">
        <v>4329</v>
      </c>
      <c r="E2465" s="54"/>
      <c r="F2465" s="52" t="str">
        <f>IF(INDEX(I.CCUS.StartRange,393)="","",INDEX(I.CCUS.StartRange,393))</f>
        <v/>
      </c>
      <c r="G2465" s="54"/>
      <c r="H2465" s="52" t="str">
        <f>IF(AND(I.Compliance.FulfilledCCUS&gt;0,I.CCUS.RangeCount&gt;=393,F2465=""),"Incomplete","Complete")</f>
        <v>Complete</v>
      </c>
      <c r="I2465" s="55" t="s">
        <v>2662</v>
      </c>
    </row>
    <row r="2466" spans="2:9" ht="15" customHeight="1" x14ac:dyDescent="0.25">
      <c r="B2466" s="51" t="s">
        <v>126</v>
      </c>
      <c r="C2466" s="52">
        <v>394</v>
      </c>
      <c r="D2466" s="53" t="s">
        <v>4329</v>
      </c>
      <c r="E2466" s="54"/>
      <c r="F2466" s="52" t="str">
        <f>IF(INDEX(I.CCUS.StartRange,394)="","",INDEX(I.CCUS.StartRange,394))</f>
        <v/>
      </c>
      <c r="G2466" s="54"/>
      <c r="H2466" s="52" t="str">
        <f>IF(AND(I.Compliance.FulfilledCCUS&gt;0,I.CCUS.RangeCount&gt;=394,F2466=""),"Incomplete","Complete")</f>
        <v>Complete</v>
      </c>
      <c r="I2466" s="55" t="s">
        <v>2663</v>
      </c>
    </row>
    <row r="2467" spans="2:9" ht="15" customHeight="1" x14ac:dyDescent="0.25">
      <c r="B2467" s="51" t="s">
        <v>126</v>
      </c>
      <c r="C2467" s="52">
        <v>395</v>
      </c>
      <c r="D2467" s="53" t="s">
        <v>4329</v>
      </c>
      <c r="E2467" s="54"/>
      <c r="F2467" s="52" t="str">
        <f>IF(INDEX(I.CCUS.StartRange,395)="","",INDEX(I.CCUS.StartRange,395))</f>
        <v/>
      </c>
      <c r="G2467" s="54"/>
      <c r="H2467" s="52" t="str">
        <f>IF(AND(I.Compliance.FulfilledCCUS&gt;0,I.CCUS.RangeCount&gt;=395,F2467=""),"Incomplete","Complete")</f>
        <v>Complete</v>
      </c>
      <c r="I2467" s="55" t="s">
        <v>2664</v>
      </c>
    </row>
    <row r="2468" spans="2:9" ht="15" customHeight="1" x14ac:dyDescent="0.25">
      <c r="B2468" s="51" t="s">
        <v>126</v>
      </c>
      <c r="C2468" s="52">
        <v>396</v>
      </c>
      <c r="D2468" s="53" t="s">
        <v>4329</v>
      </c>
      <c r="E2468" s="54"/>
      <c r="F2468" s="52" t="str">
        <f>IF(INDEX(I.CCUS.StartRange,396)="","",INDEX(I.CCUS.StartRange,396))</f>
        <v/>
      </c>
      <c r="G2468" s="54"/>
      <c r="H2468" s="52" t="str">
        <f>IF(AND(I.Compliance.FulfilledCCUS&gt;0,I.CCUS.RangeCount&gt;=396,F2468=""),"Incomplete","Complete")</f>
        <v>Complete</v>
      </c>
      <c r="I2468" s="55" t="s">
        <v>2665</v>
      </c>
    </row>
    <row r="2469" spans="2:9" ht="15" customHeight="1" x14ac:dyDescent="0.25">
      <c r="B2469" s="51" t="s">
        <v>126</v>
      </c>
      <c r="C2469" s="52">
        <v>397</v>
      </c>
      <c r="D2469" s="53" t="s">
        <v>4329</v>
      </c>
      <c r="E2469" s="54"/>
      <c r="F2469" s="52" t="str">
        <f>IF(INDEX(I.CCUS.StartRange,397)="","",INDEX(I.CCUS.StartRange,397))</f>
        <v/>
      </c>
      <c r="G2469" s="54"/>
      <c r="H2469" s="52" t="str">
        <f>IF(AND(I.Compliance.FulfilledCCUS&gt;0,I.CCUS.RangeCount&gt;=397,F2469=""),"Incomplete","Complete")</f>
        <v>Complete</v>
      </c>
      <c r="I2469" s="55" t="s">
        <v>2666</v>
      </c>
    </row>
    <row r="2470" spans="2:9" ht="15" customHeight="1" x14ac:dyDescent="0.25">
      <c r="B2470" s="51" t="s">
        <v>126</v>
      </c>
      <c r="C2470" s="52">
        <v>398</v>
      </c>
      <c r="D2470" s="53" t="s">
        <v>4329</v>
      </c>
      <c r="E2470" s="54"/>
      <c r="F2470" s="52" t="str">
        <f>IF(INDEX(I.CCUS.StartRange,398)="","",INDEX(I.CCUS.StartRange,398))</f>
        <v/>
      </c>
      <c r="G2470" s="54"/>
      <c r="H2470" s="52" t="str">
        <f>IF(AND(I.Compliance.FulfilledCCUS&gt;0,I.CCUS.RangeCount&gt;=398,F2470=""),"Incomplete","Complete")</f>
        <v>Complete</v>
      </c>
      <c r="I2470" s="55" t="s">
        <v>2667</v>
      </c>
    </row>
    <row r="2471" spans="2:9" ht="15" customHeight="1" x14ac:dyDescent="0.25">
      <c r="B2471" s="51" t="s">
        <v>126</v>
      </c>
      <c r="C2471" s="52">
        <v>399</v>
      </c>
      <c r="D2471" s="53" t="s">
        <v>4329</v>
      </c>
      <c r="E2471" s="54"/>
      <c r="F2471" s="52" t="str">
        <f>IF(INDEX(I.CCUS.StartRange,399)="","",INDEX(I.CCUS.StartRange,399))</f>
        <v/>
      </c>
      <c r="G2471" s="54"/>
      <c r="H2471" s="52" t="str">
        <f>IF(AND(I.Compliance.FulfilledCCUS&gt;0,I.CCUS.RangeCount&gt;=399,F2471=""),"Incomplete","Complete")</f>
        <v>Complete</v>
      </c>
      <c r="I2471" s="55" t="s">
        <v>2668</v>
      </c>
    </row>
    <row r="2472" spans="2:9" ht="15" customHeight="1" x14ac:dyDescent="0.25">
      <c r="B2472" s="51" t="s">
        <v>126</v>
      </c>
      <c r="C2472" s="52">
        <v>400</v>
      </c>
      <c r="D2472" s="53" t="s">
        <v>4329</v>
      </c>
      <c r="E2472" s="54"/>
      <c r="F2472" s="52" t="str">
        <f>IF(INDEX(I.CCUS.StartRange,400)="","",INDEX(I.CCUS.StartRange,400))</f>
        <v/>
      </c>
      <c r="G2472" s="54"/>
      <c r="H2472" s="52" t="str">
        <f>IF(AND(I.Compliance.FulfilledCCUS&gt;0,I.CCUS.RangeCount&gt;=400,F2472=""),"Incomplete","Complete")</f>
        <v>Complete</v>
      </c>
      <c r="I2472" s="55" t="s">
        <v>2669</v>
      </c>
    </row>
    <row r="2473" spans="2:9" ht="15" customHeight="1" x14ac:dyDescent="0.25">
      <c r="B2473" s="51" t="s">
        <v>126</v>
      </c>
      <c r="C2473" s="52">
        <v>401</v>
      </c>
      <c r="D2473" s="53" t="s">
        <v>4329</v>
      </c>
      <c r="E2473" s="54"/>
      <c r="F2473" s="52" t="str">
        <f>IF(INDEX(I.CCUS.StartRange,401)="","",INDEX(I.CCUS.StartRange,401))</f>
        <v/>
      </c>
      <c r="G2473" s="54"/>
      <c r="H2473" s="52" t="str">
        <f>IF(AND(I.Compliance.FulfilledCCUS&gt;0,I.CCUS.RangeCount&gt;=401,F2473=""),"Incomplete","Complete")</f>
        <v>Complete</v>
      </c>
      <c r="I2473" s="55" t="s">
        <v>2670</v>
      </c>
    </row>
    <row r="2474" spans="2:9" ht="15" customHeight="1" x14ac:dyDescent="0.25">
      <c r="B2474" s="51" t="s">
        <v>126</v>
      </c>
      <c r="C2474" s="52">
        <v>402</v>
      </c>
      <c r="D2474" s="53" t="s">
        <v>4329</v>
      </c>
      <c r="E2474" s="54"/>
      <c r="F2474" s="52" t="str">
        <f>IF(INDEX(I.CCUS.StartRange,402)="","",INDEX(I.CCUS.StartRange,402))</f>
        <v/>
      </c>
      <c r="G2474" s="54"/>
      <c r="H2474" s="52" t="str">
        <f>IF(AND(I.Compliance.FulfilledCCUS&gt;0,I.CCUS.RangeCount&gt;=402,F2474=""),"Incomplete","Complete")</f>
        <v>Complete</v>
      </c>
      <c r="I2474" s="55" t="s">
        <v>2671</v>
      </c>
    </row>
    <row r="2475" spans="2:9" ht="15" customHeight="1" x14ac:dyDescent="0.25">
      <c r="B2475" s="51" t="s">
        <v>126</v>
      </c>
      <c r="C2475" s="52">
        <v>403</v>
      </c>
      <c r="D2475" s="53" t="s">
        <v>4329</v>
      </c>
      <c r="E2475" s="54"/>
      <c r="F2475" s="52" t="str">
        <f>IF(INDEX(I.CCUS.StartRange,403)="","",INDEX(I.CCUS.StartRange,403))</f>
        <v/>
      </c>
      <c r="G2475" s="54"/>
      <c r="H2475" s="52" t="str">
        <f>IF(AND(I.Compliance.FulfilledCCUS&gt;0,I.CCUS.RangeCount&gt;=403,F2475=""),"Incomplete","Complete")</f>
        <v>Complete</v>
      </c>
      <c r="I2475" s="55" t="s">
        <v>2672</v>
      </c>
    </row>
    <row r="2476" spans="2:9" ht="15" customHeight="1" x14ac:dyDescent="0.25">
      <c r="B2476" s="51" t="s">
        <v>126</v>
      </c>
      <c r="C2476" s="52">
        <v>404</v>
      </c>
      <c r="D2476" s="53" t="s">
        <v>4329</v>
      </c>
      <c r="E2476" s="54"/>
      <c r="F2476" s="52" t="str">
        <f>IF(INDEX(I.CCUS.StartRange,404)="","",INDEX(I.CCUS.StartRange,404))</f>
        <v/>
      </c>
      <c r="G2476" s="54"/>
      <c r="H2476" s="52" t="str">
        <f>IF(AND(I.Compliance.FulfilledCCUS&gt;0,I.CCUS.RangeCount&gt;=404,F2476=""),"Incomplete","Complete")</f>
        <v>Complete</v>
      </c>
      <c r="I2476" s="55" t="s">
        <v>2673</v>
      </c>
    </row>
    <row r="2477" spans="2:9" ht="15" customHeight="1" x14ac:dyDescent="0.25">
      <c r="B2477" s="51" t="s">
        <v>126</v>
      </c>
      <c r="C2477" s="52">
        <v>405</v>
      </c>
      <c r="D2477" s="53" t="s">
        <v>4329</v>
      </c>
      <c r="E2477" s="54"/>
      <c r="F2477" s="52" t="str">
        <f>IF(INDEX(I.CCUS.StartRange,405)="","",INDEX(I.CCUS.StartRange,405))</f>
        <v/>
      </c>
      <c r="G2477" s="54"/>
      <c r="H2477" s="52" t="str">
        <f>IF(AND(I.Compliance.FulfilledCCUS&gt;0,I.CCUS.RangeCount&gt;=405,F2477=""),"Incomplete","Complete")</f>
        <v>Complete</v>
      </c>
      <c r="I2477" s="55" t="s">
        <v>2674</v>
      </c>
    </row>
    <row r="2478" spans="2:9" ht="15" customHeight="1" x14ac:dyDescent="0.25">
      <c r="B2478" s="51" t="s">
        <v>126</v>
      </c>
      <c r="C2478" s="52">
        <v>406</v>
      </c>
      <c r="D2478" s="53" t="s">
        <v>4329</v>
      </c>
      <c r="E2478" s="54"/>
      <c r="F2478" s="52" t="str">
        <f>IF(INDEX(I.CCUS.StartRange,406)="","",INDEX(I.CCUS.StartRange,406))</f>
        <v/>
      </c>
      <c r="G2478" s="54"/>
      <c r="H2478" s="52" t="str">
        <f>IF(AND(I.Compliance.FulfilledCCUS&gt;0,I.CCUS.RangeCount&gt;=406,F2478=""),"Incomplete","Complete")</f>
        <v>Complete</v>
      </c>
      <c r="I2478" s="55" t="s">
        <v>2675</v>
      </c>
    </row>
    <row r="2479" spans="2:9" ht="15" customHeight="1" x14ac:dyDescent="0.25">
      <c r="B2479" s="51" t="s">
        <v>126</v>
      </c>
      <c r="C2479" s="52">
        <v>407</v>
      </c>
      <c r="D2479" s="53" t="s">
        <v>4329</v>
      </c>
      <c r="E2479" s="54"/>
      <c r="F2479" s="52" t="str">
        <f>IF(INDEX(I.CCUS.StartRange,407)="","",INDEX(I.CCUS.StartRange,407))</f>
        <v/>
      </c>
      <c r="G2479" s="54"/>
      <c r="H2479" s="52" t="str">
        <f>IF(AND(I.Compliance.FulfilledCCUS&gt;0,I.CCUS.RangeCount&gt;=407,F2479=""),"Incomplete","Complete")</f>
        <v>Complete</v>
      </c>
      <c r="I2479" s="55" t="s">
        <v>2676</v>
      </c>
    </row>
    <row r="2480" spans="2:9" ht="15" customHeight="1" x14ac:dyDescent="0.25">
      <c r="B2480" s="51" t="s">
        <v>126</v>
      </c>
      <c r="C2480" s="52">
        <v>408</v>
      </c>
      <c r="D2480" s="53" t="s">
        <v>4329</v>
      </c>
      <c r="E2480" s="54"/>
      <c r="F2480" s="52" t="str">
        <f>IF(INDEX(I.CCUS.StartRange,408)="","",INDEX(I.CCUS.StartRange,408))</f>
        <v/>
      </c>
      <c r="G2480" s="54"/>
      <c r="H2480" s="52" t="str">
        <f>IF(AND(I.Compliance.FulfilledCCUS&gt;0,I.CCUS.RangeCount&gt;=408,F2480=""),"Incomplete","Complete")</f>
        <v>Complete</v>
      </c>
      <c r="I2480" s="55" t="s">
        <v>2677</v>
      </c>
    </row>
    <row r="2481" spans="2:9" ht="15" customHeight="1" x14ac:dyDescent="0.25">
      <c r="B2481" s="51" t="s">
        <v>126</v>
      </c>
      <c r="C2481" s="52">
        <v>409</v>
      </c>
      <c r="D2481" s="53" t="s">
        <v>4329</v>
      </c>
      <c r="E2481" s="54"/>
      <c r="F2481" s="52" t="str">
        <f>IF(INDEX(I.CCUS.StartRange,409)="","",INDEX(I.CCUS.StartRange,409))</f>
        <v/>
      </c>
      <c r="G2481" s="54"/>
      <c r="H2481" s="52" t="str">
        <f>IF(AND(I.Compliance.FulfilledCCUS&gt;0,I.CCUS.RangeCount&gt;=409,F2481=""),"Incomplete","Complete")</f>
        <v>Complete</v>
      </c>
      <c r="I2481" s="55" t="s">
        <v>2678</v>
      </c>
    </row>
    <row r="2482" spans="2:9" ht="15" customHeight="1" x14ac:dyDescent="0.25">
      <c r="B2482" s="51" t="s">
        <v>126</v>
      </c>
      <c r="C2482" s="52">
        <v>410</v>
      </c>
      <c r="D2482" s="53" t="s">
        <v>4329</v>
      </c>
      <c r="E2482" s="54"/>
      <c r="F2482" s="52" t="str">
        <f>IF(INDEX(I.CCUS.StartRange,410)="","",INDEX(I.CCUS.StartRange,410))</f>
        <v/>
      </c>
      <c r="G2482" s="54"/>
      <c r="H2482" s="52" t="str">
        <f>IF(AND(I.Compliance.FulfilledCCUS&gt;0,I.CCUS.RangeCount&gt;=410,F2482=""),"Incomplete","Complete")</f>
        <v>Complete</v>
      </c>
      <c r="I2482" s="55" t="s">
        <v>2679</v>
      </c>
    </row>
    <row r="2483" spans="2:9" ht="15" customHeight="1" x14ac:dyDescent="0.25">
      <c r="B2483" s="51" t="s">
        <v>126</v>
      </c>
      <c r="C2483" s="52">
        <v>411</v>
      </c>
      <c r="D2483" s="53" t="s">
        <v>4329</v>
      </c>
      <c r="E2483" s="54"/>
      <c r="F2483" s="52" t="str">
        <f>IF(INDEX(I.CCUS.StartRange,411)="","",INDEX(I.CCUS.StartRange,411))</f>
        <v/>
      </c>
      <c r="G2483" s="54"/>
      <c r="H2483" s="52" t="str">
        <f>IF(AND(I.Compliance.FulfilledCCUS&gt;0,I.CCUS.RangeCount&gt;=411,F2483=""),"Incomplete","Complete")</f>
        <v>Complete</v>
      </c>
      <c r="I2483" s="55" t="s">
        <v>2680</v>
      </c>
    </row>
    <row r="2484" spans="2:9" ht="15" customHeight="1" x14ac:dyDescent="0.25">
      <c r="B2484" s="51" t="s">
        <v>126</v>
      </c>
      <c r="C2484" s="52">
        <v>412</v>
      </c>
      <c r="D2484" s="53" t="s">
        <v>4329</v>
      </c>
      <c r="E2484" s="54"/>
      <c r="F2484" s="52" t="str">
        <f>IF(INDEX(I.CCUS.StartRange,412)="","",INDEX(I.CCUS.StartRange,412))</f>
        <v/>
      </c>
      <c r="G2484" s="54"/>
      <c r="H2484" s="52" t="str">
        <f>IF(AND(I.Compliance.FulfilledCCUS&gt;0,I.CCUS.RangeCount&gt;=412,F2484=""),"Incomplete","Complete")</f>
        <v>Complete</v>
      </c>
      <c r="I2484" s="55" t="s">
        <v>2681</v>
      </c>
    </row>
    <row r="2485" spans="2:9" ht="15" customHeight="1" x14ac:dyDescent="0.25">
      <c r="B2485" s="51" t="s">
        <v>126</v>
      </c>
      <c r="C2485" s="52">
        <v>413</v>
      </c>
      <c r="D2485" s="53" t="s">
        <v>4329</v>
      </c>
      <c r="E2485" s="54"/>
      <c r="F2485" s="52" t="str">
        <f>IF(INDEX(I.CCUS.StartRange,413)="","",INDEX(I.CCUS.StartRange,413))</f>
        <v/>
      </c>
      <c r="G2485" s="54"/>
      <c r="H2485" s="52" t="str">
        <f>IF(AND(I.Compliance.FulfilledCCUS&gt;0,I.CCUS.RangeCount&gt;=413,F2485=""),"Incomplete","Complete")</f>
        <v>Complete</v>
      </c>
      <c r="I2485" s="55" t="s">
        <v>2682</v>
      </c>
    </row>
    <row r="2486" spans="2:9" ht="15" customHeight="1" x14ac:dyDescent="0.25">
      <c r="B2486" s="51" t="s">
        <v>126</v>
      </c>
      <c r="C2486" s="52">
        <v>414</v>
      </c>
      <c r="D2486" s="53" t="s">
        <v>4329</v>
      </c>
      <c r="E2486" s="54"/>
      <c r="F2486" s="52" t="str">
        <f>IF(INDEX(I.CCUS.StartRange,414)="","",INDEX(I.CCUS.StartRange,414))</f>
        <v/>
      </c>
      <c r="G2486" s="54"/>
      <c r="H2486" s="52" t="str">
        <f>IF(AND(I.Compliance.FulfilledCCUS&gt;0,I.CCUS.RangeCount&gt;=414,F2486=""),"Incomplete","Complete")</f>
        <v>Complete</v>
      </c>
      <c r="I2486" s="55" t="s">
        <v>2683</v>
      </c>
    </row>
    <row r="2487" spans="2:9" ht="15" customHeight="1" x14ac:dyDescent="0.25">
      <c r="B2487" s="51" t="s">
        <v>126</v>
      </c>
      <c r="C2487" s="52">
        <v>415</v>
      </c>
      <c r="D2487" s="53" t="s">
        <v>4329</v>
      </c>
      <c r="E2487" s="54"/>
      <c r="F2487" s="52" t="str">
        <f>IF(INDEX(I.CCUS.StartRange,415)="","",INDEX(I.CCUS.StartRange,415))</f>
        <v/>
      </c>
      <c r="G2487" s="54"/>
      <c r="H2487" s="52" t="str">
        <f>IF(AND(I.Compliance.FulfilledCCUS&gt;0,I.CCUS.RangeCount&gt;=415,F2487=""),"Incomplete","Complete")</f>
        <v>Complete</v>
      </c>
      <c r="I2487" s="55" t="s">
        <v>2684</v>
      </c>
    </row>
    <row r="2488" spans="2:9" ht="15" customHeight="1" x14ac:dyDescent="0.25">
      <c r="B2488" s="51" t="s">
        <v>126</v>
      </c>
      <c r="C2488" s="52">
        <v>416</v>
      </c>
      <c r="D2488" s="53" t="s">
        <v>4329</v>
      </c>
      <c r="E2488" s="54"/>
      <c r="F2488" s="52" t="str">
        <f>IF(INDEX(I.CCUS.StartRange,416)="","",INDEX(I.CCUS.StartRange,416))</f>
        <v/>
      </c>
      <c r="G2488" s="54"/>
      <c r="H2488" s="52" t="str">
        <f>IF(AND(I.Compliance.FulfilledCCUS&gt;0,I.CCUS.RangeCount&gt;=416,F2488=""),"Incomplete","Complete")</f>
        <v>Complete</v>
      </c>
      <c r="I2488" s="55" t="s">
        <v>2685</v>
      </c>
    </row>
    <row r="2489" spans="2:9" ht="15" customHeight="1" x14ac:dyDescent="0.25">
      <c r="B2489" s="51" t="s">
        <v>126</v>
      </c>
      <c r="C2489" s="52">
        <v>417</v>
      </c>
      <c r="D2489" s="53" t="s">
        <v>4329</v>
      </c>
      <c r="E2489" s="54"/>
      <c r="F2489" s="52" t="str">
        <f>IF(INDEX(I.CCUS.StartRange,417)="","",INDEX(I.CCUS.StartRange,417))</f>
        <v/>
      </c>
      <c r="G2489" s="54"/>
      <c r="H2489" s="52" t="str">
        <f>IF(AND(I.Compliance.FulfilledCCUS&gt;0,I.CCUS.RangeCount&gt;=417,F2489=""),"Incomplete","Complete")</f>
        <v>Complete</v>
      </c>
      <c r="I2489" s="55" t="s">
        <v>2686</v>
      </c>
    </row>
    <row r="2490" spans="2:9" ht="15" customHeight="1" x14ac:dyDescent="0.25">
      <c r="B2490" s="51" t="s">
        <v>126</v>
      </c>
      <c r="C2490" s="52">
        <v>418</v>
      </c>
      <c r="D2490" s="53" t="s">
        <v>4329</v>
      </c>
      <c r="E2490" s="54"/>
      <c r="F2490" s="52" t="str">
        <f>IF(INDEX(I.CCUS.StartRange,418)="","",INDEX(I.CCUS.StartRange,418))</f>
        <v/>
      </c>
      <c r="G2490" s="54"/>
      <c r="H2490" s="52" t="str">
        <f>IF(AND(I.Compliance.FulfilledCCUS&gt;0,I.CCUS.RangeCount&gt;=418,F2490=""),"Incomplete","Complete")</f>
        <v>Complete</v>
      </c>
      <c r="I2490" s="55" t="s">
        <v>2687</v>
      </c>
    </row>
    <row r="2491" spans="2:9" ht="15" customHeight="1" x14ac:dyDescent="0.25">
      <c r="B2491" s="51" t="s">
        <v>126</v>
      </c>
      <c r="C2491" s="52">
        <v>419</v>
      </c>
      <c r="D2491" s="53" t="s">
        <v>4329</v>
      </c>
      <c r="E2491" s="54"/>
      <c r="F2491" s="52" t="str">
        <f>IF(INDEX(I.CCUS.StartRange,419)="","",INDEX(I.CCUS.StartRange,419))</f>
        <v/>
      </c>
      <c r="G2491" s="54"/>
      <c r="H2491" s="52" t="str">
        <f>IF(AND(I.Compliance.FulfilledCCUS&gt;0,I.CCUS.RangeCount&gt;=419,F2491=""),"Incomplete","Complete")</f>
        <v>Complete</v>
      </c>
      <c r="I2491" s="55" t="s">
        <v>2688</v>
      </c>
    </row>
    <row r="2492" spans="2:9" ht="15" customHeight="1" x14ac:dyDescent="0.25">
      <c r="B2492" s="51" t="s">
        <v>126</v>
      </c>
      <c r="C2492" s="52">
        <v>420</v>
      </c>
      <c r="D2492" s="53" t="s">
        <v>4329</v>
      </c>
      <c r="E2492" s="54"/>
      <c r="F2492" s="52" t="str">
        <f>IF(INDEX(I.CCUS.StartRange,420)="","",INDEX(I.CCUS.StartRange,420))</f>
        <v/>
      </c>
      <c r="G2492" s="54"/>
      <c r="H2492" s="52" t="str">
        <f>IF(AND(I.Compliance.FulfilledCCUS&gt;0,I.CCUS.RangeCount&gt;=420,F2492=""),"Incomplete","Complete")</f>
        <v>Complete</v>
      </c>
      <c r="I2492" s="55" t="s">
        <v>2689</v>
      </c>
    </row>
    <row r="2493" spans="2:9" ht="15" customHeight="1" x14ac:dyDescent="0.25">
      <c r="B2493" s="51" t="s">
        <v>126</v>
      </c>
      <c r="C2493" s="52">
        <v>421</v>
      </c>
      <c r="D2493" s="53" t="s">
        <v>4329</v>
      </c>
      <c r="E2493" s="54"/>
      <c r="F2493" s="52" t="str">
        <f>IF(INDEX(I.CCUS.StartRange,421)="","",INDEX(I.CCUS.StartRange,421))</f>
        <v/>
      </c>
      <c r="G2493" s="54"/>
      <c r="H2493" s="52" t="str">
        <f>IF(AND(I.Compliance.FulfilledCCUS&gt;0,I.CCUS.RangeCount&gt;=421,F2493=""),"Incomplete","Complete")</f>
        <v>Complete</v>
      </c>
      <c r="I2493" s="55" t="s">
        <v>2690</v>
      </c>
    </row>
    <row r="2494" spans="2:9" ht="15" customHeight="1" x14ac:dyDescent="0.25">
      <c r="B2494" s="51" t="s">
        <v>126</v>
      </c>
      <c r="C2494" s="52">
        <v>422</v>
      </c>
      <c r="D2494" s="53" t="s">
        <v>4329</v>
      </c>
      <c r="E2494" s="54"/>
      <c r="F2494" s="52" t="str">
        <f>IF(INDEX(I.CCUS.StartRange,422)="","",INDEX(I.CCUS.StartRange,422))</f>
        <v/>
      </c>
      <c r="G2494" s="54"/>
      <c r="H2494" s="52" t="str">
        <f>IF(AND(I.Compliance.FulfilledCCUS&gt;0,I.CCUS.RangeCount&gt;=422,F2494=""),"Incomplete","Complete")</f>
        <v>Complete</v>
      </c>
      <c r="I2494" s="55" t="s">
        <v>2691</v>
      </c>
    </row>
    <row r="2495" spans="2:9" ht="15" customHeight="1" x14ac:dyDescent="0.25">
      <c r="B2495" s="51" t="s">
        <v>126</v>
      </c>
      <c r="C2495" s="52">
        <v>423</v>
      </c>
      <c r="D2495" s="53" t="s">
        <v>4329</v>
      </c>
      <c r="E2495" s="54"/>
      <c r="F2495" s="52" t="str">
        <f>IF(INDEX(I.CCUS.StartRange,423)="","",INDEX(I.CCUS.StartRange,423))</f>
        <v/>
      </c>
      <c r="G2495" s="54"/>
      <c r="H2495" s="52" t="str">
        <f>IF(AND(I.Compliance.FulfilledCCUS&gt;0,I.CCUS.RangeCount&gt;=423,F2495=""),"Incomplete","Complete")</f>
        <v>Complete</v>
      </c>
      <c r="I2495" s="55" t="s">
        <v>2692</v>
      </c>
    </row>
    <row r="2496" spans="2:9" ht="15" customHeight="1" x14ac:dyDescent="0.25">
      <c r="B2496" s="51" t="s">
        <v>126</v>
      </c>
      <c r="C2496" s="52">
        <v>424</v>
      </c>
      <c r="D2496" s="53" t="s">
        <v>4329</v>
      </c>
      <c r="E2496" s="54"/>
      <c r="F2496" s="52" t="str">
        <f>IF(INDEX(I.CCUS.StartRange,424)="","",INDEX(I.CCUS.StartRange,424))</f>
        <v/>
      </c>
      <c r="G2496" s="54"/>
      <c r="H2496" s="52" t="str">
        <f>IF(AND(I.Compliance.FulfilledCCUS&gt;0,I.CCUS.RangeCount&gt;=424,F2496=""),"Incomplete","Complete")</f>
        <v>Complete</v>
      </c>
      <c r="I2496" s="55" t="s">
        <v>2693</v>
      </c>
    </row>
    <row r="2497" spans="2:9" ht="15" customHeight="1" x14ac:dyDescent="0.25">
      <c r="B2497" s="51" t="s">
        <v>126</v>
      </c>
      <c r="C2497" s="52">
        <v>425</v>
      </c>
      <c r="D2497" s="53" t="s">
        <v>4329</v>
      </c>
      <c r="E2497" s="54"/>
      <c r="F2497" s="52" t="str">
        <f>IF(INDEX(I.CCUS.StartRange,425)="","",INDEX(I.CCUS.StartRange,425))</f>
        <v/>
      </c>
      <c r="G2497" s="54"/>
      <c r="H2497" s="52" t="str">
        <f>IF(AND(I.Compliance.FulfilledCCUS&gt;0,I.CCUS.RangeCount&gt;=425,F2497=""),"Incomplete","Complete")</f>
        <v>Complete</v>
      </c>
      <c r="I2497" s="55" t="s">
        <v>2694</v>
      </c>
    </row>
    <row r="2498" spans="2:9" ht="15" customHeight="1" x14ac:dyDescent="0.25">
      <c r="B2498" s="51" t="s">
        <v>126</v>
      </c>
      <c r="C2498" s="52">
        <v>426</v>
      </c>
      <c r="D2498" s="53" t="s">
        <v>4329</v>
      </c>
      <c r="E2498" s="54"/>
      <c r="F2498" s="52" t="str">
        <f>IF(INDEX(I.CCUS.StartRange,426)="","",INDEX(I.CCUS.StartRange,426))</f>
        <v/>
      </c>
      <c r="G2498" s="54"/>
      <c r="H2498" s="52" t="str">
        <f>IF(AND(I.Compliance.FulfilledCCUS&gt;0,I.CCUS.RangeCount&gt;=426,F2498=""),"Incomplete","Complete")</f>
        <v>Complete</v>
      </c>
      <c r="I2498" s="55" t="s">
        <v>2695</v>
      </c>
    </row>
    <row r="2499" spans="2:9" ht="15" customHeight="1" x14ac:dyDescent="0.25">
      <c r="B2499" s="51" t="s">
        <v>126</v>
      </c>
      <c r="C2499" s="52">
        <v>427</v>
      </c>
      <c r="D2499" s="53" t="s">
        <v>4329</v>
      </c>
      <c r="E2499" s="54"/>
      <c r="F2499" s="52" t="str">
        <f>IF(INDEX(I.CCUS.StartRange,427)="","",INDEX(I.CCUS.StartRange,427))</f>
        <v/>
      </c>
      <c r="G2499" s="54"/>
      <c r="H2499" s="52" t="str">
        <f>IF(AND(I.Compliance.FulfilledCCUS&gt;0,I.CCUS.RangeCount&gt;=427,F2499=""),"Incomplete","Complete")</f>
        <v>Complete</v>
      </c>
      <c r="I2499" s="55" t="s">
        <v>2696</v>
      </c>
    </row>
    <row r="2500" spans="2:9" ht="15" customHeight="1" x14ac:dyDescent="0.25">
      <c r="B2500" s="51" t="s">
        <v>126</v>
      </c>
      <c r="C2500" s="52">
        <v>428</v>
      </c>
      <c r="D2500" s="53" t="s">
        <v>4329</v>
      </c>
      <c r="E2500" s="54"/>
      <c r="F2500" s="52" t="str">
        <f>IF(INDEX(I.CCUS.StartRange,428)="","",INDEX(I.CCUS.StartRange,428))</f>
        <v/>
      </c>
      <c r="G2500" s="54"/>
      <c r="H2500" s="52" t="str">
        <f>IF(AND(I.Compliance.FulfilledCCUS&gt;0,I.CCUS.RangeCount&gt;=428,F2500=""),"Incomplete","Complete")</f>
        <v>Complete</v>
      </c>
      <c r="I2500" s="55" t="s">
        <v>2697</v>
      </c>
    </row>
    <row r="2501" spans="2:9" ht="15" customHeight="1" x14ac:dyDescent="0.25">
      <c r="B2501" s="51" t="s">
        <v>126</v>
      </c>
      <c r="C2501" s="52">
        <v>429</v>
      </c>
      <c r="D2501" s="53" t="s">
        <v>4329</v>
      </c>
      <c r="E2501" s="54"/>
      <c r="F2501" s="52" t="str">
        <f>IF(INDEX(I.CCUS.StartRange,429)="","",INDEX(I.CCUS.StartRange,429))</f>
        <v/>
      </c>
      <c r="G2501" s="54"/>
      <c r="H2501" s="52" t="str">
        <f>IF(AND(I.Compliance.FulfilledCCUS&gt;0,I.CCUS.RangeCount&gt;=429,F2501=""),"Incomplete","Complete")</f>
        <v>Complete</v>
      </c>
      <c r="I2501" s="55" t="s">
        <v>2698</v>
      </c>
    </row>
    <row r="2502" spans="2:9" ht="15" customHeight="1" x14ac:dyDescent="0.25">
      <c r="B2502" s="51" t="s">
        <v>126</v>
      </c>
      <c r="C2502" s="52">
        <v>430</v>
      </c>
      <c r="D2502" s="53" t="s">
        <v>4329</v>
      </c>
      <c r="E2502" s="54"/>
      <c r="F2502" s="52" t="str">
        <f>IF(INDEX(I.CCUS.StartRange,430)="","",INDEX(I.CCUS.StartRange,430))</f>
        <v/>
      </c>
      <c r="G2502" s="54"/>
      <c r="H2502" s="52" t="str">
        <f>IF(AND(I.Compliance.FulfilledCCUS&gt;0,I.CCUS.RangeCount&gt;=430,F2502=""),"Incomplete","Complete")</f>
        <v>Complete</v>
      </c>
      <c r="I2502" s="55" t="s">
        <v>2699</v>
      </c>
    </row>
    <row r="2503" spans="2:9" ht="15" customHeight="1" x14ac:dyDescent="0.25">
      <c r="B2503" s="51" t="s">
        <v>126</v>
      </c>
      <c r="C2503" s="52">
        <v>431</v>
      </c>
      <c r="D2503" s="53" t="s">
        <v>4329</v>
      </c>
      <c r="E2503" s="54"/>
      <c r="F2503" s="52" t="str">
        <f>IF(INDEX(I.CCUS.StartRange,431)="","",INDEX(I.CCUS.StartRange,431))</f>
        <v/>
      </c>
      <c r="G2503" s="54"/>
      <c r="H2503" s="52" t="str">
        <f>IF(AND(I.Compliance.FulfilledCCUS&gt;0,I.CCUS.RangeCount&gt;=431,F2503=""),"Incomplete","Complete")</f>
        <v>Complete</v>
      </c>
      <c r="I2503" s="55" t="s">
        <v>2700</v>
      </c>
    </row>
    <row r="2504" spans="2:9" ht="15" customHeight="1" x14ac:dyDescent="0.25">
      <c r="B2504" s="51" t="s">
        <v>126</v>
      </c>
      <c r="C2504" s="52">
        <v>432</v>
      </c>
      <c r="D2504" s="53" t="s">
        <v>4329</v>
      </c>
      <c r="E2504" s="54"/>
      <c r="F2504" s="52" t="str">
        <f>IF(INDEX(I.CCUS.StartRange,432)="","",INDEX(I.CCUS.StartRange,432))</f>
        <v/>
      </c>
      <c r="G2504" s="54"/>
      <c r="H2504" s="52" t="str">
        <f>IF(AND(I.Compliance.FulfilledCCUS&gt;0,I.CCUS.RangeCount&gt;=432,F2504=""),"Incomplete","Complete")</f>
        <v>Complete</v>
      </c>
      <c r="I2504" s="55" t="s">
        <v>2701</v>
      </c>
    </row>
    <row r="2505" spans="2:9" ht="15" customHeight="1" x14ac:dyDescent="0.25">
      <c r="B2505" s="51" t="s">
        <v>126</v>
      </c>
      <c r="C2505" s="52">
        <v>433</v>
      </c>
      <c r="D2505" s="53" t="s">
        <v>4329</v>
      </c>
      <c r="E2505" s="54"/>
      <c r="F2505" s="52" t="str">
        <f>IF(INDEX(I.CCUS.StartRange,433)="","",INDEX(I.CCUS.StartRange,433))</f>
        <v/>
      </c>
      <c r="G2505" s="54"/>
      <c r="H2505" s="52" t="str">
        <f>IF(AND(I.Compliance.FulfilledCCUS&gt;0,I.CCUS.RangeCount&gt;=433,F2505=""),"Incomplete","Complete")</f>
        <v>Complete</v>
      </c>
      <c r="I2505" s="55" t="s">
        <v>2702</v>
      </c>
    </row>
    <row r="2506" spans="2:9" ht="15" customHeight="1" x14ac:dyDescent="0.25">
      <c r="B2506" s="51" t="s">
        <v>126</v>
      </c>
      <c r="C2506" s="52">
        <v>434</v>
      </c>
      <c r="D2506" s="53" t="s">
        <v>4329</v>
      </c>
      <c r="E2506" s="54"/>
      <c r="F2506" s="52" t="str">
        <f>IF(INDEX(I.CCUS.StartRange,434)="","",INDEX(I.CCUS.StartRange,434))</f>
        <v/>
      </c>
      <c r="G2506" s="54"/>
      <c r="H2506" s="52" t="str">
        <f>IF(AND(I.Compliance.FulfilledCCUS&gt;0,I.CCUS.RangeCount&gt;=434,F2506=""),"Incomplete","Complete")</f>
        <v>Complete</v>
      </c>
      <c r="I2506" s="55" t="s">
        <v>2703</v>
      </c>
    </row>
    <row r="2507" spans="2:9" ht="15" customHeight="1" x14ac:dyDescent="0.25">
      <c r="B2507" s="51" t="s">
        <v>126</v>
      </c>
      <c r="C2507" s="52">
        <v>435</v>
      </c>
      <c r="D2507" s="53" t="s">
        <v>4329</v>
      </c>
      <c r="E2507" s="54"/>
      <c r="F2507" s="52" t="str">
        <f>IF(INDEX(I.CCUS.StartRange,435)="","",INDEX(I.CCUS.StartRange,435))</f>
        <v/>
      </c>
      <c r="G2507" s="54"/>
      <c r="H2507" s="52" t="str">
        <f>IF(AND(I.Compliance.FulfilledCCUS&gt;0,I.CCUS.RangeCount&gt;=435,F2507=""),"Incomplete","Complete")</f>
        <v>Complete</v>
      </c>
      <c r="I2507" s="55" t="s">
        <v>2704</v>
      </c>
    </row>
    <row r="2508" spans="2:9" ht="15" customHeight="1" x14ac:dyDescent="0.25">
      <c r="B2508" s="51" t="s">
        <v>126</v>
      </c>
      <c r="C2508" s="52">
        <v>436</v>
      </c>
      <c r="D2508" s="53" t="s">
        <v>4329</v>
      </c>
      <c r="E2508" s="54"/>
      <c r="F2508" s="52" t="str">
        <f>IF(INDEX(I.CCUS.StartRange,436)="","",INDEX(I.CCUS.StartRange,436))</f>
        <v/>
      </c>
      <c r="G2508" s="54"/>
      <c r="H2508" s="52" t="str">
        <f>IF(AND(I.Compliance.FulfilledCCUS&gt;0,I.CCUS.RangeCount&gt;=436,F2508=""),"Incomplete","Complete")</f>
        <v>Complete</v>
      </c>
      <c r="I2508" s="55" t="s">
        <v>2705</v>
      </c>
    </row>
    <row r="2509" spans="2:9" ht="15" customHeight="1" x14ac:dyDescent="0.25">
      <c r="B2509" s="51" t="s">
        <v>126</v>
      </c>
      <c r="C2509" s="52">
        <v>437</v>
      </c>
      <c r="D2509" s="53" t="s">
        <v>4329</v>
      </c>
      <c r="E2509" s="54"/>
      <c r="F2509" s="52" t="str">
        <f>IF(INDEX(I.CCUS.StartRange,437)="","",INDEX(I.CCUS.StartRange,437))</f>
        <v/>
      </c>
      <c r="G2509" s="54"/>
      <c r="H2509" s="52" t="str">
        <f>IF(AND(I.Compliance.FulfilledCCUS&gt;0,I.CCUS.RangeCount&gt;=437,F2509=""),"Incomplete","Complete")</f>
        <v>Complete</v>
      </c>
      <c r="I2509" s="55" t="s">
        <v>2706</v>
      </c>
    </row>
    <row r="2510" spans="2:9" ht="15" customHeight="1" x14ac:dyDescent="0.25">
      <c r="B2510" s="51" t="s">
        <v>126</v>
      </c>
      <c r="C2510" s="52">
        <v>438</v>
      </c>
      <c r="D2510" s="53" t="s">
        <v>4329</v>
      </c>
      <c r="E2510" s="54"/>
      <c r="F2510" s="52" t="str">
        <f>IF(INDEX(I.CCUS.StartRange,438)="","",INDEX(I.CCUS.StartRange,438))</f>
        <v/>
      </c>
      <c r="G2510" s="54"/>
      <c r="H2510" s="52" t="str">
        <f>IF(AND(I.Compliance.FulfilledCCUS&gt;0,I.CCUS.RangeCount&gt;=438,F2510=""),"Incomplete","Complete")</f>
        <v>Complete</v>
      </c>
      <c r="I2510" s="55" t="s">
        <v>2707</v>
      </c>
    </row>
    <row r="2511" spans="2:9" ht="15" customHeight="1" x14ac:dyDescent="0.25">
      <c r="B2511" s="51" t="s">
        <v>126</v>
      </c>
      <c r="C2511" s="52">
        <v>439</v>
      </c>
      <c r="D2511" s="53" t="s">
        <v>4329</v>
      </c>
      <c r="E2511" s="54"/>
      <c r="F2511" s="52" t="str">
        <f>IF(INDEX(I.CCUS.StartRange,439)="","",INDEX(I.CCUS.StartRange,439))</f>
        <v/>
      </c>
      <c r="G2511" s="54"/>
      <c r="H2511" s="52" t="str">
        <f>IF(AND(I.Compliance.FulfilledCCUS&gt;0,I.CCUS.RangeCount&gt;=439,F2511=""),"Incomplete","Complete")</f>
        <v>Complete</v>
      </c>
      <c r="I2511" s="55" t="s">
        <v>2708</v>
      </c>
    </row>
    <row r="2512" spans="2:9" ht="15" customHeight="1" x14ac:dyDescent="0.25">
      <c r="B2512" s="51" t="s">
        <v>126</v>
      </c>
      <c r="C2512" s="52">
        <v>440</v>
      </c>
      <c r="D2512" s="53" t="s">
        <v>4329</v>
      </c>
      <c r="E2512" s="54"/>
      <c r="F2512" s="52" t="str">
        <f>IF(INDEX(I.CCUS.StartRange,440)="","",INDEX(I.CCUS.StartRange,440))</f>
        <v/>
      </c>
      <c r="G2512" s="54"/>
      <c r="H2512" s="52" t="str">
        <f>IF(AND(I.Compliance.FulfilledCCUS&gt;0,I.CCUS.RangeCount&gt;=440,F2512=""),"Incomplete","Complete")</f>
        <v>Complete</v>
      </c>
      <c r="I2512" s="55" t="s">
        <v>2709</v>
      </c>
    </row>
    <row r="2513" spans="2:9" ht="15" customHeight="1" x14ac:dyDescent="0.25">
      <c r="B2513" s="51" t="s">
        <v>126</v>
      </c>
      <c r="C2513" s="52">
        <v>441</v>
      </c>
      <c r="D2513" s="53" t="s">
        <v>4329</v>
      </c>
      <c r="E2513" s="54"/>
      <c r="F2513" s="52" t="str">
        <f>IF(INDEX(I.CCUS.StartRange,441)="","",INDEX(I.CCUS.StartRange,441))</f>
        <v/>
      </c>
      <c r="G2513" s="54"/>
      <c r="H2513" s="52" t="str">
        <f>IF(AND(I.Compliance.FulfilledCCUS&gt;0,I.CCUS.RangeCount&gt;=441,F2513=""),"Incomplete","Complete")</f>
        <v>Complete</v>
      </c>
      <c r="I2513" s="55" t="s">
        <v>2710</v>
      </c>
    </row>
    <row r="2514" spans="2:9" ht="15" customHeight="1" x14ac:dyDescent="0.25">
      <c r="B2514" s="51" t="s">
        <v>126</v>
      </c>
      <c r="C2514" s="52">
        <v>442</v>
      </c>
      <c r="D2514" s="53" t="s">
        <v>4329</v>
      </c>
      <c r="E2514" s="54"/>
      <c r="F2514" s="52" t="str">
        <f>IF(INDEX(I.CCUS.StartRange,442)="","",INDEX(I.CCUS.StartRange,442))</f>
        <v/>
      </c>
      <c r="G2514" s="54"/>
      <c r="H2514" s="52" t="str">
        <f>IF(AND(I.Compliance.FulfilledCCUS&gt;0,I.CCUS.RangeCount&gt;=442,F2514=""),"Incomplete","Complete")</f>
        <v>Complete</v>
      </c>
      <c r="I2514" s="55" t="s">
        <v>2711</v>
      </c>
    </row>
    <row r="2515" spans="2:9" ht="15" customHeight="1" x14ac:dyDescent="0.25">
      <c r="B2515" s="51" t="s">
        <v>126</v>
      </c>
      <c r="C2515" s="52">
        <v>443</v>
      </c>
      <c r="D2515" s="53" t="s">
        <v>4329</v>
      </c>
      <c r="E2515" s="54"/>
      <c r="F2515" s="52" t="str">
        <f>IF(INDEX(I.CCUS.StartRange,443)="","",INDEX(I.CCUS.StartRange,443))</f>
        <v/>
      </c>
      <c r="G2515" s="54"/>
      <c r="H2515" s="52" t="str">
        <f>IF(AND(I.Compliance.FulfilledCCUS&gt;0,I.CCUS.RangeCount&gt;=443,F2515=""),"Incomplete","Complete")</f>
        <v>Complete</v>
      </c>
      <c r="I2515" s="55" t="s">
        <v>2712</v>
      </c>
    </row>
    <row r="2516" spans="2:9" ht="15" customHeight="1" x14ac:dyDescent="0.25">
      <c r="B2516" s="51" t="s">
        <v>126</v>
      </c>
      <c r="C2516" s="52">
        <v>444</v>
      </c>
      <c r="D2516" s="53" t="s">
        <v>4329</v>
      </c>
      <c r="E2516" s="54"/>
      <c r="F2516" s="52" t="str">
        <f>IF(INDEX(I.CCUS.StartRange,444)="","",INDEX(I.CCUS.StartRange,444))</f>
        <v/>
      </c>
      <c r="G2516" s="54"/>
      <c r="H2516" s="52" t="str">
        <f>IF(AND(I.Compliance.FulfilledCCUS&gt;0,I.CCUS.RangeCount&gt;=444,F2516=""),"Incomplete","Complete")</f>
        <v>Complete</v>
      </c>
      <c r="I2516" s="55" t="s">
        <v>2713</v>
      </c>
    </row>
    <row r="2517" spans="2:9" ht="15" customHeight="1" x14ac:dyDescent="0.25">
      <c r="B2517" s="51" t="s">
        <v>126</v>
      </c>
      <c r="C2517" s="52">
        <v>445</v>
      </c>
      <c r="D2517" s="53" t="s">
        <v>4329</v>
      </c>
      <c r="E2517" s="54"/>
      <c r="F2517" s="52" t="str">
        <f>IF(INDEX(I.CCUS.StartRange,445)="","",INDEX(I.CCUS.StartRange,445))</f>
        <v/>
      </c>
      <c r="G2517" s="54"/>
      <c r="H2517" s="52" t="str">
        <f>IF(AND(I.Compliance.FulfilledCCUS&gt;0,I.CCUS.RangeCount&gt;=445,F2517=""),"Incomplete","Complete")</f>
        <v>Complete</v>
      </c>
      <c r="I2517" s="55" t="s">
        <v>2714</v>
      </c>
    </row>
    <row r="2518" spans="2:9" ht="15" customHeight="1" x14ac:dyDescent="0.25">
      <c r="B2518" s="51" t="s">
        <v>126</v>
      </c>
      <c r="C2518" s="52">
        <v>446</v>
      </c>
      <c r="D2518" s="53" t="s">
        <v>4329</v>
      </c>
      <c r="E2518" s="54"/>
      <c r="F2518" s="52" t="str">
        <f>IF(INDEX(I.CCUS.StartRange,446)="","",INDEX(I.CCUS.StartRange,446))</f>
        <v/>
      </c>
      <c r="G2518" s="54"/>
      <c r="H2518" s="52" t="str">
        <f>IF(AND(I.Compliance.FulfilledCCUS&gt;0,I.CCUS.RangeCount&gt;=446,F2518=""),"Incomplete","Complete")</f>
        <v>Complete</v>
      </c>
      <c r="I2518" s="55" t="s">
        <v>2715</v>
      </c>
    </row>
    <row r="2519" spans="2:9" ht="15" customHeight="1" x14ac:dyDescent="0.25">
      <c r="B2519" s="51" t="s">
        <v>126</v>
      </c>
      <c r="C2519" s="52">
        <v>447</v>
      </c>
      <c r="D2519" s="53" t="s">
        <v>4329</v>
      </c>
      <c r="E2519" s="54"/>
      <c r="F2519" s="52" t="str">
        <f>IF(INDEX(I.CCUS.StartRange,447)="","",INDEX(I.CCUS.StartRange,447))</f>
        <v/>
      </c>
      <c r="G2519" s="54"/>
      <c r="H2519" s="52" t="str">
        <f>IF(AND(I.Compliance.FulfilledCCUS&gt;0,I.CCUS.RangeCount&gt;=447,F2519=""),"Incomplete","Complete")</f>
        <v>Complete</v>
      </c>
      <c r="I2519" s="55" t="s">
        <v>2716</v>
      </c>
    </row>
    <row r="2520" spans="2:9" ht="15" customHeight="1" x14ac:dyDescent="0.25">
      <c r="B2520" s="51" t="s">
        <v>126</v>
      </c>
      <c r="C2520" s="52">
        <v>448</v>
      </c>
      <c r="D2520" s="53" t="s">
        <v>4329</v>
      </c>
      <c r="E2520" s="54"/>
      <c r="F2520" s="52" t="str">
        <f>IF(INDEX(I.CCUS.StartRange,448)="","",INDEX(I.CCUS.StartRange,448))</f>
        <v/>
      </c>
      <c r="G2520" s="54"/>
      <c r="H2520" s="52" t="str">
        <f>IF(AND(I.Compliance.FulfilledCCUS&gt;0,I.CCUS.RangeCount&gt;=448,F2520=""),"Incomplete","Complete")</f>
        <v>Complete</v>
      </c>
      <c r="I2520" s="55" t="s">
        <v>2717</v>
      </c>
    </row>
    <row r="2521" spans="2:9" ht="15" customHeight="1" x14ac:dyDescent="0.25">
      <c r="B2521" s="51" t="s">
        <v>126</v>
      </c>
      <c r="C2521" s="52">
        <v>449</v>
      </c>
      <c r="D2521" s="53" t="s">
        <v>4329</v>
      </c>
      <c r="E2521" s="54"/>
      <c r="F2521" s="52" t="str">
        <f>IF(INDEX(I.CCUS.StartRange,449)="","",INDEX(I.CCUS.StartRange,449))</f>
        <v/>
      </c>
      <c r="G2521" s="54"/>
      <c r="H2521" s="52" t="str">
        <f>IF(AND(I.Compliance.FulfilledCCUS&gt;0,I.CCUS.RangeCount&gt;=449,F2521=""),"Incomplete","Complete")</f>
        <v>Complete</v>
      </c>
      <c r="I2521" s="55" t="s">
        <v>2718</v>
      </c>
    </row>
    <row r="2522" spans="2:9" ht="15" customHeight="1" x14ac:dyDescent="0.25">
      <c r="B2522" s="51" t="s">
        <v>126</v>
      </c>
      <c r="C2522" s="52">
        <v>450</v>
      </c>
      <c r="D2522" s="53" t="s">
        <v>4329</v>
      </c>
      <c r="E2522" s="54"/>
      <c r="F2522" s="52" t="str">
        <f>IF(INDEX(I.CCUS.StartRange,450)="","",INDEX(I.CCUS.StartRange,450))</f>
        <v/>
      </c>
      <c r="G2522" s="54"/>
      <c r="H2522" s="52" t="str">
        <f>IF(AND(I.Compliance.FulfilledCCUS&gt;0,I.CCUS.RangeCount&gt;=450,F2522=""),"Incomplete","Complete")</f>
        <v>Complete</v>
      </c>
      <c r="I2522" s="55" t="s">
        <v>2719</v>
      </c>
    </row>
    <row r="2523" spans="2:9" ht="15" customHeight="1" x14ac:dyDescent="0.25">
      <c r="B2523" s="51" t="s">
        <v>126</v>
      </c>
      <c r="C2523" s="52">
        <v>451</v>
      </c>
      <c r="D2523" s="53" t="s">
        <v>4329</v>
      </c>
      <c r="E2523" s="54"/>
      <c r="F2523" s="52" t="str">
        <f>IF(INDEX(I.CCUS.StartRange,451)="","",INDEX(I.CCUS.StartRange,451))</f>
        <v/>
      </c>
      <c r="G2523" s="54"/>
      <c r="H2523" s="52" t="str">
        <f>IF(AND(I.Compliance.FulfilledCCUS&gt;0,I.CCUS.RangeCount&gt;=451,F2523=""),"Incomplete","Complete")</f>
        <v>Complete</v>
      </c>
      <c r="I2523" s="55" t="s">
        <v>2720</v>
      </c>
    </row>
    <row r="2524" spans="2:9" ht="15" customHeight="1" x14ac:dyDescent="0.25">
      <c r="B2524" s="51" t="s">
        <v>126</v>
      </c>
      <c r="C2524" s="52">
        <v>452</v>
      </c>
      <c r="D2524" s="53" t="s">
        <v>4329</v>
      </c>
      <c r="E2524" s="54"/>
      <c r="F2524" s="52" t="str">
        <f>IF(INDEX(I.CCUS.StartRange,452)="","",INDEX(I.CCUS.StartRange,452))</f>
        <v/>
      </c>
      <c r="G2524" s="54"/>
      <c r="H2524" s="52" t="str">
        <f>IF(AND(I.Compliance.FulfilledCCUS&gt;0,I.CCUS.RangeCount&gt;=452,F2524=""),"Incomplete","Complete")</f>
        <v>Complete</v>
      </c>
      <c r="I2524" s="55" t="s">
        <v>2721</v>
      </c>
    </row>
    <row r="2525" spans="2:9" ht="15" customHeight="1" x14ac:dyDescent="0.25">
      <c r="B2525" s="51" t="s">
        <v>126</v>
      </c>
      <c r="C2525" s="52">
        <v>453</v>
      </c>
      <c r="D2525" s="53" t="s">
        <v>4329</v>
      </c>
      <c r="E2525" s="54"/>
      <c r="F2525" s="52" t="str">
        <f>IF(INDEX(I.CCUS.StartRange,453)="","",INDEX(I.CCUS.StartRange,453))</f>
        <v/>
      </c>
      <c r="G2525" s="54"/>
      <c r="H2525" s="52" t="str">
        <f>IF(AND(I.Compliance.FulfilledCCUS&gt;0,I.CCUS.RangeCount&gt;=453,F2525=""),"Incomplete","Complete")</f>
        <v>Complete</v>
      </c>
      <c r="I2525" s="55" t="s">
        <v>2722</v>
      </c>
    </row>
    <row r="2526" spans="2:9" ht="15" customHeight="1" x14ac:dyDescent="0.25">
      <c r="B2526" s="51" t="s">
        <v>126</v>
      </c>
      <c r="C2526" s="52">
        <v>454</v>
      </c>
      <c r="D2526" s="53" t="s">
        <v>4329</v>
      </c>
      <c r="E2526" s="54"/>
      <c r="F2526" s="52" t="str">
        <f>IF(INDEX(I.CCUS.StartRange,454)="","",INDEX(I.CCUS.StartRange,454))</f>
        <v/>
      </c>
      <c r="G2526" s="54"/>
      <c r="H2526" s="52" t="str">
        <f>IF(AND(I.Compliance.FulfilledCCUS&gt;0,I.CCUS.RangeCount&gt;=454,F2526=""),"Incomplete","Complete")</f>
        <v>Complete</v>
      </c>
      <c r="I2526" s="55" t="s">
        <v>2723</v>
      </c>
    </row>
    <row r="2527" spans="2:9" ht="15" customHeight="1" x14ac:dyDescent="0.25">
      <c r="B2527" s="51" t="s">
        <v>126</v>
      </c>
      <c r="C2527" s="52">
        <v>455</v>
      </c>
      <c r="D2527" s="53" t="s">
        <v>4329</v>
      </c>
      <c r="E2527" s="54"/>
      <c r="F2527" s="52" t="str">
        <f>IF(INDEX(I.CCUS.StartRange,455)="","",INDEX(I.CCUS.StartRange,455))</f>
        <v/>
      </c>
      <c r="G2527" s="54"/>
      <c r="H2527" s="52" t="str">
        <f>IF(AND(I.Compliance.FulfilledCCUS&gt;0,I.CCUS.RangeCount&gt;=455,F2527=""),"Incomplete","Complete")</f>
        <v>Complete</v>
      </c>
      <c r="I2527" s="55" t="s">
        <v>2724</v>
      </c>
    </row>
    <row r="2528" spans="2:9" ht="15" customHeight="1" x14ac:dyDescent="0.25">
      <c r="B2528" s="51" t="s">
        <v>126</v>
      </c>
      <c r="C2528" s="52">
        <v>456</v>
      </c>
      <c r="D2528" s="53" t="s">
        <v>4329</v>
      </c>
      <c r="E2528" s="54"/>
      <c r="F2528" s="52" t="str">
        <f>IF(INDEX(I.CCUS.StartRange,456)="","",INDEX(I.CCUS.StartRange,456))</f>
        <v/>
      </c>
      <c r="G2528" s="54"/>
      <c r="H2528" s="52" t="str">
        <f>IF(AND(I.Compliance.FulfilledCCUS&gt;0,I.CCUS.RangeCount&gt;=456,F2528=""),"Incomplete","Complete")</f>
        <v>Complete</v>
      </c>
      <c r="I2528" s="55" t="s">
        <v>2725</v>
      </c>
    </row>
    <row r="2529" spans="2:9" ht="15" customHeight="1" x14ac:dyDescent="0.25">
      <c r="B2529" s="51" t="s">
        <v>126</v>
      </c>
      <c r="C2529" s="52">
        <v>457</v>
      </c>
      <c r="D2529" s="53" t="s">
        <v>4329</v>
      </c>
      <c r="E2529" s="54"/>
      <c r="F2529" s="52" t="str">
        <f>IF(INDEX(I.CCUS.StartRange,457)="","",INDEX(I.CCUS.StartRange,457))</f>
        <v/>
      </c>
      <c r="G2529" s="54"/>
      <c r="H2529" s="52" t="str">
        <f>IF(AND(I.Compliance.FulfilledCCUS&gt;0,I.CCUS.RangeCount&gt;=457,F2529=""),"Incomplete","Complete")</f>
        <v>Complete</v>
      </c>
      <c r="I2529" s="55" t="s">
        <v>2726</v>
      </c>
    </row>
    <row r="2530" spans="2:9" ht="15" customHeight="1" x14ac:dyDescent="0.25">
      <c r="B2530" s="51" t="s">
        <v>126</v>
      </c>
      <c r="C2530" s="52">
        <v>458</v>
      </c>
      <c r="D2530" s="53" t="s">
        <v>4329</v>
      </c>
      <c r="E2530" s="54"/>
      <c r="F2530" s="52" t="str">
        <f>IF(INDEX(I.CCUS.StartRange,458)="","",INDEX(I.CCUS.StartRange,458))</f>
        <v/>
      </c>
      <c r="G2530" s="54"/>
      <c r="H2530" s="52" t="str">
        <f>IF(AND(I.Compliance.FulfilledCCUS&gt;0,I.CCUS.RangeCount&gt;=458,F2530=""),"Incomplete","Complete")</f>
        <v>Complete</v>
      </c>
      <c r="I2530" s="55" t="s">
        <v>2727</v>
      </c>
    </row>
    <row r="2531" spans="2:9" ht="15" customHeight="1" x14ac:dyDescent="0.25">
      <c r="B2531" s="51" t="s">
        <v>126</v>
      </c>
      <c r="C2531" s="52">
        <v>459</v>
      </c>
      <c r="D2531" s="53" t="s">
        <v>4329</v>
      </c>
      <c r="E2531" s="54"/>
      <c r="F2531" s="52" t="str">
        <f>IF(INDEX(I.CCUS.StartRange,459)="","",INDEX(I.CCUS.StartRange,459))</f>
        <v/>
      </c>
      <c r="G2531" s="54"/>
      <c r="H2531" s="52" t="str">
        <f>IF(AND(I.Compliance.FulfilledCCUS&gt;0,I.CCUS.RangeCount&gt;=459,F2531=""),"Incomplete","Complete")</f>
        <v>Complete</v>
      </c>
      <c r="I2531" s="55" t="s">
        <v>2728</v>
      </c>
    </row>
    <row r="2532" spans="2:9" ht="15" customHeight="1" x14ac:dyDescent="0.25">
      <c r="B2532" s="51" t="s">
        <v>126</v>
      </c>
      <c r="C2532" s="52">
        <v>460</v>
      </c>
      <c r="D2532" s="53" t="s">
        <v>4329</v>
      </c>
      <c r="E2532" s="54"/>
      <c r="F2532" s="52" t="str">
        <f>IF(INDEX(I.CCUS.StartRange,460)="","",INDEX(I.CCUS.StartRange,460))</f>
        <v/>
      </c>
      <c r="G2532" s="54"/>
      <c r="H2532" s="52" t="str">
        <f>IF(AND(I.Compliance.FulfilledCCUS&gt;0,I.CCUS.RangeCount&gt;=460,F2532=""),"Incomplete","Complete")</f>
        <v>Complete</v>
      </c>
      <c r="I2532" s="55" t="s">
        <v>2729</v>
      </c>
    </row>
    <row r="2533" spans="2:9" ht="15" customHeight="1" x14ac:dyDescent="0.25">
      <c r="B2533" s="51" t="s">
        <v>126</v>
      </c>
      <c r="C2533" s="52">
        <v>461</v>
      </c>
      <c r="D2533" s="53" t="s">
        <v>4329</v>
      </c>
      <c r="E2533" s="54"/>
      <c r="F2533" s="52" t="str">
        <f>IF(INDEX(I.CCUS.StartRange,461)="","",INDEX(I.CCUS.StartRange,461))</f>
        <v/>
      </c>
      <c r="G2533" s="54"/>
      <c r="H2533" s="52" t="str">
        <f>IF(AND(I.Compliance.FulfilledCCUS&gt;0,I.CCUS.RangeCount&gt;=461,F2533=""),"Incomplete","Complete")</f>
        <v>Complete</v>
      </c>
      <c r="I2533" s="55" t="s">
        <v>2730</v>
      </c>
    </row>
    <row r="2534" spans="2:9" ht="15" customHeight="1" x14ac:dyDescent="0.25">
      <c r="B2534" s="51" t="s">
        <v>126</v>
      </c>
      <c r="C2534" s="52">
        <v>462</v>
      </c>
      <c r="D2534" s="53" t="s">
        <v>4329</v>
      </c>
      <c r="E2534" s="54"/>
      <c r="F2534" s="52" t="str">
        <f>IF(INDEX(I.CCUS.StartRange,462)="","",INDEX(I.CCUS.StartRange,462))</f>
        <v/>
      </c>
      <c r="G2534" s="54"/>
      <c r="H2534" s="52" t="str">
        <f>IF(AND(I.Compliance.FulfilledCCUS&gt;0,I.CCUS.RangeCount&gt;=462,F2534=""),"Incomplete","Complete")</f>
        <v>Complete</v>
      </c>
      <c r="I2534" s="55" t="s">
        <v>2731</v>
      </c>
    </row>
    <row r="2535" spans="2:9" ht="15" customHeight="1" x14ac:dyDescent="0.25">
      <c r="B2535" s="51" t="s">
        <v>126</v>
      </c>
      <c r="C2535" s="52">
        <v>463</v>
      </c>
      <c r="D2535" s="53" t="s">
        <v>4329</v>
      </c>
      <c r="E2535" s="54"/>
      <c r="F2535" s="52" t="str">
        <f>IF(INDEX(I.CCUS.StartRange,463)="","",INDEX(I.CCUS.StartRange,463))</f>
        <v/>
      </c>
      <c r="G2535" s="54"/>
      <c r="H2535" s="52" t="str">
        <f>IF(AND(I.Compliance.FulfilledCCUS&gt;0,I.CCUS.RangeCount&gt;=463,F2535=""),"Incomplete","Complete")</f>
        <v>Complete</v>
      </c>
      <c r="I2535" s="55" t="s">
        <v>2732</v>
      </c>
    </row>
    <row r="2536" spans="2:9" ht="15" customHeight="1" x14ac:dyDescent="0.25">
      <c r="B2536" s="51" t="s">
        <v>126</v>
      </c>
      <c r="C2536" s="52">
        <v>464</v>
      </c>
      <c r="D2536" s="53" t="s">
        <v>4329</v>
      </c>
      <c r="E2536" s="54"/>
      <c r="F2536" s="52" t="str">
        <f>IF(INDEX(I.CCUS.StartRange,464)="","",INDEX(I.CCUS.StartRange,464))</f>
        <v/>
      </c>
      <c r="G2536" s="54"/>
      <c r="H2536" s="52" t="str">
        <f>IF(AND(I.Compliance.FulfilledCCUS&gt;0,I.CCUS.RangeCount&gt;=464,F2536=""),"Incomplete","Complete")</f>
        <v>Complete</v>
      </c>
      <c r="I2536" s="55" t="s">
        <v>2733</v>
      </c>
    </row>
    <row r="2537" spans="2:9" ht="15" customHeight="1" x14ac:dyDescent="0.25">
      <c r="B2537" s="51" t="s">
        <v>126</v>
      </c>
      <c r="C2537" s="52">
        <v>465</v>
      </c>
      <c r="D2537" s="53" t="s">
        <v>4329</v>
      </c>
      <c r="E2537" s="54"/>
      <c r="F2537" s="52" t="str">
        <f>IF(INDEX(I.CCUS.StartRange,465)="","",INDEX(I.CCUS.StartRange,465))</f>
        <v/>
      </c>
      <c r="G2537" s="54"/>
      <c r="H2537" s="52" t="str">
        <f>IF(AND(I.Compliance.FulfilledCCUS&gt;0,I.CCUS.RangeCount&gt;=465,F2537=""),"Incomplete","Complete")</f>
        <v>Complete</v>
      </c>
      <c r="I2537" s="55" t="s">
        <v>2734</v>
      </c>
    </row>
    <row r="2538" spans="2:9" ht="15" customHeight="1" x14ac:dyDescent="0.25">
      <c r="B2538" s="51" t="s">
        <v>126</v>
      </c>
      <c r="C2538" s="52">
        <v>466</v>
      </c>
      <c r="D2538" s="53" t="s">
        <v>4329</v>
      </c>
      <c r="E2538" s="54"/>
      <c r="F2538" s="52" t="str">
        <f>IF(INDEX(I.CCUS.StartRange,466)="","",INDEX(I.CCUS.StartRange,466))</f>
        <v/>
      </c>
      <c r="G2538" s="54"/>
      <c r="H2538" s="52" t="str">
        <f>IF(AND(I.Compliance.FulfilledCCUS&gt;0,I.CCUS.RangeCount&gt;=466,F2538=""),"Incomplete","Complete")</f>
        <v>Complete</v>
      </c>
      <c r="I2538" s="55" t="s">
        <v>2735</v>
      </c>
    </row>
    <row r="2539" spans="2:9" ht="15" customHeight="1" x14ac:dyDescent="0.25">
      <c r="B2539" s="51" t="s">
        <v>126</v>
      </c>
      <c r="C2539" s="52">
        <v>467</v>
      </c>
      <c r="D2539" s="53" t="s">
        <v>4329</v>
      </c>
      <c r="E2539" s="54"/>
      <c r="F2539" s="52" t="str">
        <f>IF(INDEX(I.CCUS.StartRange,467)="","",INDEX(I.CCUS.StartRange,467))</f>
        <v/>
      </c>
      <c r="G2539" s="54"/>
      <c r="H2539" s="52" t="str">
        <f>IF(AND(I.Compliance.FulfilledCCUS&gt;0,I.CCUS.RangeCount&gt;=467,F2539=""),"Incomplete","Complete")</f>
        <v>Complete</v>
      </c>
      <c r="I2539" s="55" t="s">
        <v>2736</v>
      </c>
    </row>
    <row r="2540" spans="2:9" ht="15" customHeight="1" x14ac:dyDescent="0.25">
      <c r="B2540" s="51" t="s">
        <v>126</v>
      </c>
      <c r="C2540" s="52">
        <v>468</v>
      </c>
      <c r="D2540" s="53" t="s">
        <v>4329</v>
      </c>
      <c r="E2540" s="54"/>
      <c r="F2540" s="52" t="str">
        <f>IF(INDEX(I.CCUS.StartRange,468)="","",INDEX(I.CCUS.StartRange,468))</f>
        <v/>
      </c>
      <c r="G2540" s="54"/>
      <c r="H2540" s="52" t="str">
        <f>IF(AND(I.Compliance.FulfilledCCUS&gt;0,I.CCUS.RangeCount&gt;=468,F2540=""),"Incomplete","Complete")</f>
        <v>Complete</v>
      </c>
      <c r="I2540" s="55" t="s">
        <v>2737</v>
      </c>
    </row>
    <row r="2541" spans="2:9" ht="15" customHeight="1" x14ac:dyDescent="0.25">
      <c r="B2541" s="51" t="s">
        <v>126</v>
      </c>
      <c r="C2541" s="52">
        <v>469</v>
      </c>
      <c r="D2541" s="53" t="s">
        <v>4329</v>
      </c>
      <c r="E2541" s="54"/>
      <c r="F2541" s="52" t="str">
        <f>IF(INDEX(I.CCUS.StartRange,469)="","",INDEX(I.CCUS.StartRange,469))</f>
        <v/>
      </c>
      <c r="G2541" s="54"/>
      <c r="H2541" s="52" t="str">
        <f>IF(AND(I.Compliance.FulfilledCCUS&gt;0,I.CCUS.RangeCount&gt;=469,F2541=""),"Incomplete","Complete")</f>
        <v>Complete</v>
      </c>
      <c r="I2541" s="55" t="s">
        <v>2738</v>
      </c>
    </row>
    <row r="2542" spans="2:9" ht="15" customHeight="1" x14ac:dyDescent="0.25">
      <c r="B2542" s="51" t="s">
        <v>126</v>
      </c>
      <c r="C2542" s="52">
        <v>470</v>
      </c>
      <c r="D2542" s="53" t="s">
        <v>4329</v>
      </c>
      <c r="E2542" s="54"/>
      <c r="F2542" s="52" t="str">
        <f>IF(INDEX(I.CCUS.StartRange,470)="","",INDEX(I.CCUS.StartRange,470))</f>
        <v/>
      </c>
      <c r="G2542" s="54"/>
      <c r="H2542" s="52" t="str">
        <f>IF(AND(I.Compliance.FulfilledCCUS&gt;0,I.CCUS.RangeCount&gt;=470,F2542=""),"Incomplete","Complete")</f>
        <v>Complete</v>
      </c>
      <c r="I2542" s="55" t="s">
        <v>2739</v>
      </c>
    </row>
    <row r="2543" spans="2:9" ht="15" customHeight="1" x14ac:dyDescent="0.25">
      <c r="B2543" s="51" t="s">
        <v>126</v>
      </c>
      <c r="C2543" s="52">
        <v>471</v>
      </c>
      <c r="D2543" s="53" t="s">
        <v>4329</v>
      </c>
      <c r="E2543" s="54"/>
      <c r="F2543" s="52" t="str">
        <f>IF(INDEX(I.CCUS.StartRange,471)="","",INDEX(I.CCUS.StartRange,471))</f>
        <v/>
      </c>
      <c r="G2543" s="54"/>
      <c r="H2543" s="52" t="str">
        <f>IF(AND(I.Compliance.FulfilledCCUS&gt;0,I.CCUS.RangeCount&gt;=471,F2543=""),"Incomplete","Complete")</f>
        <v>Complete</v>
      </c>
      <c r="I2543" s="55" t="s">
        <v>2740</v>
      </c>
    </row>
    <row r="2544" spans="2:9" ht="15" customHeight="1" x14ac:dyDescent="0.25">
      <c r="B2544" s="51" t="s">
        <v>126</v>
      </c>
      <c r="C2544" s="52">
        <v>472</v>
      </c>
      <c r="D2544" s="53" t="s">
        <v>4329</v>
      </c>
      <c r="E2544" s="54"/>
      <c r="F2544" s="52" t="str">
        <f>IF(INDEX(I.CCUS.StartRange,472)="","",INDEX(I.CCUS.StartRange,472))</f>
        <v/>
      </c>
      <c r="G2544" s="54"/>
      <c r="H2544" s="52" t="str">
        <f>IF(AND(I.Compliance.FulfilledCCUS&gt;0,I.CCUS.RangeCount&gt;=472,F2544=""),"Incomplete","Complete")</f>
        <v>Complete</v>
      </c>
      <c r="I2544" s="55" t="s">
        <v>2741</v>
      </c>
    </row>
    <row r="2545" spans="2:9" ht="15" customHeight="1" x14ac:dyDescent="0.25">
      <c r="B2545" s="51" t="s">
        <v>126</v>
      </c>
      <c r="C2545" s="52">
        <v>473</v>
      </c>
      <c r="D2545" s="53" t="s">
        <v>4329</v>
      </c>
      <c r="E2545" s="54"/>
      <c r="F2545" s="52" t="str">
        <f>IF(INDEX(I.CCUS.StartRange,473)="","",INDEX(I.CCUS.StartRange,473))</f>
        <v/>
      </c>
      <c r="G2545" s="54"/>
      <c r="H2545" s="52" t="str">
        <f>IF(AND(I.Compliance.FulfilledCCUS&gt;0,I.CCUS.RangeCount&gt;=473,F2545=""),"Incomplete","Complete")</f>
        <v>Complete</v>
      </c>
      <c r="I2545" s="55" t="s">
        <v>2742</v>
      </c>
    </row>
    <row r="2546" spans="2:9" ht="15" customHeight="1" x14ac:dyDescent="0.25">
      <c r="B2546" s="51" t="s">
        <v>126</v>
      </c>
      <c r="C2546" s="52">
        <v>474</v>
      </c>
      <c r="D2546" s="53" t="s">
        <v>4329</v>
      </c>
      <c r="E2546" s="54"/>
      <c r="F2546" s="52" t="str">
        <f>IF(INDEX(I.CCUS.StartRange,474)="","",INDEX(I.CCUS.StartRange,474))</f>
        <v/>
      </c>
      <c r="G2546" s="54"/>
      <c r="H2546" s="52" t="str">
        <f>IF(AND(I.Compliance.FulfilledCCUS&gt;0,I.CCUS.RangeCount&gt;=474,F2546=""),"Incomplete","Complete")</f>
        <v>Complete</v>
      </c>
      <c r="I2546" s="55" t="s">
        <v>2743</v>
      </c>
    </row>
    <row r="2547" spans="2:9" ht="15" customHeight="1" x14ac:dyDescent="0.25">
      <c r="B2547" s="51" t="s">
        <v>126</v>
      </c>
      <c r="C2547" s="52">
        <v>475</v>
      </c>
      <c r="D2547" s="53" t="s">
        <v>4329</v>
      </c>
      <c r="E2547" s="54"/>
      <c r="F2547" s="52" t="str">
        <f>IF(INDEX(I.CCUS.StartRange,475)="","",INDEX(I.CCUS.StartRange,475))</f>
        <v/>
      </c>
      <c r="G2547" s="54"/>
      <c r="H2547" s="52" t="str">
        <f>IF(AND(I.Compliance.FulfilledCCUS&gt;0,I.CCUS.RangeCount&gt;=475,F2547=""),"Incomplete","Complete")</f>
        <v>Complete</v>
      </c>
      <c r="I2547" s="55" t="s">
        <v>2744</v>
      </c>
    </row>
    <row r="2548" spans="2:9" ht="15" customHeight="1" x14ac:dyDescent="0.25">
      <c r="B2548" s="51" t="s">
        <v>126</v>
      </c>
      <c r="C2548" s="52">
        <v>476</v>
      </c>
      <c r="D2548" s="53" t="s">
        <v>4329</v>
      </c>
      <c r="E2548" s="54"/>
      <c r="F2548" s="52" t="str">
        <f>IF(INDEX(I.CCUS.StartRange,476)="","",INDEX(I.CCUS.StartRange,476))</f>
        <v/>
      </c>
      <c r="G2548" s="54"/>
      <c r="H2548" s="52" t="str">
        <f>IF(AND(I.Compliance.FulfilledCCUS&gt;0,I.CCUS.RangeCount&gt;=476,F2548=""),"Incomplete","Complete")</f>
        <v>Complete</v>
      </c>
      <c r="I2548" s="55" t="s">
        <v>2745</v>
      </c>
    </row>
    <row r="2549" spans="2:9" ht="15" customHeight="1" x14ac:dyDescent="0.25">
      <c r="B2549" s="51" t="s">
        <v>126</v>
      </c>
      <c r="C2549" s="52">
        <v>477</v>
      </c>
      <c r="D2549" s="53" t="s">
        <v>4329</v>
      </c>
      <c r="E2549" s="54"/>
      <c r="F2549" s="52" t="str">
        <f>IF(INDEX(I.CCUS.StartRange,477)="","",INDEX(I.CCUS.StartRange,477))</f>
        <v/>
      </c>
      <c r="G2549" s="54"/>
      <c r="H2549" s="52" t="str">
        <f>IF(AND(I.Compliance.FulfilledCCUS&gt;0,I.CCUS.RangeCount&gt;=477,F2549=""),"Incomplete","Complete")</f>
        <v>Complete</v>
      </c>
      <c r="I2549" s="55" t="s">
        <v>2746</v>
      </c>
    </row>
    <row r="2550" spans="2:9" ht="15" customHeight="1" x14ac:dyDescent="0.25">
      <c r="B2550" s="51" t="s">
        <v>126</v>
      </c>
      <c r="C2550" s="52">
        <v>478</v>
      </c>
      <c r="D2550" s="53" t="s">
        <v>4329</v>
      </c>
      <c r="E2550" s="54"/>
      <c r="F2550" s="52" t="str">
        <f>IF(INDEX(I.CCUS.StartRange,478)="","",INDEX(I.CCUS.StartRange,478))</f>
        <v/>
      </c>
      <c r="G2550" s="54"/>
      <c r="H2550" s="52" t="str">
        <f>IF(AND(I.Compliance.FulfilledCCUS&gt;0,I.CCUS.RangeCount&gt;=478,F2550=""),"Incomplete","Complete")</f>
        <v>Complete</v>
      </c>
      <c r="I2550" s="55" t="s">
        <v>2747</v>
      </c>
    </row>
    <row r="2551" spans="2:9" ht="15" customHeight="1" x14ac:dyDescent="0.25">
      <c r="B2551" s="51" t="s">
        <v>126</v>
      </c>
      <c r="C2551" s="52">
        <v>479</v>
      </c>
      <c r="D2551" s="53" t="s">
        <v>4329</v>
      </c>
      <c r="E2551" s="54"/>
      <c r="F2551" s="52" t="str">
        <f>IF(INDEX(I.CCUS.StartRange,479)="","",INDEX(I.CCUS.StartRange,479))</f>
        <v/>
      </c>
      <c r="G2551" s="54"/>
      <c r="H2551" s="52" t="str">
        <f>IF(AND(I.Compliance.FulfilledCCUS&gt;0,I.CCUS.RangeCount&gt;=479,F2551=""),"Incomplete","Complete")</f>
        <v>Complete</v>
      </c>
      <c r="I2551" s="55" t="s">
        <v>2748</v>
      </c>
    </row>
    <row r="2552" spans="2:9" ht="15" customHeight="1" x14ac:dyDescent="0.25">
      <c r="B2552" s="51" t="s">
        <v>126</v>
      </c>
      <c r="C2552" s="52">
        <v>480</v>
      </c>
      <c r="D2552" s="53" t="s">
        <v>4329</v>
      </c>
      <c r="E2552" s="54"/>
      <c r="F2552" s="52" t="str">
        <f>IF(INDEX(I.CCUS.StartRange,480)="","",INDEX(I.CCUS.StartRange,480))</f>
        <v/>
      </c>
      <c r="G2552" s="54"/>
      <c r="H2552" s="52" t="str">
        <f>IF(AND(I.Compliance.FulfilledCCUS&gt;0,I.CCUS.RangeCount&gt;=480,F2552=""),"Incomplete","Complete")</f>
        <v>Complete</v>
      </c>
      <c r="I2552" s="55" t="s">
        <v>2749</v>
      </c>
    </row>
    <row r="2553" spans="2:9" ht="15" customHeight="1" x14ac:dyDescent="0.25">
      <c r="B2553" s="51" t="s">
        <v>126</v>
      </c>
      <c r="C2553" s="52">
        <v>481</v>
      </c>
      <c r="D2553" s="53" t="s">
        <v>4329</v>
      </c>
      <c r="E2553" s="54"/>
      <c r="F2553" s="52" t="str">
        <f>IF(INDEX(I.CCUS.StartRange,481)="","",INDEX(I.CCUS.StartRange,481))</f>
        <v/>
      </c>
      <c r="G2553" s="54"/>
      <c r="H2553" s="52" t="str">
        <f>IF(AND(I.Compliance.FulfilledCCUS&gt;0,I.CCUS.RangeCount&gt;=481,F2553=""),"Incomplete","Complete")</f>
        <v>Complete</v>
      </c>
      <c r="I2553" s="55" t="s">
        <v>2750</v>
      </c>
    </row>
    <row r="2554" spans="2:9" ht="15" customHeight="1" x14ac:dyDescent="0.25">
      <c r="B2554" s="51" t="s">
        <v>126</v>
      </c>
      <c r="C2554" s="52">
        <v>482</v>
      </c>
      <c r="D2554" s="53" t="s">
        <v>4329</v>
      </c>
      <c r="E2554" s="54"/>
      <c r="F2554" s="52" t="str">
        <f>IF(INDEX(I.CCUS.StartRange,482)="","",INDEX(I.CCUS.StartRange,482))</f>
        <v/>
      </c>
      <c r="G2554" s="54"/>
      <c r="H2554" s="52" t="str">
        <f>IF(AND(I.Compliance.FulfilledCCUS&gt;0,I.CCUS.RangeCount&gt;=482,F2554=""),"Incomplete","Complete")</f>
        <v>Complete</v>
      </c>
      <c r="I2554" s="55" t="s">
        <v>2751</v>
      </c>
    </row>
    <row r="2555" spans="2:9" ht="15" customHeight="1" x14ac:dyDescent="0.25">
      <c r="B2555" s="51" t="s">
        <v>126</v>
      </c>
      <c r="C2555" s="52">
        <v>483</v>
      </c>
      <c r="D2555" s="53" t="s">
        <v>4329</v>
      </c>
      <c r="E2555" s="54"/>
      <c r="F2555" s="52" t="str">
        <f>IF(INDEX(I.CCUS.StartRange,483)="","",INDEX(I.CCUS.StartRange,483))</f>
        <v/>
      </c>
      <c r="G2555" s="54"/>
      <c r="H2555" s="52" t="str">
        <f>IF(AND(I.Compliance.FulfilledCCUS&gt;0,I.CCUS.RangeCount&gt;=483,F2555=""),"Incomplete","Complete")</f>
        <v>Complete</v>
      </c>
      <c r="I2555" s="55" t="s">
        <v>2752</v>
      </c>
    </row>
    <row r="2556" spans="2:9" ht="15" customHeight="1" x14ac:dyDescent="0.25">
      <c r="B2556" s="51" t="s">
        <v>126</v>
      </c>
      <c r="C2556" s="52">
        <v>484</v>
      </c>
      <c r="D2556" s="53" t="s">
        <v>4329</v>
      </c>
      <c r="E2556" s="54"/>
      <c r="F2556" s="52" t="str">
        <f>IF(INDEX(I.CCUS.StartRange,484)="","",INDEX(I.CCUS.StartRange,484))</f>
        <v/>
      </c>
      <c r="G2556" s="54"/>
      <c r="H2556" s="52" t="str">
        <f>IF(AND(I.Compliance.FulfilledCCUS&gt;0,I.CCUS.RangeCount&gt;=484,F2556=""),"Incomplete","Complete")</f>
        <v>Complete</v>
      </c>
      <c r="I2556" s="55" t="s">
        <v>2753</v>
      </c>
    </row>
    <row r="2557" spans="2:9" ht="15" customHeight="1" x14ac:dyDescent="0.25">
      <c r="B2557" s="51" t="s">
        <v>126</v>
      </c>
      <c r="C2557" s="52">
        <v>485</v>
      </c>
      <c r="D2557" s="53" t="s">
        <v>4329</v>
      </c>
      <c r="E2557" s="54"/>
      <c r="F2557" s="52" t="str">
        <f>IF(INDEX(I.CCUS.StartRange,485)="","",INDEX(I.CCUS.StartRange,485))</f>
        <v/>
      </c>
      <c r="G2557" s="54"/>
      <c r="H2557" s="52" t="str">
        <f>IF(AND(I.Compliance.FulfilledCCUS&gt;0,I.CCUS.RangeCount&gt;=485,F2557=""),"Incomplete","Complete")</f>
        <v>Complete</v>
      </c>
      <c r="I2557" s="55" t="s">
        <v>2754</v>
      </c>
    </row>
    <row r="2558" spans="2:9" ht="15" customHeight="1" x14ac:dyDescent="0.25">
      <c r="B2558" s="51" t="s">
        <v>126</v>
      </c>
      <c r="C2558" s="52">
        <v>486</v>
      </c>
      <c r="D2558" s="53" t="s">
        <v>4329</v>
      </c>
      <c r="E2558" s="54"/>
      <c r="F2558" s="52" t="str">
        <f>IF(INDEX(I.CCUS.StartRange,486)="","",INDEX(I.CCUS.StartRange,486))</f>
        <v/>
      </c>
      <c r="G2558" s="54"/>
      <c r="H2558" s="52" t="str">
        <f>IF(AND(I.Compliance.FulfilledCCUS&gt;0,I.CCUS.RangeCount&gt;=486,F2558=""),"Incomplete","Complete")</f>
        <v>Complete</v>
      </c>
      <c r="I2558" s="55" t="s">
        <v>2755</v>
      </c>
    </row>
    <row r="2559" spans="2:9" ht="15" customHeight="1" x14ac:dyDescent="0.25">
      <c r="B2559" s="51" t="s">
        <v>126</v>
      </c>
      <c r="C2559" s="52">
        <v>487</v>
      </c>
      <c r="D2559" s="53" t="s">
        <v>4329</v>
      </c>
      <c r="E2559" s="54"/>
      <c r="F2559" s="52" t="str">
        <f>IF(INDEX(I.CCUS.StartRange,487)="","",INDEX(I.CCUS.StartRange,487))</f>
        <v/>
      </c>
      <c r="G2559" s="54"/>
      <c r="H2559" s="52" t="str">
        <f>IF(AND(I.Compliance.FulfilledCCUS&gt;0,I.CCUS.RangeCount&gt;=487,F2559=""),"Incomplete","Complete")</f>
        <v>Complete</v>
      </c>
      <c r="I2559" s="55" t="s">
        <v>2756</v>
      </c>
    </row>
    <row r="2560" spans="2:9" ht="15" customHeight="1" x14ac:dyDescent="0.25">
      <c r="B2560" s="51" t="s">
        <v>126</v>
      </c>
      <c r="C2560" s="52">
        <v>488</v>
      </c>
      <c r="D2560" s="53" t="s">
        <v>4329</v>
      </c>
      <c r="E2560" s="54"/>
      <c r="F2560" s="52" t="str">
        <f>IF(INDEX(I.CCUS.StartRange,488)="","",INDEX(I.CCUS.StartRange,488))</f>
        <v/>
      </c>
      <c r="G2560" s="54"/>
      <c r="H2560" s="52" t="str">
        <f>IF(AND(I.Compliance.FulfilledCCUS&gt;0,I.CCUS.RangeCount&gt;=488,F2560=""),"Incomplete","Complete")</f>
        <v>Complete</v>
      </c>
      <c r="I2560" s="55" t="s">
        <v>2757</v>
      </c>
    </row>
    <row r="2561" spans="2:9" ht="15" customHeight="1" x14ac:dyDescent="0.25">
      <c r="B2561" s="51" t="s">
        <v>126</v>
      </c>
      <c r="C2561" s="52">
        <v>489</v>
      </c>
      <c r="D2561" s="53" t="s">
        <v>4329</v>
      </c>
      <c r="E2561" s="54"/>
      <c r="F2561" s="52" t="str">
        <f>IF(INDEX(I.CCUS.StartRange,489)="","",INDEX(I.CCUS.StartRange,489))</f>
        <v/>
      </c>
      <c r="G2561" s="54"/>
      <c r="H2561" s="52" t="str">
        <f>IF(AND(I.Compliance.FulfilledCCUS&gt;0,I.CCUS.RangeCount&gt;=489,F2561=""),"Incomplete","Complete")</f>
        <v>Complete</v>
      </c>
      <c r="I2561" s="55" t="s">
        <v>2758</v>
      </c>
    </row>
    <row r="2562" spans="2:9" ht="15" customHeight="1" x14ac:dyDescent="0.25">
      <c r="B2562" s="51" t="s">
        <v>126</v>
      </c>
      <c r="C2562" s="52">
        <v>490</v>
      </c>
      <c r="D2562" s="53" t="s">
        <v>4329</v>
      </c>
      <c r="E2562" s="54"/>
      <c r="F2562" s="52" t="str">
        <f>IF(INDEX(I.CCUS.StartRange,490)="","",INDEX(I.CCUS.StartRange,490))</f>
        <v/>
      </c>
      <c r="G2562" s="54"/>
      <c r="H2562" s="52" t="str">
        <f>IF(AND(I.Compliance.FulfilledCCUS&gt;0,I.CCUS.RangeCount&gt;=490,F2562=""),"Incomplete","Complete")</f>
        <v>Complete</v>
      </c>
      <c r="I2562" s="55" t="s">
        <v>2759</v>
      </c>
    </row>
    <row r="2563" spans="2:9" ht="15" customHeight="1" x14ac:dyDescent="0.25">
      <c r="B2563" s="51" t="s">
        <v>126</v>
      </c>
      <c r="C2563" s="52">
        <v>491</v>
      </c>
      <c r="D2563" s="53" t="s">
        <v>4329</v>
      </c>
      <c r="E2563" s="54"/>
      <c r="F2563" s="52" t="str">
        <f>IF(INDEX(I.CCUS.StartRange,491)="","",INDEX(I.CCUS.StartRange,491))</f>
        <v/>
      </c>
      <c r="G2563" s="54"/>
      <c r="H2563" s="52" t="str">
        <f>IF(AND(I.Compliance.FulfilledCCUS&gt;0,I.CCUS.RangeCount&gt;=491,F2563=""),"Incomplete","Complete")</f>
        <v>Complete</v>
      </c>
      <c r="I2563" s="55" t="s">
        <v>2760</v>
      </c>
    </row>
    <row r="2564" spans="2:9" ht="15" customHeight="1" x14ac:dyDescent="0.25">
      <c r="B2564" s="51" t="s">
        <v>126</v>
      </c>
      <c r="C2564" s="52">
        <v>492</v>
      </c>
      <c r="D2564" s="53" t="s">
        <v>4329</v>
      </c>
      <c r="E2564" s="54"/>
      <c r="F2564" s="52" t="str">
        <f>IF(INDEX(I.CCUS.StartRange,492)="","",INDEX(I.CCUS.StartRange,492))</f>
        <v/>
      </c>
      <c r="G2564" s="54"/>
      <c r="H2564" s="52" t="str">
        <f>IF(AND(I.Compliance.FulfilledCCUS&gt;0,I.CCUS.RangeCount&gt;=492,F2564=""),"Incomplete","Complete")</f>
        <v>Complete</v>
      </c>
      <c r="I2564" s="55" t="s">
        <v>2761</v>
      </c>
    </row>
    <row r="2565" spans="2:9" ht="15" customHeight="1" x14ac:dyDescent="0.25">
      <c r="B2565" s="51" t="s">
        <v>126</v>
      </c>
      <c r="C2565" s="52">
        <v>493</v>
      </c>
      <c r="D2565" s="53" t="s">
        <v>4329</v>
      </c>
      <c r="E2565" s="54"/>
      <c r="F2565" s="52" t="str">
        <f>IF(INDEX(I.CCUS.StartRange,493)="","",INDEX(I.CCUS.StartRange,493))</f>
        <v/>
      </c>
      <c r="G2565" s="54"/>
      <c r="H2565" s="52" t="str">
        <f>IF(AND(I.Compliance.FulfilledCCUS&gt;0,I.CCUS.RangeCount&gt;=493,F2565=""),"Incomplete","Complete")</f>
        <v>Complete</v>
      </c>
      <c r="I2565" s="55" t="s">
        <v>2762</v>
      </c>
    </row>
    <row r="2566" spans="2:9" ht="15" customHeight="1" x14ac:dyDescent="0.25">
      <c r="B2566" s="51" t="s">
        <v>126</v>
      </c>
      <c r="C2566" s="52">
        <v>494</v>
      </c>
      <c r="D2566" s="53" t="s">
        <v>4329</v>
      </c>
      <c r="E2566" s="54"/>
      <c r="F2566" s="52" t="str">
        <f>IF(INDEX(I.CCUS.StartRange,494)="","",INDEX(I.CCUS.StartRange,494))</f>
        <v/>
      </c>
      <c r="G2566" s="54"/>
      <c r="H2566" s="52" t="str">
        <f>IF(AND(I.Compliance.FulfilledCCUS&gt;0,I.CCUS.RangeCount&gt;=494,F2566=""),"Incomplete","Complete")</f>
        <v>Complete</v>
      </c>
      <c r="I2566" s="55" t="s">
        <v>2763</v>
      </c>
    </row>
    <row r="2567" spans="2:9" ht="15" customHeight="1" x14ac:dyDescent="0.25">
      <c r="B2567" s="51" t="s">
        <v>126</v>
      </c>
      <c r="C2567" s="52">
        <v>495</v>
      </c>
      <c r="D2567" s="53" t="s">
        <v>4329</v>
      </c>
      <c r="E2567" s="54"/>
      <c r="F2567" s="52" t="str">
        <f>IF(INDEX(I.CCUS.StartRange,495)="","",INDEX(I.CCUS.StartRange,495))</f>
        <v/>
      </c>
      <c r="G2567" s="54"/>
      <c r="H2567" s="52" t="str">
        <f>IF(AND(I.Compliance.FulfilledCCUS&gt;0,I.CCUS.RangeCount&gt;=495,F2567=""),"Incomplete","Complete")</f>
        <v>Complete</v>
      </c>
      <c r="I2567" s="55" t="s">
        <v>2764</v>
      </c>
    </row>
    <row r="2568" spans="2:9" ht="15" customHeight="1" x14ac:dyDescent="0.25">
      <c r="B2568" s="51" t="s">
        <v>126</v>
      </c>
      <c r="C2568" s="52">
        <v>496</v>
      </c>
      <c r="D2568" s="53" t="s">
        <v>4329</v>
      </c>
      <c r="E2568" s="54"/>
      <c r="F2568" s="52" t="str">
        <f>IF(INDEX(I.CCUS.StartRange,496)="","",INDEX(I.CCUS.StartRange,496))</f>
        <v/>
      </c>
      <c r="G2568" s="54"/>
      <c r="H2568" s="52" t="str">
        <f>IF(AND(I.Compliance.FulfilledCCUS&gt;0,I.CCUS.RangeCount&gt;=496,F2568=""),"Incomplete","Complete")</f>
        <v>Complete</v>
      </c>
      <c r="I2568" s="55" t="s">
        <v>2765</v>
      </c>
    </row>
    <row r="2569" spans="2:9" ht="15" customHeight="1" x14ac:dyDescent="0.25">
      <c r="B2569" s="51" t="s">
        <v>126</v>
      </c>
      <c r="C2569" s="52">
        <v>497</v>
      </c>
      <c r="D2569" s="53" t="s">
        <v>4329</v>
      </c>
      <c r="E2569" s="54"/>
      <c r="F2569" s="52" t="str">
        <f>IF(INDEX(I.CCUS.StartRange,497)="","",INDEX(I.CCUS.StartRange,497))</f>
        <v/>
      </c>
      <c r="G2569" s="54"/>
      <c r="H2569" s="52" t="str">
        <f>IF(AND(I.Compliance.FulfilledCCUS&gt;0,I.CCUS.RangeCount&gt;=497,F2569=""),"Incomplete","Complete")</f>
        <v>Complete</v>
      </c>
      <c r="I2569" s="55" t="s">
        <v>2766</v>
      </c>
    </row>
    <row r="2570" spans="2:9" ht="15" customHeight="1" x14ac:dyDescent="0.25">
      <c r="B2570" s="51" t="s">
        <v>126</v>
      </c>
      <c r="C2570" s="52">
        <v>498</v>
      </c>
      <c r="D2570" s="53" t="s">
        <v>4329</v>
      </c>
      <c r="E2570" s="54"/>
      <c r="F2570" s="52" t="str">
        <f>IF(INDEX(I.CCUS.StartRange,498)="","",INDEX(I.CCUS.StartRange,498))</f>
        <v/>
      </c>
      <c r="G2570" s="54"/>
      <c r="H2570" s="52" t="str">
        <f>IF(AND(I.Compliance.FulfilledCCUS&gt;0,I.CCUS.RangeCount&gt;=498,F2570=""),"Incomplete","Complete")</f>
        <v>Complete</v>
      </c>
      <c r="I2570" s="55" t="s">
        <v>2767</v>
      </c>
    </row>
    <row r="2571" spans="2:9" ht="15" customHeight="1" x14ac:dyDescent="0.25">
      <c r="B2571" s="51" t="s">
        <v>126</v>
      </c>
      <c r="C2571" s="52">
        <v>499</v>
      </c>
      <c r="D2571" s="53" t="s">
        <v>4329</v>
      </c>
      <c r="E2571" s="54"/>
      <c r="F2571" s="52" t="str">
        <f>IF(INDEX(I.CCUS.StartRange,499)="","",INDEX(I.CCUS.StartRange,499))</f>
        <v/>
      </c>
      <c r="G2571" s="54"/>
      <c r="H2571" s="52" t="str">
        <f>IF(AND(I.Compliance.FulfilledCCUS&gt;0,I.CCUS.RangeCount&gt;=499,F2571=""),"Incomplete","Complete")</f>
        <v>Complete</v>
      </c>
      <c r="I2571" s="55" t="s">
        <v>2768</v>
      </c>
    </row>
    <row r="2572" spans="2:9" ht="15" customHeight="1" x14ac:dyDescent="0.25">
      <c r="B2572" s="51" t="s">
        <v>126</v>
      </c>
      <c r="C2572" s="52">
        <v>500</v>
      </c>
      <c r="D2572" s="53" t="s">
        <v>4329</v>
      </c>
      <c r="E2572" s="54"/>
      <c r="F2572" s="52" t="str">
        <f>IF(INDEX(I.CCUS.StartRange,500)="","",INDEX(I.CCUS.StartRange,500))</f>
        <v/>
      </c>
      <c r="G2572" s="54"/>
      <c r="H2572" s="52" t="str">
        <f>IF(AND(I.Compliance.FulfilledCCUS&gt;0,I.CCUS.RangeCount&gt;=500,F2572=""),"Incomplete","Complete")</f>
        <v>Complete</v>
      </c>
      <c r="I2572" s="55" t="s">
        <v>2769</v>
      </c>
    </row>
    <row r="2573" spans="2:9" ht="15" customHeight="1" x14ac:dyDescent="0.25">
      <c r="B2573" s="51" t="s">
        <v>126</v>
      </c>
      <c r="C2573" s="52">
        <v>501</v>
      </c>
      <c r="D2573" s="53" t="s">
        <v>4329</v>
      </c>
      <c r="E2573" s="54"/>
      <c r="F2573" s="52" t="str">
        <f>IF(INDEX(I.CCUS.StartRange,501)="","",INDEX(I.CCUS.StartRange,501))</f>
        <v/>
      </c>
      <c r="G2573" s="54"/>
      <c r="H2573" s="52" t="str">
        <f>IF(AND(I.Compliance.FulfilledCCUS&gt;0,I.CCUS.RangeCount&gt;=501,F2573=""),"Incomplete","Complete")</f>
        <v>Complete</v>
      </c>
      <c r="I2573" s="55" t="s">
        <v>2770</v>
      </c>
    </row>
    <row r="2574" spans="2:9" ht="15" customHeight="1" x14ac:dyDescent="0.25">
      <c r="B2574" s="51" t="s">
        <v>126</v>
      </c>
      <c r="C2574" s="52">
        <v>502</v>
      </c>
      <c r="D2574" s="53" t="s">
        <v>4329</v>
      </c>
      <c r="E2574" s="54"/>
      <c r="F2574" s="52" t="str">
        <f>IF(INDEX(I.CCUS.StartRange,502)="","",INDEX(I.CCUS.StartRange,502))</f>
        <v/>
      </c>
      <c r="G2574" s="54"/>
      <c r="H2574" s="52" t="str">
        <f>IF(AND(I.Compliance.FulfilledCCUS&gt;0,I.CCUS.RangeCount&gt;=502,F2574=""),"Incomplete","Complete")</f>
        <v>Complete</v>
      </c>
      <c r="I2574" s="55" t="s">
        <v>2771</v>
      </c>
    </row>
    <row r="2575" spans="2:9" ht="15" customHeight="1" x14ac:dyDescent="0.25">
      <c r="B2575" s="51" t="s">
        <v>126</v>
      </c>
      <c r="C2575" s="52">
        <v>503</v>
      </c>
      <c r="D2575" s="53" t="s">
        <v>4329</v>
      </c>
      <c r="E2575" s="54"/>
      <c r="F2575" s="52" t="str">
        <f>IF(INDEX(I.CCUS.StartRange,503)="","",INDEX(I.CCUS.StartRange,503))</f>
        <v/>
      </c>
      <c r="G2575" s="54"/>
      <c r="H2575" s="52" t="str">
        <f>IF(AND(I.Compliance.FulfilledCCUS&gt;0,I.CCUS.RangeCount&gt;=503,F2575=""),"Incomplete","Complete")</f>
        <v>Complete</v>
      </c>
      <c r="I2575" s="55" t="s">
        <v>2772</v>
      </c>
    </row>
    <row r="2576" spans="2:9" ht="15" customHeight="1" x14ac:dyDescent="0.25">
      <c r="B2576" s="51" t="s">
        <v>126</v>
      </c>
      <c r="C2576" s="52">
        <v>504</v>
      </c>
      <c r="D2576" s="53" t="s">
        <v>4329</v>
      </c>
      <c r="E2576" s="54"/>
      <c r="F2576" s="52" t="str">
        <f>IF(INDEX(I.CCUS.StartRange,504)="","",INDEX(I.CCUS.StartRange,504))</f>
        <v/>
      </c>
      <c r="G2576" s="54"/>
      <c r="H2576" s="52" t="str">
        <f>IF(AND(I.Compliance.FulfilledCCUS&gt;0,I.CCUS.RangeCount&gt;=504,F2576=""),"Incomplete","Complete")</f>
        <v>Complete</v>
      </c>
      <c r="I2576" s="55" t="s">
        <v>2773</v>
      </c>
    </row>
    <row r="2577" spans="2:9" ht="15" customHeight="1" x14ac:dyDescent="0.25">
      <c r="B2577" s="51" t="s">
        <v>126</v>
      </c>
      <c r="C2577" s="52">
        <v>505</v>
      </c>
      <c r="D2577" s="53" t="s">
        <v>4329</v>
      </c>
      <c r="E2577" s="54"/>
      <c r="F2577" s="52" t="str">
        <f>IF(INDEX(I.CCUS.StartRange,505)="","",INDEX(I.CCUS.StartRange,505))</f>
        <v/>
      </c>
      <c r="G2577" s="54"/>
      <c r="H2577" s="52" t="str">
        <f>IF(AND(I.Compliance.FulfilledCCUS&gt;0,I.CCUS.RangeCount&gt;=505,F2577=""),"Incomplete","Complete")</f>
        <v>Complete</v>
      </c>
      <c r="I2577" s="55" t="s">
        <v>2774</v>
      </c>
    </row>
    <row r="2578" spans="2:9" ht="15" customHeight="1" x14ac:dyDescent="0.25">
      <c r="B2578" s="51" t="s">
        <v>126</v>
      </c>
      <c r="C2578" s="52">
        <v>506</v>
      </c>
      <c r="D2578" s="53" t="s">
        <v>4329</v>
      </c>
      <c r="E2578" s="54"/>
      <c r="F2578" s="52" t="str">
        <f>IF(INDEX(I.CCUS.StartRange,506)="","",INDEX(I.CCUS.StartRange,506))</f>
        <v/>
      </c>
      <c r="G2578" s="54"/>
      <c r="H2578" s="52" t="str">
        <f>IF(AND(I.Compliance.FulfilledCCUS&gt;0,I.CCUS.RangeCount&gt;=506,F2578=""),"Incomplete","Complete")</f>
        <v>Complete</v>
      </c>
      <c r="I2578" s="55" t="s">
        <v>2775</v>
      </c>
    </row>
    <row r="2579" spans="2:9" ht="15" customHeight="1" x14ac:dyDescent="0.25">
      <c r="B2579" s="51" t="s">
        <v>126</v>
      </c>
      <c r="C2579" s="52">
        <v>507</v>
      </c>
      <c r="D2579" s="53" t="s">
        <v>4329</v>
      </c>
      <c r="E2579" s="54"/>
      <c r="F2579" s="52" t="str">
        <f>IF(INDEX(I.CCUS.StartRange,507)="","",INDEX(I.CCUS.StartRange,507))</f>
        <v/>
      </c>
      <c r="G2579" s="54"/>
      <c r="H2579" s="52" t="str">
        <f>IF(AND(I.Compliance.FulfilledCCUS&gt;0,I.CCUS.RangeCount&gt;=507,F2579=""),"Incomplete","Complete")</f>
        <v>Complete</v>
      </c>
      <c r="I2579" s="55" t="s">
        <v>2776</v>
      </c>
    </row>
    <row r="2580" spans="2:9" ht="15" customHeight="1" x14ac:dyDescent="0.25">
      <c r="B2580" s="51" t="s">
        <v>126</v>
      </c>
      <c r="C2580" s="52">
        <v>508</v>
      </c>
      <c r="D2580" s="53" t="s">
        <v>4329</v>
      </c>
      <c r="E2580" s="54"/>
      <c r="F2580" s="52" t="str">
        <f>IF(INDEX(I.CCUS.StartRange,508)="","",INDEX(I.CCUS.StartRange,508))</f>
        <v/>
      </c>
      <c r="G2580" s="54"/>
      <c r="H2580" s="52" t="str">
        <f>IF(AND(I.Compliance.FulfilledCCUS&gt;0,I.CCUS.RangeCount&gt;=508,F2580=""),"Incomplete","Complete")</f>
        <v>Complete</v>
      </c>
      <c r="I2580" s="55" t="s">
        <v>2777</v>
      </c>
    </row>
    <row r="2581" spans="2:9" ht="15" customHeight="1" x14ac:dyDescent="0.25">
      <c r="B2581" s="51" t="s">
        <v>126</v>
      </c>
      <c r="C2581" s="52">
        <v>509</v>
      </c>
      <c r="D2581" s="53" t="s">
        <v>4329</v>
      </c>
      <c r="E2581" s="54"/>
      <c r="F2581" s="52" t="str">
        <f>IF(INDEX(I.CCUS.StartRange,509)="","",INDEX(I.CCUS.StartRange,509))</f>
        <v/>
      </c>
      <c r="G2581" s="54"/>
      <c r="H2581" s="52" t="str">
        <f>IF(AND(I.Compliance.FulfilledCCUS&gt;0,I.CCUS.RangeCount&gt;=509,F2581=""),"Incomplete","Complete")</f>
        <v>Complete</v>
      </c>
      <c r="I2581" s="55" t="s">
        <v>2778</v>
      </c>
    </row>
    <row r="2582" spans="2:9" ht="15" customHeight="1" x14ac:dyDescent="0.25">
      <c r="B2582" s="51" t="s">
        <v>126</v>
      </c>
      <c r="C2582" s="52">
        <v>510</v>
      </c>
      <c r="D2582" s="53" t="s">
        <v>4329</v>
      </c>
      <c r="E2582" s="54"/>
      <c r="F2582" s="52" t="str">
        <f>IF(INDEX(I.CCUS.StartRange,510)="","",INDEX(I.CCUS.StartRange,510))</f>
        <v/>
      </c>
      <c r="G2582" s="54"/>
      <c r="H2582" s="52" t="str">
        <f>IF(AND(I.Compliance.FulfilledCCUS&gt;0,I.CCUS.RangeCount&gt;=510,F2582=""),"Incomplete","Complete")</f>
        <v>Complete</v>
      </c>
      <c r="I2582" s="55" t="s">
        <v>2779</v>
      </c>
    </row>
    <row r="2583" spans="2:9" ht="15" customHeight="1" x14ac:dyDescent="0.25">
      <c r="B2583" s="51" t="s">
        <v>126</v>
      </c>
      <c r="C2583" s="52">
        <v>511</v>
      </c>
      <c r="D2583" s="53" t="s">
        <v>4329</v>
      </c>
      <c r="E2583" s="54"/>
      <c r="F2583" s="52" t="str">
        <f>IF(INDEX(I.CCUS.StartRange,511)="","",INDEX(I.CCUS.StartRange,511))</f>
        <v/>
      </c>
      <c r="G2583" s="54"/>
      <c r="H2583" s="52" t="str">
        <f>IF(AND(I.Compliance.FulfilledCCUS&gt;0,I.CCUS.RangeCount&gt;=511,F2583=""),"Incomplete","Complete")</f>
        <v>Complete</v>
      </c>
      <c r="I2583" s="55" t="s">
        <v>2780</v>
      </c>
    </row>
    <row r="2584" spans="2:9" ht="15" customHeight="1" x14ac:dyDescent="0.25">
      <c r="B2584" s="51" t="s">
        <v>126</v>
      </c>
      <c r="C2584" s="52">
        <v>512</v>
      </c>
      <c r="D2584" s="53" t="s">
        <v>4329</v>
      </c>
      <c r="E2584" s="54"/>
      <c r="F2584" s="52" t="str">
        <f>IF(INDEX(I.CCUS.StartRange,512)="","",INDEX(I.CCUS.StartRange,512))</f>
        <v/>
      </c>
      <c r="G2584" s="54"/>
      <c r="H2584" s="52" t="str">
        <f>IF(AND(I.Compliance.FulfilledCCUS&gt;0,I.CCUS.RangeCount&gt;=512,F2584=""),"Incomplete","Complete")</f>
        <v>Complete</v>
      </c>
      <c r="I2584" s="55" t="s">
        <v>2781</v>
      </c>
    </row>
    <row r="2585" spans="2:9" ht="15" customHeight="1" x14ac:dyDescent="0.25">
      <c r="B2585" s="51" t="s">
        <v>126</v>
      </c>
      <c r="C2585" s="52">
        <v>513</v>
      </c>
      <c r="D2585" s="53" t="s">
        <v>4329</v>
      </c>
      <c r="E2585" s="54"/>
      <c r="F2585" s="52" t="str">
        <f>IF(INDEX(I.CCUS.StartRange,513)="","",INDEX(I.CCUS.StartRange,513))</f>
        <v/>
      </c>
      <c r="G2585" s="54"/>
      <c r="H2585" s="52" t="str">
        <f>IF(AND(I.Compliance.FulfilledCCUS&gt;0,I.CCUS.RangeCount&gt;=513,F2585=""),"Incomplete","Complete")</f>
        <v>Complete</v>
      </c>
      <c r="I2585" s="55" t="s">
        <v>2782</v>
      </c>
    </row>
    <row r="2586" spans="2:9" ht="15" customHeight="1" x14ac:dyDescent="0.25">
      <c r="B2586" s="51" t="s">
        <v>126</v>
      </c>
      <c r="C2586" s="52">
        <v>514</v>
      </c>
      <c r="D2586" s="53" t="s">
        <v>4329</v>
      </c>
      <c r="E2586" s="54"/>
      <c r="F2586" s="52" t="str">
        <f>IF(INDEX(I.CCUS.StartRange,514)="","",INDEX(I.CCUS.StartRange,514))</f>
        <v/>
      </c>
      <c r="G2586" s="54"/>
      <c r="H2586" s="52" t="str">
        <f>IF(AND(I.Compliance.FulfilledCCUS&gt;0,I.CCUS.RangeCount&gt;=514,F2586=""),"Incomplete","Complete")</f>
        <v>Complete</v>
      </c>
      <c r="I2586" s="55" t="s">
        <v>2783</v>
      </c>
    </row>
    <row r="2587" spans="2:9" ht="15" customHeight="1" x14ac:dyDescent="0.25">
      <c r="B2587" s="51" t="s">
        <v>126</v>
      </c>
      <c r="C2587" s="52">
        <v>515</v>
      </c>
      <c r="D2587" s="53" t="s">
        <v>4329</v>
      </c>
      <c r="E2587" s="54"/>
      <c r="F2587" s="52" t="str">
        <f>IF(INDEX(I.CCUS.StartRange,515)="","",INDEX(I.CCUS.StartRange,515))</f>
        <v/>
      </c>
      <c r="G2587" s="54"/>
      <c r="H2587" s="52" t="str">
        <f>IF(AND(I.Compliance.FulfilledCCUS&gt;0,I.CCUS.RangeCount&gt;=515,F2587=""),"Incomplete","Complete")</f>
        <v>Complete</v>
      </c>
      <c r="I2587" s="55" t="s">
        <v>2784</v>
      </c>
    </row>
    <row r="2588" spans="2:9" ht="15" customHeight="1" x14ac:dyDescent="0.25">
      <c r="B2588" s="51" t="s">
        <v>126</v>
      </c>
      <c r="C2588" s="52">
        <v>516</v>
      </c>
      <c r="D2588" s="53" t="s">
        <v>4329</v>
      </c>
      <c r="E2588" s="54"/>
      <c r="F2588" s="52" t="str">
        <f>IF(INDEX(I.CCUS.StartRange,516)="","",INDEX(I.CCUS.StartRange,516))</f>
        <v/>
      </c>
      <c r="G2588" s="54"/>
      <c r="H2588" s="52" t="str">
        <f>IF(AND(I.Compliance.FulfilledCCUS&gt;0,I.CCUS.RangeCount&gt;=516,F2588=""),"Incomplete","Complete")</f>
        <v>Complete</v>
      </c>
      <c r="I2588" s="55" t="s">
        <v>2785</v>
      </c>
    </row>
    <row r="2589" spans="2:9" ht="15" customHeight="1" x14ac:dyDescent="0.25">
      <c r="B2589" s="51" t="s">
        <v>126</v>
      </c>
      <c r="C2589" s="52">
        <v>517</v>
      </c>
      <c r="D2589" s="53" t="s">
        <v>4329</v>
      </c>
      <c r="E2589" s="54"/>
      <c r="F2589" s="52" t="str">
        <f>IF(INDEX(I.CCUS.StartRange,517)="","",INDEX(I.CCUS.StartRange,517))</f>
        <v/>
      </c>
      <c r="G2589" s="54"/>
      <c r="H2589" s="52" t="str">
        <f>IF(AND(I.Compliance.FulfilledCCUS&gt;0,I.CCUS.RangeCount&gt;=517,F2589=""),"Incomplete","Complete")</f>
        <v>Complete</v>
      </c>
      <c r="I2589" s="55" t="s">
        <v>2786</v>
      </c>
    </row>
    <row r="2590" spans="2:9" ht="15" customHeight="1" x14ac:dyDescent="0.25">
      <c r="B2590" s="51" t="s">
        <v>126</v>
      </c>
      <c r="C2590" s="52">
        <v>518</v>
      </c>
      <c r="D2590" s="53" t="s">
        <v>4329</v>
      </c>
      <c r="E2590" s="54"/>
      <c r="F2590" s="52" t="str">
        <f>IF(INDEX(I.CCUS.StartRange,518)="","",INDEX(I.CCUS.StartRange,518))</f>
        <v/>
      </c>
      <c r="G2590" s="54"/>
      <c r="H2590" s="52" t="str">
        <f>IF(AND(I.Compliance.FulfilledCCUS&gt;0,I.CCUS.RangeCount&gt;=518,F2590=""),"Incomplete","Complete")</f>
        <v>Complete</v>
      </c>
      <c r="I2590" s="55" t="s">
        <v>2787</v>
      </c>
    </row>
    <row r="2591" spans="2:9" ht="15" customHeight="1" x14ac:dyDescent="0.25">
      <c r="B2591" s="51" t="s">
        <v>126</v>
      </c>
      <c r="C2591" s="52">
        <v>519</v>
      </c>
      <c r="D2591" s="53" t="s">
        <v>4329</v>
      </c>
      <c r="E2591" s="54"/>
      <c r="F2591" s="52" t="str">
        <f>IF(INDEX(I.CCUS.StartRange,519)="","",INDEX(I.CCUS.StartRange,519))</f>
        <v/>
      </c>
      <c r="G2591" s="54"/>
      <c r="H2591" s="52" t="str">
        <f>IF(AND(I.Compliance.FulfilledCCUS&gt;0,I.CCUS.RangeCount&gt;=519,F2591=""),"Incomplete","Complete")</f>
        <v>Complete</v>
      </c>
      <c r="I2591" s="55" t="s">
        <v>2788</v>
      </c>
    </row>
    <row r="2592" spans="2:9" ht="15" customHeight="1" x14ac:dyDescent="0.25">
      <c r="B2592" s="51" t="s">
        <v>126</v>
      </c>
      <c r="C2592" s="52">
        <v>520</v>
      </c>
      <c r="D2592" s="53" t="s">
        <v>4329</v>
      </c>
      <c r="E2592" s="54"/>
      <c r="F2592" s="52" t="str">
        <f>IF(INDEX(I.CCUS.StartRange,520)="","",INDEX(I.CCUS.StartRange,520))</f>
        <v/>
      </c>
      <c r="G2592" s="54"/>
      <c r="H2592" s="52" t="str">
        <f>IF(AND(I.Compliance.FulfilledCCUS&gt;0,I.CCUS.RangeCount&gt;=520,F2592=""),"Incomplete","Complete")</f>
        <v>Complete</v>
      </c>
      <c r="I2592" s="55" t="s">
        <v>2789</v>
      </c>
    </row>
    <row r="2593" spans="2:9" ht="15" customHeight="1" x14ac:dyDescent="0.25">
      <c r="B2593" s="51" t="s">
        <v>126</v>
      </c>
      <c r="C2593" s="52">
        <v>521</v>
      </c>
      <c r="D2593" s="53" t="s">
        <v>4329</v>
      </c>
      <c r="E2593" s="54"/>
      <c r="F2593" s="52" t="str">
        <f>IF(INDEX(I.CCUS.StartRange,521)="","",INDEX(I.CCUS.StartRange,521))</f>
        <v/>
      </c>
      <c r="G2593" s="54"/>
      <c r="H2593" s="52" t="str">
        <f>IF(AND(I.Compliance.FulfilledCCUS&gt;0,I.CCUS.RangeCount&gt;=521,F2593=""),"Incomplete","Complete")</f>
        <v>Complete</v>
      </c>
      <c r="I2593" s="55" t="s">
        <v>2790</v>
      </c>
    </row>
    <row r="2594" spans="2:9" ht="15" customHeight="1" x14ac:dyDescent="0.25">
      <c r="B2594" s="51" t="s">
        <v>126</v>
      </c>
      <c r="C2594" s="52">
        <v>522</v>
      </c>
      <c r="D2594" s="53" t="s">
        <v>4329</v>
      </c>
      <c r="E2594" s="54"/>
      <c r="F2594" s="52" t="str">
        <f>IF(INDEX(I.CCUS.StartRange,522)="","",INDEX(I.CCUS.StartRange,522))</f>
        <v/>
      </c>
      <c r="G2594" s="54"/>
      <c r="H2594" s="52" t="str">
        <f>IF(AND(I.Compliance.FulfilledCCUS&gt;0,I.CCUS.RangeCount&gt;=522,F2594=""),"Incomplete","Complete")</f>
        <v>Complete</v>
      </c>
      <c r="I2594" s="55" t="s">
        <v>2791</v>
      </c>
    </row>
    <row r="2595" spans="2:9" ht="15" customHeight="1" x14ac:dyDescent="0.25">
      <c r="B2595" s="51" t="s">
        <v>126</v>
      </c>
      <c r="C2595" s="52">
        <v>523</v>
      </c>
      <c r="D2595" s="53" t="s">
        <v>4329</v>
      </c>
      <c r="E2595" s="54"/>
      <c r="F2595" s="52" t="str">
        <f>IF(INDEX(I.CCUS.StartRange,523)="","",INDEX(I.CCUS.StartRange,523))</f>
        <v/>
      </c>
      <c r="G2595" s="54"/>
      <c r="H2595" s="52" t="str">
        <f>IF(AND(I.Compliance.FulfilledCCUS&gt;0,I.CCUS.RangeCount&gt;=523,F2595=""),"Incomplete","Complete")</f>
        <v>Complete</v>
      </c>
      <c r="I2595" s="55" t="s">
        <v>2792</v>
      </c>
    </row>
    <row r="2596" spans="2:9" ht="15" customHeight="1" x14ac:dyDescent="0.25">
      <c r="B2596" s="51" t="s">
        <v>126</v>
      </c>
      <c r="C2596" s="52">
        <v>524</v>
      </c>
      <c r="D2596" s="53" t="s">
        <v>4329</v>
      </c>
      <c r="E2596" s="54"/>
      <c r="F2596" s="52" t="str">
        <f>IF(INDEX(I.CCUS.StartRange,524)="","",INDEX(I.CCUS.StartRange,524))</f>
        <v/>
      </c>
      <c r="G2596" s="54"/>
      <c r="H2596" s="52" t="str">
        <f>IF(AND(I.Compliance.FulfilledCCUS&gt;0,I.CCUS.RangeCount&gt;=524,F2596=""),"Incomplete","Complete")</f>
        <v>Complete</v>
      </c>
      <c r="I2596" s="55" t="s">
        <v>2793</v>
      </c>
    </row>
    <row r="2597" spans="2:9" ht="15" customHeight="1" x14ac:dyDescent="0.25">
      <c r="B2597" s="51" t="s">
        <v>126</v>
      </c>
      <c r="C2597" s="52">
        <v>525</v>
      </c>
      <c r="D2597" s="53" t="s">
        <v>4329</v>
      </c>
      <c r="E2597" s="54"/>
      <c r="F2597" s="52" t="str">
        <f>IF(INDEX(I.CCUS.StartRange,525)="","",INDEX(I.CCUS.StartRange,525))</f>
        <v/>
      </c>
      <c r="G2597" s="54"/>
      <c r="H2597" s="52" t="str">
        <f>IF(AND(I.Compliance.FulfilledCCUS&gt;0,I.CCUS.RangeCount&gt;=525,F2597=""),"Incomplete","Complete")</f>
        <v>Complete</v>
      </c>
      <c r="I2597" s="55" t="s">
        <v>2794</v>
      </c>
    </row>
    <row r="2598" spans="2:9" ht="15" customHeight="1" x14ac:dyDescent="0.25">
      <c r="B2598" s="51" t="s">
        <v>126</v>
      </c>
      <c r="C2598" s="52">
        <v>526</v>
      </c>
      <c r="D2598" s="53" t="s">
        <v>4329</v>
      </c>
      <c r="E2598" s="54"/>
      <c r="F2598" s="52" t="str">
        <f>IF(INDEX(I.CCUS.StartRange,526)="","",INDEX(I.CCUS.StartRange,526))</f>
        <v/>
      </c>
      <c r="G2598" s="54"/>
      <c r="H2598" s="52" t="str">
        <f>IF(AND(I.Compliance.FulfilledCCUS&gt;0,I.CCUS.RangeCount&gt;=526,F2598=""),"Incomplete","Complete")</f>
        <v>Complete</v>
      </c>
      <c r="I2598" s="55" t="s">
        <v>2795</v>
      </c>
    </row>
    <row r="2599" spans="2:9" ht="15" customHeight="1" x14ac:dyDescent="0.25">
      <c r="B2599" s="51" t="s">
        <v>126</v>
      </c>
      <c r="C2599" s="52">
        <v>527</v>
      </c>
      <c r="D2599" s="53" t="s">
        <v>4329</v>
      </c>
      <c r="E2599" s="54"/>
      <c r="F2599" s="52" t="str">
        <f>IF(INDEX(I.CCUS.StartRange,527)="","",INDEX(I.CCUS.StartRange,527))</f>
        <v/>
      </c>
      <c r="G2599" s="54"/>
      <c r="H2599" s="52" t="str">
        <f>IF(AND(I.Compliance.FulfilledCCUS&gt;0,I.CCUS.RangeCount&gt;=527,F2599=""),"Incomplete","Complete")</f>
        <v>Complete</v>
      </c>
      <c r="I2599" s="55" t="s">
        <v>2796</v>
      </c>
    </row>
    <row r="2600" spans="2:9" ht="15" customHeight="1" x14ac:dyDescent="0.25">
      <c r="B2600" s="51" t="s">
        <v>126</v>
      </c>
      <c r="C2600" s="52">
        <v>528</v>
      </c>
      <c r="D2600" s="53" t="s">
        <v>4329</v>
      </c>
      <c r="E2600" s="54"/>
      <c r="F2600" s="52" t="str">
        <f>IF(INDEX(I.CCUS.StartRange,528)="","",INDEX(I.CCUS.StartRange,528))</f>
        <v/>
      </c>
      <c r="G2600" s="54"/>
      <c r="H2600" s="52" t="str">
        <f>IF(AND(I.Compliance.FulfilledCCUS&gt;0,I.CCUS.RangeCount&gt;=528,F2600=""),"Incomplete","Complete")</f>
        <v>Complete</v>
      </c>
      <c r="I2600" s="55" t="s">
        <v>2797</v>
      </c>
    </row>
    <row r="2601" spans="2:9" ht="15" customHeight="1" x14ac:dyDescent="0.25">
      <c r="B2601" s="51" t="s">
        <v>126</v>
      </c>
      <c r="C2601" s="52">
        <v>529</v>
      </c>
      <c r="D2601" s="53" t="s">
        <v>4329</v>
      </c>
      <c r="E2601" s="54"/>
      <c r="F2601" s="52" t="str">
        <f>IF(INDEX(I.CCUS.StartRange,529)="","",INDEX(I.CCUS.StartRange,529))</f>
        <v/>
      </c>
      <c r="G2601" s="54"/>
      <c r="H2601" s="52" t="str">
        <f>IF(AND(I.Compliance.FulfilledCCUS&gt;0,I.CCUS.RangeCount&gt;=529,F2601=""),"Incomplete","Complete")</f>
        <v>Complete</v>
      </c>
      <c r="I2601" s="55" t="s">
        <v>2798</v>
      </c>
    </row>
    <row r="2602" spans="2:9" ht="15" customHeight="1" x14ac:dyDescent="0.25">
      <c r="B2602" s="51" t="s">
        <v>126</v>
      </c>
      <c r="C2602" s="52">
        <v>530</v>
      </c>
      <c r="D2602" s="53" t="s">
        <v>4329</v>
      </c>
      <c r="E2602" s="54"/>
      <c r="F2602" s="52" t="str">
        <f>IF(INDEX(I.CCUS.StartRange,530)="","",INDEX(I.CCUS.StartRange,530))</f>
        <v/>
      </c>
      <c r="G2602" s="54"/>
      <c r="H2602" s="52" t="str">
        <f>IF(AND(I.Compliance.FulfilledCCUS&gt;0,I.CCUS.RangeCount&gt;=530,F2602=""),"Incomplete","Complete")</f>
        <v>Complete</v>
      </c>
      <c r="I2602" s="55" t="s">
        <v>2799</v>
      </c>
    </row>
    <row r="2603" spans="2:9" ht="15" customHeight="1" x14ac:dyDescent="0.25">
      <c r="B2603" s="51" t="s">
        <v>126</v>
      </c>
      <c r="C2603" s="52">
        <v>531</v>
      </c>
      <c r="D2603" s="53" t="s">
        <v>4329</v>
      </c>
      <c r="E2603" s="54"/>
      <c r="F2603" s="52" t="str">
        <f>IF(INDEX(I.CCUS.StartRange,531)="","",INDEX(I.CCUS.StartRange,531))</f>
        <v/>
      </c>
      <c r="G2603" s="54"/>
      <c r="H2603" s="52" t="str">
        <f>IF(AND(I.Compliance.FulfilledCCUS&gt;0,I.CCUS.RangeCount&gt;=531,F2603=""),"Incomplete","Complete")</f>
        <v>Complete</v>
      </c>
      <c r="I2603" s="55" t="s">
        <v>2800</v>
      </c>
    </row>
    <row r="2604" spans="2:9" ht="15" customHeight="1" x14ac:dyDescent="0.25">
      <c r="B2604" s="51" t="s">
        <v>126</v>
      </c>
      <c r="C2604" s="52">
        <v>532</v>
      </c>
      <c r="D2604" s="53" t="s">
        <v>4329</v>
      </c>
      <c r="E2604" s="54"/>
      <c r="F2604" s="52" t="str">
        <f>IF(INDEX(I.CCUS.StartRange,532)="","",INDEX(I.CCUS.StartRange,532))</f>
        <v/>
      </c>
      <c r="G2604" s="54"/>
      <c r="H2604" s="52" t="str">
        <f>IF(AND(I.Compliance.FulfilledCCUS&gt;0,I.CCUS.RangeCount&gt;=532,F2604=""),"Incomplete","Complete")</f>
        <v>Complete</v>
      </c>
      <c r="I2604" s="55" t="s">
        <v>2801</v>
      </c>
    </row>
    <row r="2605" spans="2:9" ht="15" customHeight="1" x14ac:dyDescent="0.25">
      <c r="B2605" s="51" t="s">
        <v>126</v>
      </c>
      <c r="C2605" s="52">
        <v>533</v>
      </c>
      <c r="D2605" s="53" t="s">
        <v>4329</v>
      </c>
      <c r="E2605" s="54"/>
      <c r="F2605" s="52" t="str">
        <f>IF(INDEX(I.CCUS.StartRange,533)="","",INDEX(I.CCUS.StartRange,533))</f>
        <v/>
      </c>
      <c r="G2605" s="54"/>
      <c r="H2605" s="52" t="str">
        <f>IF(AND(I.Compliance.FulfilledCCUS&gt;0,I.CCUS.RangeCount&gt;=533,F2605=""),"Incomplete","Complete")</f>
        <v>Complete</v>
      </c>
      <c r="I2605" s="55" t="s">
        <v>2802</v>
      </c>
    </row>
    <row r="2606" spans="2:9" ht="15" customHeight="1" x14ac:dyDescent="0.25">
      <c r="B2606" s="51" t="s">
        <v>126</v>
      </c>
      <c r="C2606" s="52">
        <v>534</v>
      </c>
      <c r="D2606" s="53" t="s">
        <v>4329</v>
      </c>
      <c r="E2606" s="54"/>
      <c r="F2606" s="52" t="str">
        <f>IF(INDEX(I.CCUS.StartRange,534)="","",INDEX(I.CCUS.StartRange,534))</f>
        <v/>
      </c>
      <c r="G2606" s="54"/>
      <c r="H2606" s="52" t="str">
        <f>IF(AND(I.Compliance.FulfilledCCUS&gt;0,I.CCUS.RangeCount&gt;=534,F2606=""),"Incomplete","Complete")</f>
        <v>Complete</v>
      </c>
      <c r="I2606" s="55" t="s">
        <v>2803</v>
      </c>
    </row>
    <row r="2607" spans="2:9" ht="15" customHeight="1" x14ac:dyDescent="0.25">
      <c r="B2607" s="51" t="s">
        <v>126</v>
      </c>
      <c r="C2607" s="52">
        <v>535</v>
      </c>
      <c r="D2607" s="53" t="s">
        <v>4329</v>
      </c>
      <c r="E2607" s="54"/>
      <c r="F2607" s="52" t="str">
        <f>IF(INDEX(I.CCUS.StartRange,535)="","",INDEX(I.CCUS.StartRange,535))</f>
        <v/>
      </c>
      <c r="G2607" s="54"/>
      <c r="H2607" s="52" t="str">
        <f>IF(AND(I.Compliance.FulfilledCCUS&gt;0,I.CCUS.RangeCount&gt;=535,F2607=""),"Incomplete","Complete")</f>
        <v>Complete</v>
      </c>
      <c r="I2607" s="55" t="s">
        <v>2804</v>
      </c>
    </row>
    <row r="2608" spans="2:9" ht="15" customHeight="1" x14ac:dyDescent="0.25">
      <c r="B2608" s="51" t="s">
        <v>126</v>
      </c>
      <c r="C2608" s="52">
        <v>536</v>
      </c>
      <c r="D2608" s="53" t="s">
        <v>4329</v>
      </c>
      <c r="E2608" s="54"/>
      <c r="F2608" s="52" t="str">
        <f>IF(INDEX(I.CCUS.StartRange,536)="","",INDEX(I.CCUS.StartRange,536))</f>
        <v/>
      </c>
      <c r="G2608" s="54"/>
      <c r="H2608" s="52" t="str">
        <f>IF(AND(I.Compliance.FulfilledCCUS&gt;0,I.CCUS.RangeCount&gt;=536,F2608=""),"Incomplete","Complete")</f>
        <v>Complete</v>
      </c>
      <c r="I2608" s="55" t="s">
        <v>2805</v>
      </c>
    </row>
    <row r="2609" spans="2:9" ht="15" customHeight="1" x14ac:dyDescent="0.25">
      <c r="B2609" s="51" t="s">
        <v>126</v>
      </c>
      <c r="C2609" s="52">
        <v>537</v>
      </c>
      <c r="D2609" s="53" t="s">
        <v>4329</v>
      </c>
      <c r="E2609" s="54"/>
      <c r="F2609" s="52" t="str">
        <f>IF(INDEX(I.CCUS.StartRange,537)="","",INDEX(I.CCUS.StartRange,537))</f>
        <v/>
      </c>
      <c r="G2609" s="54"/>
      <c r="H2609" s="52" t="str">
        <f>IF(AND(I.Compliance.FulfilledCCUS&gt;0,I.CCUS.RangeCount&gt;=537,F2609=""),"Incomplete","Complete")</f>
        <v>Complete</v>
      </c>
      <c r="I2609" s="55" t="s">
        <v>2806</v>
      </c>
    </row>
    <row r="2610" spans="2:9" ht="15" customHeight="1" x14ac:dyDescent="0.25">
      <c r="B2610" s="51" t="s">
        <v>126</v>
      </c>
      <c r="C2610" s="52">
        <v>538</v>
      </c>
      <c r="D2610" s="53" t="s">
        <v>4329</v>
      </c>
      <c r="E2610" s="54"/>
      <c r="F2610" s="52" t="str">
        <f>IF(INDEX(I.CCUS.StartRange,538)="","",INDEX(I.CCUS.StartRange,538))</f>
        <v/>
      </c>
      <c r="G2610" s="54"/>
      <c r="H2610" s="52" t="str">
        <f>IF(AND(I.Compliance.FulfilledCCUS&gt;0,I.CCUS.RangeCount&gt;=538,F2610=""),"Incomplete","Complete")</f>
        <v>Complete</v>
      </c>
      <c r="I2610" s="55" t="s">
        <v>2807</v>
      </c>
    </row>
    <row r="2611" spans="2:9" ht="15" customHeight="1" x14ac:dyDescent="0.25">
      <c r="B2611" s="51" t="s">
        <v>126</v>
      </c>
      <c r="C2611" s="52">
        <v>539</v>
      </c>
      <c r="D2611" s="53" t="s">
        <v>4329</v>
      </c>
      <c r="E2611" s="54"/>
      <c r="F2611" s="52" t="str">
        <f>IF(INDEX(I.CCUS.StartRange,539)="","",INDEX(I.CCUS.StartRange,539))</f>
        <v/>
      </c>
      <c r="G2611" s="54"/>
      <c r="H2611" s="52" t="str">
        <f>IF(AND(I.Compliance.FulfilledCCUS&gt;0,I.CCUS.RangeCount&gt;=539,F2611=""),"Incomplete","Complete")</f>
        <v>Complete</v>
      </c>
      <c r="I2611" s="55" t="s">
        <v>2808</v>
      </c>
    </row>
    <row r="2612" spans="2:9" ht="15" customHeight="1" x14ac:dyDescent="0.25">
      <c r="B2612" s="51" t="s">
        <v>126</v>
      </c>
      <c r="C2612" s="52">
        <v>540</v>
      </c>
      <c r="D2612" s="53" t="s">
        <v>4329</v>
      </c>
      <c r="E2612" s="54"/>
      <c r="F2612" s="52" t="str">
        <f>IF(INDEX(I.CCUS.StartRange,540)="","",INDEX(I.CCUS.StartRange,540))</f>
        <v/>
      </c>
      <c r="G2612" s="54"/>
      <c r="H2612" s="52" t="str">
        <f>IF(AND(I.Compliance.FulfilledCCUS&gt;0,I.CCUS.RangeCount&gt;=540,F2612=""),"Incomplete","Complete")</f>
        <v>Complete</v>
      </c>
      <c r="I2612" s="55" t="s">
        <v>2809</v>
      </c>
    </row>
    <row r="2613" spans="2:9" ht="15" customHeight="1" x14ac:dyDescent="0.25">
      <c r="B2613" s="51" t="s">
        <v>126</v>
      </c>
      <c r="C2613" s="52">
        <v>541</v>
      </c>
      <c r="D2613" s="53" t="s">
        <v>4329</v>
      </c>
      <c r="E2613" s="54"/>
      <c r="F2613" s="52" t="str">
        <f>IF(INDEX(I.CCUS.StartRange,541)="","",INDEX(I.CCUS.StartRange,541))</f>
        <v/>
      </c>
      <c r="G2613" s="54"/>
      <c r="H2613" s="52" t="str">
        <f>IF(AND(I.Compliance.FulfilledCCUS&gt;0,I.CCUS.RangeCount&gt;=541,F2613=""),"Incomplete","Complete")</f>
        <v>Complete</v>
      </c>
      <c r="I2613" s="55" t="s">
        <v>2810</v>
      </c>
    </row>
    <row r="2614" spans="2:9" ht="15" customHeight="1" x14ac:dyDescent="0.25">
      <c r="B2614" s="51" t="s">
        <v>126</v>
      </c>
      <c r="C2614" s="52">
        <v>542</v>
      </c>
      <c r="D2614" s="53" t="s">
        <v>4329</v>
      </c>
      <c r="E2614" s="54"/>
      <c r="F2614" s="52" t="str">
        <f>IF(INDEX(I.CCUS.StartRange,542)="","",INDEX(I.CCUS.StartRange,542))</f>
        <v/>
      </c>
      <c r="G2614" s="54"/>
      <c r="H2614" s="52" t="str">
        <f>IF(AND(I.Compliance.FulfilledCCUS&gt;0,I.CCUS.RangeCount&gt;=542,F2614=""),"Incomplete","Complete")</f>
        <v>Complete</v>
      </c>
      <c r="I2614" s="55" t="s">
        <v>2811</v>
      </c>
    </row>
    <row r="2615" spans="2:9" ht="15" customHeight="1" x14ac:dyDescent="0.25">
      <c r="B2615" s="51" t="s">
        <v>126</v>
      </c>
      <c r="C2615" s="52">
        <v>543</v>
      </c>
      <c r="D2615" s="53" t="s">
        <v>4329</v>
      </c>
      <c r="E2615" s="54"/>
      <c r="F2615" s="52" t="str">
        <f>IF(INDEX(I.CCUS.StartRange,543)="","",INDEX(I.CCUS.StartRange,543))</f>
        <v/>
      </c>
      <c r="G2615" s="54"/>
      <c r="H2615" s="52" t="str">
        <f>IF(AND(I.Compliance.FulfilledCCUS&gt;0,I.CCUS.RangeCount&gt;=543,F2615=""),"Incomplete","Complete")</f>
        <v>Complete</v>
      </c>
      <c r="I2615" s="55" t="s">
        <v>2812</v>
      </c>
    </row>
    <row r="2616" spans="2:9" ht="15" customHeight="1" x14ac:dyDescent="0.25">
      <c r="B2616" s="51" t="s">
        <v>126</v>
      </c>
      <c r="C2616" s="52">
        <v>544</v>
      </c>
      <c r="D2616" s="53" t="s">
        <v>4329</v>
      </c>
      <c r="E2616" s="54"/>
      <c r="F2616" s="52" t="str">
        <f>IF(INDEX(I.CCUS.StartRange,544)="","",INDEX(I.CCUS.StartRange,544))</f>
        <v/>
      </c>
      <c r="G2616" s="54"/>
      <c r="H2616" s="52" t="str">
        <f>IF(AND(I.Compliance.FulfilledCCUS&gt;0,I.CCUS.RangeCount&gt;=544,F2616=""),"Incomplete","Complete")</f>
        <v>Complete</v>
      </c>
      <c r="I2616" s="55" t="s">
        <v>2813</v>
      </c>
    </row>
    <row r="2617" spans="2:9" ht="15" customHeight="1" x14ac:dyDescent="0.25">
      <c r="B2617" s="51" t="s">
        <v>126</v>
      </c>
      <c r="C2617" s="52">
        <v>545</v>
      </c>
      <c r="D2617" s="53" t="s">
        <v>4329</v>
      </c>
      <c r="E2617" s="54"/>
      <c r="F2617" s="52" t="str">
        <f>IF(INDEX(I.CCUS.StartRange,545)="","",INDEX(I.CCUS.StartRange,545))</f>
        <v/>
      </c>
      <c r="G2617" s="54"/>
      <c r="H2617" s="52" t="str">
        <f>IF(AND(I.Compliance.FulfilledCCUS&gt;0,I.CCUS.RangeCount&gt;=545,F2617=""),"Incomplete","Complete")</f>
        <v>Complete</v>
      </c>
      <c r="I2617" s="55" t="s">
        <v>2814</v>
      </c>
    </row>
    <row r="2618" spans="2:9" ht="15" customHeight="1" x14ac:dyDescent="0.25">
      <c r="B2618" s="51" t="s">
        <v>126</v>
      </c>
      <c r="C2618" s="52">
        <v>546</v>
      </c>
      <c r="D2618" s="53" t="s">
        <v>4329</v>
      </c>
      <c r="E2618" s="54"/>
      <c r="F2618" s="52" t="str">
        <f>IF(INDEX(I.CCUS.StartRange,546)="","",INDEX(I.CCUS.StartRange,546))</f>
        <v/>
      </c>
      <c r="G2618" s="54"/>
      <c r="H2618" s="52" t="str">
        <f>IF(AND(I.Compliance.FulfilledCCUS&gt;0,I.CCUS.RangeCount&gt;=546,F2618=""),"Incomplete","Complete")</f>
        <v>Complete</v>
      </c>
      <c r="I2618" s="55" t="s">
        <v>2815</v>
      </c>
    </row>
    <row r="2619" spans="2:9" ht="15" customHeight="1" x14ac:dyDescent="0.25">
      <c r="B2619" s="51" t="s">
        <v>126</v>
      </c>
      <c r="C2619" s="52">
        <v>547</v>
      </c>
      <c r="D2619" s="53" t="s">
        <v>4329</v>
      </c>
      <c r="E2619" s="54"/>
      <c r="F2619" s="52" t="str">
        <f>IF(INDEX(I.CCUS.StartRange,547)="","",INDEX(I.CCUS.StartRange,547))</f>
        <v/>
      </c>
      <c r="G2619" s="54"/>
      <c r="H2619" s="52" t="str">
        <f>IF(AND(I.Compliance.FulfilledCCUS&gt;0,I.CCUS.RangeCount&gt;=547,F2619=""),"Incomplete","Complete")</f>
        <v>Complete</v>
      </c>
      <c r="I2619" s="55" t="s">
        <v>2816</v>
      </c>
    </row>
    <row r="2620" spans="2:9" ht="15" customHeight="1" x14ac:dyDescent="0.25">
      <c r="B2620" s="51" t="s">
        <v>126</v>
      </c>
      <c r="C2620" s="52">
        <v>548</v>
      </c>
      <c r="D2620" s="53" t="s">
        <v>4329</v>
      </c>
      <c r="E2620" s="54"/>
      <c r="F2620" s="52" t="str">
        <f>IF(INDEX(I.CCUS.StartRange,548)="","",INDEX(I.CCUS.StartRange,548))</f>
        <v/>
      </c>
      <c r="G2620" s="54"/>
      <c r="H2620" s="52" t="str">
        <f>IF(AND(I.Compliance.FulfilledCCUS&gt;0,I.CCUS.RangeCount&gt;=548,F2620=""),"Incomplete","Complete")</f>
        <v>Complete</v>
      </c>
      <c r="I2620" s="55" t="s">
        <v>2817</v>
      </c>
    </row>
    <row r="2621" spans="2:9" ht="15" customHeight="1" x14ac:dyDescent="0.25">
      <c r="B2621" s="51" t="s">
        <v>126</v>
      </c>
      <c r="C2621" s="52">
        <v>549</v>
      </c>
      <c r="D2621" s="53" t="s">
        <v>4329</v>
      </c>
      <c r="E2621" s="54"/>
      <c r="F2621" s="52" t="str">
        <f>IF(INDEX(I.CCUS.StartRange,549)="","",INDEX(I.CCUS.StartRange,549))</f>
        <v/>
      </c>
      <c r="G2621" s="54"/>
      <c r="H2621" s="52" t="str">
        <f>IF(AND(I.Compliance.FulfilledCCUS&gt;0,I.CCUS.RangeCount&gt;=549,F2621=""),"Incomplete","Complete")</f>
        <v>Complete</v>
      </c>
      <c r="I2621" s="55" t="s">
        <v>2818</v>
      </c>
    </row>
    <row r="2622" spans="2:9" ht="15" customHeight="1" x14ac:dyDescent="0.25">
      <c r="B2622" s="51" t="s">
        <v>126</v>
      </c>
      <c r="C2622" s="52">
        <v>550</v>
      </c>
      <c r="D2622" s="53" t="s">
        <v>4329</v>
      </c>
      <c r="E2622" s="54"/>
      <c r="F2622" s="52" t="str">
        <f>IF(INDEX(I.CCUS.StartRange,550)="","",INDEX(I.CCUS.StartRange,550))</f>
        <v/>
      </c>
      <c r="G2622" s="54"/>
      <c r="H2622" s="52" t="str">
        <f>IF(AND(I.Compliance.FulfilledCCUS&gt;0,I.CCUS.RangeCount&gt;=550,F2622=""),"Incomplete","Complete")</f>
        <v>Complete</v>
      </c>
      <c r="I2622" s="55" t="s">
        <v>2819</v>
      </c>
    </row>
    <row r="2623" spans="2:9" ht="15" customHeight="1" x14ac:dyDescent="0.25">
      <c r="B2623" s="51" t="s">
        <v>126</v>
      </c>
      <c r="C2623" s="52">
        <v>551</v>
      </c>
      <c r="D2623" s="53" t="s">
        <v>4329</v>
      </c>
      <c r="E2623" s="54"/>
      <c r="F2623" s="52" t="str">
        <f>IF(INDEX(I.CCUS.StartRange,551)="","",INDEX(I.CCUS.StartRange,551))</f>
        <v/>
      </c>
      <c r="G2623" s="54"/>
      <c r="H2623" s="52" t="str">
        <f>IF(AND(I.Compliance.FulfilledCCUS&gt;0,I.CCUS.RangeCount&gt;=551,F2623=""),"Incomplete","Complete")</f>
        <v>Complete</v>
      </c>
      <c r="I2623" s="55" t="s">
        <v>2820</v>
      </c>
    </row>
    <row r="2624" spans="2:9" ht="15" customHeight="1" x14ac:dyDescent="0.25">
      <c r="B2624" s="51" t="s">
        <v>126</v>
      </c>
      <c r="C2624" s="52">
        <v>552</v>
      </c>
      <c r="D2624" s="53" t="s">
        <v>4329</v>
      </c>
      <c r="E2624" s="54"/>
      <c r="F2624" s="52" t="str">
        <f>IF(INDEX(I.CCUS.StartRange,552)="","",INDEX(I.CCUS.StartRange,552))</f>
        <v/>
      </c>
      <c r="G2624" s="54"/>
      <c r="H2624" s="52" t="str">
        <f>IF(AND(I.Compliance.FulfilledCCUS&gt;0,I.CCUS.RangeCount&gt;=552,F2624=""),"Incomplete","Complete")</f>
        <v>Complete</v>
      </c>
      <c r="I2624" s="55" t="s">
        <v>2821</v>
      </c>
    </row>
    <row r="2625" spans="2:9" ht="15" customHeight="1" x14ac:dyDescent="0.25">
      <c r="B2625" s="51" t="s">
        <v>126</v>
      </c>
      <c r="C2625" s="52">
        <v>553</v>
      </c>
      <c r="D2625" s="53" t="s">
        <v>4329</v>
      </c>
      <c r="E2625" s="54"/>
      <c r="F2625" s="52" t="str">
        <f>IF(INDEX(I.CCUS.StartRange,553)="","",INDEX(I.CCUS.StartRange,553))</f>
        <v/>
      </c>
      <c r="G2625" s="54"/>
      <c r="H2625" s="52" t="str">
        <f>IF(AND(I.Compliance.FulfilledCCUS&gt;0,I.CCUS.RangeCount&gt;=553,F2625=""),"Incomplete","Complete")</f>
        <v>Complete</v>
      </c>
      <c r="I2625" s="55" t="s">
        <v>2822</v>
      </c>
    </row>
    <row r="2626" spans="2:9" ht="15" customHeight="1" x14ac:dyDescent="0.25">
      <c r="B2626" s="51" t="s">
        <v>126</v>
      </c>
      <c r="C2626" s="52">
        <v>554</v>
      </c>
      <c r="D2626" s="53" t="s">
        <v>4329</v>
      </c>
      <c r="E2626" s="54"/>
      <c r="F2626" s="52" t="str">
        <f>IF(INDEX(I.CCUS.StartRange,554)="","",INDEX(I.CCUS.StartRange,554))</f>
        <v/>
      </c>
      <c r="G2626" s="54"/>
      <c r="H2626" s="52" t="str">
        <f>IF(AND(I.Compliance.FulfilledCCUS&gt;0,I.CCUS.RangeCount&gt;=554,F2626=""),"Incomplete","Complete")</f>
        <v>Complete</v>
      </c>
      <c r="I2626" s="55" t="s">
        <v>2823</v>
      </c>
    </row>
    <row r="2627" spans="2:9" ht="15" customHeight="1" x14ac:dyDescent="0.25">
      <c r="B2627" s="51" t="s">
        <v>126</v>
      </c>
      <c r="C2627" s="52">
        <v>555</v>
      </c>
      <c r="D2627" s="53" t="s">
        <v>4329</v>
      </c>
      <c r="E2627" s="54"/>
      <c r="F2627" s="52" t="str">
        <f>IF(INDEX(I.CCUS.StartRange,555)="","",INDEX(I.CCUS.StartRange,555))</f>
        <v/>
      </c>
      <c r="G2627" s="54"/>
      <c r="H2627" s="52" t="str">
        <f>IF(AND(I.Compliance.FulfilledCCUS&gt;0,I.CCUS.RangeCount&gt;=555,F2627=""),"Incomplete","Complete")</f>
        <v>Complete</v>
      </c>
      <c r="I2627" s="55" t="s">
        <v>2824</v>
      </c>
    </row>
    <row r="2628" spans="2:9" ht="15" customHeight="1" x14ac:dyDescent="0.25">
      <c r="B2628" s="51" t="s">
        <v>126</v>
      </c>
      <c r="C2628" s="52">
        <v>556</v>
      </c>
      <c r="D2628" s="53" t="s">
        <v>4329</v>
      </c>
      <c r="E2628" s="54"/>
      <c r="F2628" s="52" t="str">
        <f>IF(INDEX(I.CCUS.StartRange,556)="","",INDEX(I.CCUS.StartRange,556))</f>
        <v/>
      </c>
      <c r="G2628" s="54"/>
      <c r="H2628" s="52" t="str">
        <f>IF(AND(I.Compliance.FulfilledCCUS&gt;0,I.CCUS.RangeCount&gt;=556,F2628=""),"Incomplete","Complete")</f>
        <v>Complete</v>
      </c>
      <c r="I2628" s="55" t="s">
        <v>2825</v>
      </c>
    </row>
    <row r="2629" spans="2:9" ht="15" customHeight="1" x14ac:dyDescent="0.25">
      <c r="B2629" s="51" t="s">
        <v>126</v>
      </c>
      <c r="C2629" s="52">
        <v>557</v>
      </c>
      <c r="D2629" s="53" t="s">
        <v>4329</v>
      </c>
      <c r="E2629" s="54"/>
      <c r="F2629" s="52" t="str">
        <f>IF(INDEX(I.CCUS.StartRange,557)="","",INDEX(I.CCUS.StartRange,557))</f>
        <v/>
      </c>
      <c r="G2629" s="54"/>
      <c r="H2629" s="52" t="str">
        <f>IF(AND(I.Compliance.FulfilledCCUS&gt;0,I.CCUS.RangeCount&gt;=557,F2629=""),"Incomplete","Complete")</f>
        <v>Complete</v>
      </c>
      <c r="I2629" s="55" t="s">
        <v>2826</v>
      </c>
    </row>
    <row r="2630" spans="2:9" ht="15" customHeight="1" x14ac:dyDescent="0.25">
      <c r="B2630" s="51" t="s">
        <v>126</v>
      </c>
      <c r="C2630" s="52">
        <v>558</v>
      </c>
      <c r="D2630" s="53" t="s">
        <v>4329</v>
      </c>
      <c r="E2630" s="54"/>
      <c r="F2630" s="52" t="str">
        <f>IF(INDEX(I.CCUS.StartRange,558)="","",INDEX(I.CCUS.StartRange,558))</f>
        <v/>
      </c>
      <c r="G2630" s="54"/>
      <c r="H2630" s="52" t="str">
        <f>IF(AND(I.Compliance.FulfilledCCUS&gt;0,I.CCUS.RangeCount&gt;=558,F2630=""),"Incomplete","Complete")</f>
        <v>Complete</v>
      </c>
      <c r="I2630" s="55" t="s">
        <v>2827</v>
      </c>
    </row>
    <row r="2631" spans="2:9" ht="15" customHeight="1" x14ac:dyDescent="0.25">
      <c r="B2631" s="51" t="s">
        <v>126</v>
      </c>
      <c r="C2631" s="52">
        <v>559</v>
      </c>
      <c r="D2631" s="53" t="s">
        <v>4329</v>
      </c>
      <c r="E2631" s="54"/>
      <c r="F2631" s="52" t="str">
        <f>IF(INDEX(I.CCUS.StartRange,559)="","",INDEX(I.CCUS.StartRange,559))</f>
        <v/>
      </c>
      <c r="G2631" s="54"/>
      <c r="H2631" s="52" t="str">
        <f>IF(AND(I.Compliance.FulfilledCCUS&gt;0,I.CCUS.RangeCount&gt;=559,F2631=""),"Incomplete","Complete")</f>
        <v>Complete</v>
      </c>
      <c r="I2631" s="55" t="s">
        <v>2828</v>
      </c>
    </row>
    <row r="2632" spans="2:9" ht="15" customHeight="1" x14ac:dyDescent="0.25">
      <c r="B2632" s="51" t="s">
        <v>126</v>
      </c>
      <c r="C2632" s="52">
        <v>560</v>
      </c>
      <c r="D2632" s="53" t="s">
        <v>4329</v>
      </c>
      <c r="E2632" s="54"/>
      <c r="F2632" s="52" t="str">
        <f>IF(INDEX(I.CCUS.StartRange,560)="","",INDEX(I.CCUS.StartRange,560))</f>
        <v/>
      </c>
      <c r="G2632" s="54"/>
      <c r="H2632" s="52" t="str">
        <f>IF(AND(I.Compliance.FulfilledCCUS&gt;0,I.CCUS.RangeCount&gt;=560,F2632=""),"Incomplete","Complete")</f>
        <v>Complete</v>
      </c>
      <c r="I2632" s="55" t="s">
        <v>2829</v>
      </c>
    </row>
    <row r="2633" spans="2:9" ht="15" customHeight="1" x14ac:dyDescent="0.25">
      <c r="B2633" s="51" t="s">
        <v>126</v>
      </c>
      <c r="C2633" s="52">
        <v>561</v>
      </c>
      <c r="D2633" s="53" t="s">
        <v>4329</v>
      </c>
      <c r="E2633" s="54"/>
      <c r="F2633" s="52" t="str">
        <f>IF(INDEX(I.CCUS.StartRange,561)="","",INDEX(I.CCUS.StartRange,561))</f>
        <v/>
      </c>
      <c r="G2633" s="54"/>
      <c r="H2633" s="52" t="str">
        <f>IF(AND(I.Compliance.FulfilledCCUS&gt;0,I.CCUS.RangeCount&gt;=561,F2633=""),"Incomplete","Complete")</f>
        <v>Complete</v>
      </c>
      <c r="I2633" s="55" t="s">
        <v>2830</v>
      </c>
    </row>
    <row r="2634" spans="2:9" ht="15" customHeight="1" x14ac:dyDescent="0.25">
      <c r="B2634" s="51" t="s">
        <v>126</v>
      </c>
      <c r="C2634" s="52">
        <v>562</v>
      </c>
      <c r="D2634" s="53" t="s">
        <v>4329</v>
      </c>
      <c r="E2634" s="54"/>
      <c r="F2634" s="52" t="str">
        <f>IF(INDEX(I.CCUS.StartRange,562)="","",INDEX(I.CCUS.StartRange,562))</f>
        <v/>
      </c>
      <c r="G2634" s="54"/>
      <c r="H2634" s="52" t="str">
        <f>IF(AND(I.Compliance.FulfilledCCUS&gt;0,I.CCUS.RangeCount&gt;=562,F2634=""),"Incomplete","Complete")</f>
        <v>Complete</v>
      </c>
      <c r="I2634" s="55" t="s">
        <v>2831</v>
      </c>
    </row>
    <row r="2635" spans="2:9" ht="15" customHeight="1" x14ac:dyDescent="0.25">
      <c r="B2635" s="51" t="s">
        <v>126</v>
      </c>
      <c r="C2635" s="52">
        <v>563</v>
      </c>
      <c r="D2635" s="53" t="s">
        <v>4329</v>
      </c>
      <c r="E2635" s="54"/>
      <c r="F2635" s="52" t="str">
        <f>IF(INDEX(I.CCUS.StartRange,563)="","",INDEX(I.CCUS.StartRange,563))</f>
        <v/>
      </c>
      <c r="G2635" s="54"/>
      <c r="H2635" s="52" t="str">
        <f>IF(AND(I.Compliance.FulfilledCCUS&gt;0,I.CCUS.RangeCount&gt;=563,F2635=""),"Incomplete","Complete")</f>
        <v>Complete</v>
      </c>
      <c r="I2635" s="55" t="s">
        <v>2832</v>
      </c>
    </row>
    <row r="2636" spans="2:9" ht="15" customHeight="1" x14ac:dyDescent="0.25">
      <c r="B2636" s="51" t="s">
        <v>126</v>
      </c>
      <c r="C2636" s="52">
        <v>564</v>
      </c>
      <c r="D2636" s="53" t="s">
        <v>4329</v>
      </c>
      <c r="E2636" s="54"/>
      <c r="F2636" s="52" t="str">
        <f>IF(INDEX(I.CCUS.StartRange,564)="","",INDEX(I.CCUS.StartRange,564))</f>
        <v/>
      </c>
      <c r="G2636" s="54"/>
      <c r="H2636" s="52" t="str">
        <f>IF(AND(I.Compliance.FulfilledCCUS&gt;0,I.CCUS.RangeCount&gt;=564,F2636=""),"Incomplete","Complete")</f>
        <v>Complete</v>
      </c>
      <c r="I2636" s="55" t="s">
        <v>2833</v>
      </c>
    </row>
    <row r="2637" spans="2:9" ht="15" customHeight="1" x14ac:dyDescent="0.25">
      <c r="B2637" s="51" t="s">
        <v>126</v>
      </c>
      <c r="C2637" s="52">
        <v>565</v>
      </c>
      <c r="D2637" s="53" t="s">
        <v>4329</v>
      </c>
      <c r="E2637" s="54"/>
      <c r="F2637" s="52" t="str">
        <f>IF(INDEX(I.CCUS.StartRange,565)="","",INDEX(I.CCUS.StartRange,565))</f>
        <v/>
      </c>
      <c r="G2637" s="54"/>
      <c r="H2637" s="52" t="str">
        <f>IF(AND(I.Compliance.FulfilledCCUS&gt;0,I.CCUS.RangeCount&gt;=565,F2637=""),"Incomplete","Complete")</f>
        <v>Complete</v>
      </c>
      <c r="I2637" s="55" t="s">
        <v>2834</v>
      </c>
    </row>
    <row r="2638" spans="2:9" ht="15" customHeight="1" x14ac:dyDescent="0.25">
      <c r="B2638" s="51" t="s">
        <v>126</v>
      </c>
      <c r="C2638" s="52">
        <v>566</v>
      </c>
      <c r="D2638" s="53" t="s">
        <v>4329</v>
      </c>
      <c r="E2638" s="54"/>
      <c r="F2638" s="52" t="str">
        <f>IF(INDEX(I.CCUS.StartRange,566)="","",INDEX(I.CCUS.StartRange,566))</f>
        <v/>
      </c>
      <c r="G2638" s="54"/>
      <c r="H2638" s="52" t="str">
        <f>IF(AND(I.Compliance.FulfilledCCUS&gt;0,I.CCUS.RangeCount&gt;=566,F2638=""),"Incomplete","Complete")</f>
        <v>Complete</v>
      </c>
      <c r="I2638" s="55" t="s">
        <v>2835</v>
      </c>
    </row>
    <row r="2639" spans="2:9" ht="15" customHeight="1" x14ac:dyDescent="0.25">
      <c r="B2639" s="51" t="s">
        <v>126</v>
      </c>
      <c r="C2639" s="52">
        <v>567</v>
      </c>
      <c r="D2639" s="53" t="s">
        <v>4329</v>
      </c>
      <c r="E2639" s="54"/>
      <c r="F2639" s="52" t="str">
        <f>IF(INDEX(I.CCUS.StartRange,567)="","",INDEX(I.CCUS.StartRange,567))</f>
        <v/>
      </c>
      <c r="G2639" s="54"/>
      <c r="H2639" s="52" t="str">
        <f>IF(AND(I.Compliance.FulfilledCCUS&gt;0,I.CCUS.RangeCount&gt;=567,F2639=""),"Incomplete","Complete")</f>
        <v>Complete</v>
      </c>
      <c r="I2639" s="55" t="s">
        <v>2836</v>
      </c>
    </row>
    <row r="2640" spans="2:9" ht="15" customHeight="1" x14ac:dyDescent="0.25">
      <c r="B2640" s="51" t="s">
        <v>126</v>
      </c>
      <c r="C2640" s="52">
        <v>568</v>
      </c>
      <c r="D2640" s="53" t="s">
        <v>4329</v>
      </c>
      <c r="E2640" s="54"/>
      <c r="F2640" s="52" t="str">
        <f>IF(INDEX(I.CCUS.StartRange,568)="","",INDEX(I.CCUS.StartRange,568))</f>
        <v/>
      </c>
      <c r="G2640" s="54"/>
      <c r="H2640" s="52" t="str">
        <f>IF(AND(I.Compliance.FulfilledCCUS&gt;0,I.CCUS.RangeCount&gt;=568,F2640=""),"Incomplete","Complete")</f>
        <v>Complete</v>
      </c>
      <c r="I2640" s="55" t="s">
        <v>2837</v>
      </c>
    </row>
    <row r="2641" spans="2:9" ht="15" customHeight="1" x14ac:dyDescent="0.25">
      <c r="B2641" s="51" t="s">
        <v>126</v>
      </c>
      <c r="C2641" s="52">
        <v>569</v>
      </c>
      <c r="D2641" s="53" t="s">
        <v>4329</v>
      </c>
      <c r="E2641" s="54"/>
      <c r="F2641" s="52" t="str">
        <f>IF(INDEX(I.CCUS.StartRange,569)="","",INDEX(I.CCUS.StartRange,569))</f>
        <v/>
      </c>
      <c r="G2641" s="54"/>
      <c r="H2641" s="52" t="str">
        <f>IF(AND(I.Compliance.FulfilledCCUS&gt;0,I.CCUS.RangeCount&gt;=569,F2641=""),"Incomplete","Complete")</f>
        <v>Complete</v>
      </c>
      <c r="I2641" s="55" t="s">
        <v>2838</v>
      </c>
    </row>
    <row r="2642" spans="2:9" ht="15" customHeight="1" x14ac:dyDescent="0.25">
      <c r="B2642" s="51" t="s">
        <v>126</v>
      </c>
      <c r="C2642" s="52">
        <v>570</v>
      </c>
      <c r="D2642" s="53" t="s">
        <v>4329</v>
      </c>
      <c r="E2642" s="54"/>
      <c r="F2642" s="52" t="str">
        <f>IF(INDEX(I.CCUS.StartRange,570)="","",INDEX(I.CCUS.StartRange,570))</f>
        <v/>
      </c>
      <c r="G2642" s="54"/>
      <c r="H2642" s="52" t="str">
        <f>IF(AND(I.Compliance.FulfilledCCUS&gt;0,I.CCUS.RangeCount&gt;=570,F2642=""),"Incomplete","Complete")</f>
        <v>Complete</v>
      </c>
      <c r="I2642" s="55" t="s">
        <v>2839</v>
      </c>
    </row>
    <row r="2643" spans="2:9" ht="15" customHeight="1" x14ac:dyDescent="0.25">
      <c r="B2643" s="51" t="s">
        <v>126</v>
      </c>
      <c r="C2643" s="52">
        <v>571</v>
      </c>
      <c r="D2643" s="53" t="s">
        <v>4329</v>
      </c>
      <c r="E2643" s="54"/>
      <c r="F2643" s="52" t="str">
        <f>IF(INDEX(I.CCUS.StartRange,571)="","",INDEX(I.CCUS.StartRange,571))</f>
        <v/>
      </c>
      <c r="G2643" s="54"/>
      <c r="H2643" s="52" t="str">
        <f>IF(AND(I.Compliance.FulfilledCCUS&gt;0,I.CCUS.RangeCount&gt;=571,F2643=""),"Incomplete","Complete")</f>
        <v>Complete</v>
      </c>
      <c r="I2643" s="55" t="s">
        <v>2840</v>
      </c>
    </row>
    <row r="2644" spans="2:9" ht="15" customHeight="1" x14ac:dyDescent="0.25">
      <c r="B2644" s="51" t="s">
        <v>126</v>
      </c>
      <c r="C2644" s="52">
        <v>572</v>
      </c>
      <c r="D2644" s="53" t="s">
        <v>4329</v>
      </c>
      <c r="E2644" s="54"/>
      <c r="F2644" s="52" t="str">
        <f>IF(INDEX(I.CCUS.StartRange,572)="","",INDEX(I.CCUS.StartRange,572))</f>
        <v/>
      </c>
      <c r="G2644" s="54"/>
      <c r="H2644" s="52" t="str">
        <f>IF(AND(I.Compliance.FulfilledCCUS&gt;0,I.CCUS.RangeCount&gt;=572,F2644=""),"Incomplete","Complete")</f>
        <v>Complete</v>
      </c>
      <c r="I2644" s="55" t="s">
        <v>2841</v>
      </c>
    </row>
    <row r="2645" spans="2:9" ht="15" customHeight="1" x14ac:dyDescent="0.25">
      <c r="B2645" s="51" t="s">
        <v>126</v>
      </c>
      <c r="C2645" s="52">
        <v>573</v>
      </c>
      <c r="D2645" s="53" t="s">
        <v>4329</v>
      </c>
      <c r="E2645" s="54"/>
      <c r="F2645" s="52" t="str">
        <f>IF(INDEX(I.CCUS.StartRange,573)="","",INDEX(I.CCUS.StartRange,573))</f>
        <v/>
      </c>
      <c r="G2645" s="54"/>
      <c r="H2645" s="52" t="str">
        <f>IF(AND(I.Compliance.FulfilledCCUS&gt;0,I.CCUS.RangeCount&gt;=573,F2645=""),"Incomplete","Complete")</f>
        <v>Complete</v>
      </c>
      <c r="I2645" s="55" t="s">
        <v>2842</v>
      </c>
    </row>
    <row r="2646" spans="2:9" ht="15" customHeight="1" x14ac:dyDescent="0.25">
      <c r="B2646" s="51" t="s">
        <v>126</v>
      </c>
      <c r="C2646" s="52">
        <v>574</v>
      </c>
      <c r="D2646" s="53" t="s">
        <v>4329</v>
      </c>
      <c r="E2646" s="54"/>
      <c r="F2646" s="52" t="str">
        <f>IF(INDEX(I.CCUS.StartRange,574)="","",INDEX(I.CCUS.StartRange,574))</f>
        <v/>
      </c>
      <c r="G2646" s="54"/>
      <c r="H2646" s="52" t="str">
        <f>IF(AND(I.Compliance.FulfilledCCUS&gt;0,I.CCUS.RangeCount&gt;=574,F2646=""),"Incomplete","Complete")</f>
        <v>Complete</v>
      </c>
      <c r="I2646" s="55" t="s">
        <v>2843</v>
      </c>
    </row>
    <row r="2647" spans="2:9" ht="15" customHeight="1" x14ac:dyDescent="0.25">
      <c r="B2647" s="51" t="s">
        <v>126</v>
      </c>
      <c r="C2647" s="52">
        <v>575</v>
      </c>
      <c r="D2647" s="53" t="s">
        <v>4329</v>
      </c>
      <c r="E2647" s="54"/>
      <c r="F2647" s="52" t="str">
        <f>IF(INDEX(I.CCUS.StartRange,575)="","",INDEX(I.CCUS.StartRange,575))</f>
        <v/>
      </c>
      <c r="G2647" s="54"/>
      <c r="H2647" s="52" t="str">
        <f>IF(AND(I.Compliance.FulfilledCCUS&gt;0,I.CCUS.RangeCount&gt;=575,F2647=""),"Incomplete","Complete")</f>
        <v>Complete</v>
      </c>
      <c r="I2647" s="55" t="s">
        <v>2844</v>
      </c>
    </row>
    <row r="2648" spans="2:9" ht="15" customHeight="1" x14ac:dyDescent="0.25">
      <c r="B2648" s="51" t="s">
        <v>126</v>
      </c>
      <c r="C2648" s="52">
        <v>576</v>
      </c>
      <c r="D2648" s="53" t="s">
        <v>4329</v>
      </c>
      <c r="E2648" s="54"/>
      <c r="F2648" s="52" t="str">
        <f>IF(INDEX(I.CCUS.StartRange,576)="","",INDEX(I.CCUS.StartRange,576))</f>
        <v/>
      </c>
      <c r="G2648" s="54"/>
      <c r="H2648" s="52" t="str">
        <f>IF(AND(I.Compliance.FulfilledCCUS&gt;0,I.CCUS.RangeCount&gt;=576,F2648=""),"Incomplete","Complete")</f>
        <v>Complete</v>
      </c>
      <c r="I2648" s="55" t="s">
        <v>2845</v>
      </c>
    </row>
    <row r="2649" spans="2:9" ht="15" customHeight="1" x14ac:dyDescent="0.25">
      <c r="B2649" s="51" t="s">
        <v>126</v>
      </c>
      <c r="C2649" s="52">
        <v>577</v>
      </c>
      <c r="D2649" s="53" t="s">
        <v>4329</v>
      </c>
      <c r="E2649" s="54"/>
      <c r="F2649" s="52" t="str">
        <f>IF(INDEX(I.CCUS.StartRange,577)="","",INDEX(I.CCUS.StartRange,577))</f>
        <v/>
      </c>
      <c r="G2649" s="54"/>
      <c r="H2649" s="52" t="str">
        <f>IF(AND(I.Compliance.FulfilledCCUS&gt;0,I.CCUS.RangeCount&gt;=577,F2649=""),"Incomplete","Complete")</f>
        <v>Complete</v>
      </c>
      <c r="I2649" s="55" t="s">
        <v>2846</v>
      </c>
    </row>
    <row r="2650" spans="2:9" ht="15" customHeight="1" x14ac:dyDescent="0.25">
      <c r="B2650" s="51" t="s">
        <v>126</v>
      </c>
      <c r="C2650" s="52">
        <v>578</v>
      </c>
      <c r="D2650" s="53" t="s">
        <v>4329</v>
      </c>
      <c r="E2650" s="54"/>
      <c r="F2650" s="52" t="str">
        <f>IF(INDEX(I.CCUS.StartRange,578)="","",INDEX(I.CCUS.StartRange,578))</f>
        <v/>
      </c>
      <c r="G2650" s="54"/>
      <c r="H2650" s="52" t="str">
        <f>IF(AND(I.Compliance.FulfilledCCUS&gt;0,I.CCUS.RangeCount&gt;=578,F2650=""),"Incomplete","Complete")</f>
        <v>Complete</v>
      </c>
      <c r="I2650" s="55" t="s">
        <v>2847</v>
      </c>
    </row>
    <row r="2651" spans="2:9" ht="15" customHeight="1" x14ac:dyDescent="0.25">
      <c r="B2651" s="51" t="s">
        <v>126</v>
      </c>
      <c r="C2651" s="52">
        <v>579</v>
      </c>
      <c r="D2651" s="53" t="s">
        <v>4329</v>
      </c>
      <c r="E2651" s="54"/>
      <c r="F2651" s="52" t="str">
        <f>IF(INDEX(I.CCUS.StartRange,579)="","",INDEX(I.CCUS.StartRange,579))</f>
        <v/>
      </c>
      <c r="G2651" s="54"/>
      <c r="H2651" s="52" t="str">
        <f>IF(AND(I.Compliance.FulfilledCCUS&gt;0,I.CCUS.RangeCount&gt;=579,F2651=""),"Incomplete","Complete")</f>
        <v>Complete</v>
      </c>
      <c r="I2651" s="55" t="s">
        <v>2848</v>
      </c>
    </row>
    <row r="2652" spans="2:9" ht="15" customHeight="1" x14ac:dyDescent="0.25">
      <c r="B2652" s="51" t="s">
        <v>126</v>
      </c>
      <c r="C2652" s="52">
        <v>580</v>
      </c>
      <c r="D2652" s="53" t="s">
        <v>4329</v>
      </c>
      <c r="E2652" s="54"/>
      <c r="F2652" s="52" t="str">
        <f>IF(INDEX(I.CCUS.StartRange,580)="","",INDEX(I.CCUS.StartRange,580))</f>
        <v/>
      </c>
      <c r="G2652" s="54"/>
      <c r="H2652" s="52" t="str">
        <f>IF(AND(I.Compliance.FulfilledCCUS&gt;0,I.CCUS.RangeCount&gt;=580,F2652=""),"Incomplete","Complete")</f>
        <v>Complete</v>
      </c>
      <c r="I2652" s="55" t="s">
        <v>2849</v>
      </c>
    </row>
    <row r="2653" spans="2:9" ht="15" customHeight="1" x14ac:dyDescent="0.25">
      <c r="B2653" s="51" t="s">
        <v>126</v>
      </c>
      <c r="C2653" s="52">
        <v>581</v>
      </c>
      <c r="D2653" s="53" t="s">
        <v>4329</v>
      </c>
      <c r="E2653" s="54"/>
      <c r="F2653" s="52" t="str">
        <f>IF(INDEX(I.CCUS.StartRange,581)="","",INDEX(I.CCUS.StartRange,581))</f>
        <v/>
      </c>
      <c r="G2653" s="54"/>
      <c r="H2653" s="52" t="str">
        <f>IF(AND(I.Compliance.FulfilledCCUS&gt;0,I.CCUS.RangeCount&gt;=581,F2653=""),"Incomplete","Complete")</f>
        <v>Complete</v>
      </c>
      <c r="I2653" s="55" t="s">
        <v>2850</v>
      </c>
    </row>
    <row r="2654" spans="2:9" ht="15" customHeight="1" x14ac:dyDescent="0.25">
      <c r="B2654" s="51" t="s">
        <v>126</v>
      </c>
      <c r="C2654" s="52">
        <v>582</v>
      </c>
      <c r="D2654" s="53" t="s">
        <v>4329</v>
      </c>
      <c r="E2654" s="54"/>
      <c r="F2654" s="52" t="str">
        <f>IF(INDEX(I.CCUS.StartRange,582)="","",INDEX(I.CCUS.StartRange,582))</f>
        <v/>
      </c>
      <c r="G2654" s="54"/>
      <c r="H2654" s="52" t="str">
        <f>IF(AND(I.Compliance.FulfilledCCUS&gt;0,I.CCUS.RangeCount&gt;=582,F2654=""),"Incomplete","Complete")</f>
        <v>Complete</v>
      </c>
      <c r="I2654" s="55" t="s">
        <v>2851</v>
      </c>
    </row>
    <row r="2655" spans="2:9" ht="15" customHeight="1" x14ac:dyDescent="0.25">
      <c r="B2655" s="51" t="s">
        <v>126</v>
      </c>
      <c r="C2655" s="52">
        <v>583</v>
      </c>
      <c r="D2655" s="53" t="s">
        <v>4329</v>
      </c>
      <c r="E2655" s="54"/>
      <c r="F2655" s="52" t="str">
        <f>IF(INDEX(I.CCUS.StartRange,583)="","",INDEX(I.CCUS.StartRange,583))</f>
        <v/>
      </c>
      <c r="G2655" s="54"/>
      <c r="H2655" s="52" t="str">
        <f>IF(AND(I.Compliance.FulfilledCCUS&gt;0,I.CCUS.RangeCount&gt;=583,F2655=""),"Incomplete","Complete")</f>
        <v>Complete</v>
      </c>
      <c r="I2655" s="55" t="s">
        <v>2852</v>
      </c>
    </row>
    <row r="2656" spans="2:9" ht="15" customHeight="1" x14ac:dyDescent="0.25">
      <c r="B2656" s="51" t="s">
        <v>126</v>
      </c>
      <c r="C2656" s="52">
        <v>584</v>
      </c>
      <c r="D2656" s="53" t="s">
        <v>4329</v>
      </c>
      <c r="E2656" s="54"/>
      <c r="F2656" s="52" t="str">
        <f>IF(INDEX(I.CCUS.StartRange,584)="","",INDEX(I.CCUS.StartRange,584))</f>
        <v/>
      </c>
      <c r="G2656" s="54"/>
      <c r="H2656" s="52" t="str">
        <f>IF(AND(I.Compliance.FulfilledCCUS&gt;0,I.CCUS.RangeCount&gt;=584,F2656=""),"Incomplete","Complete")</f>
        <v>Complete</v>
      </c>
      <c r="I2656" s="55" t="s">
        <v>2853</v>
      </c>
    </row>
    <row r="2657" spans="2:9" ht="15" customHeight="1" x14ac:dyDescent="0.25">
      <c r="B2657" s="51" t="s">
        <v>126</v>
      </c>
      <c r="C2657" s="52">
        <v>585</v>
      </c>
      <c r="D2657" s="53" t="s">
        <v>4329</v>
      </c>
      <c r="E2657" s="54"/>
      <c r="F2657" s="52" t="str">
        <f>IF(INDEX(I.CCUS.StartRange,585)="","",INDEX(I.CCUS.StartRange,585))</f>
        <v/>
      </c>
      <c r="G2657" s="54"/>
      <c r="H2657" s="52" t="str">
        <f>IF(AND(I.Compliance.FulfilledCCUS&gt;0,I.CCUS.RangeCount&gt;=585,F2657=""),"Incomplete","Complete")</f>
        <v>Complete</v>
      </c>
      <c r="I2657" s="55" t="s">
        <v>2854</v>
      </c>
    </row>
    <row r="2658" spans="2:9" ht="15" customHeight="1" x14ac:dyDescent="0.25">
      <c r="B2658" s="51" t="s">
        <v>126</v>
      </c>
      <c r="C2658" s="52">
        <v>586</v>
      </c>
      <c r="D2658" s="53" t="s">
        <v>4329</v>
      </c>
      <c r="E2658" s="54"/>
      <c r="F2658" s="52" t="str">
        <f>IF(INDEX(I.CCUS.StartRange,586)="","",INDEX(I.CCUS.StartRange,586))</f>
        <v/>
      </c>
      <c r="G2658" s="54"/>
      <c r="H2658" s="52" t="str">
        <f>IF(AND(I.Compliance.FulfilledCCUS&gt;0,I.CCUS.RangeCount&gt;=586,F2658=""),"Incomplete","Complete")</f>
        <v>Complete</v>
      </c>
      <c r="I2658" s="55" t="s">
        <v>2855</v>
      </c>
    </row>
    <row r="2659" spans="2:9" ht="15" customHeight="1" x14ac:dyDescent="0.25">
      <c r="B2659" s="51" t="s">
        <v>126</v>
      </c>
      <c r="C2659" s="52">
        <v>587</v>
      </c>
      <c r="D2659" s="53" t="s">
        <v>4329</v>
      </c>
      <c r="E2659" s="54"/>
      <c r="F2659" s="52" t="str">
        <f>IF(INDEX(I.CCUS.StartRange,587)="","",INDEX(I.CCUS.StartRange,587))</f>
        <v/>
      </c>
      <c r="G2659" s="54"/>
      <c r="H2659" s="52" t="str">
        <f>IF(AND(I.Compliance.FulfilledCCUS&gt;0,I.CCUS.RangeCount&gt;=587,F2659=""),"Incomplete","Complete")</f>
        <v>Complete</v>
      </c>
      <c r="I2659" s="55" t="s">
        <v>2856</v>
      </c>
    </row>
    <row r="2660" spans="2:9" ht="15" customHeight="1" x14ac:dyDescent="0.25">
      <c r="B2660" s="51" t="s">
        <v>126</v>
      </c>
      <c r="C2660" s="52">
        <v>588</v>
      </c>
      <c r="D2660" s="53" t="s">
        <v>4329</v>
      </c>
      <c r="E2660" s="54"/>
      <c r="F2660" s="52" t="str">
        <f>IF(INDEX(I.CCUS.StartRange,588)="","",INDEX(I.CCUS.StartRange,588))</f>
        <v/>
      </c>
      <c r="G2660" s="54"/>
      <c r="H2660" s="52" t="str">
        <f>IF(AND(I.Compliance.FulfilledCCUS&gt;0,I.CCUS.RangeCount&gt;=588,F2660=""),"Incomplete","Complete")</f>
        <v>Complete</v>
      </c>
      <c r="I2660" s="55" t="s">
        <v>2857</v>
      </c>
    </row>
    <row r="2661" spans="2:9" ht="15" customHeight="1" x14ac:dyDescent="0.25">
      <c r="B2661" s="51" t="s">
        <v>126</v>
      </c>
      <c r="C2661" s="52">
        <v>589</v>
      </c>
      <c r="D2661" s="53" t="s">
        <v>4329</v>
      </c>
      <c r="E2661" s="54"/>
      <c r="F2661" s="52" t="str">
        <f>IF(INDEX(I.CCUS.StartRange,589)="","",INDEX(I.CCUS.StartRange,589))</f>
        <v/>
      </c>
      <c r="G2661" s="54"/>
      <c r="H2661" s="52" t="str">
        <f>IF(AND(I.Compliance.FulfilledCCUS&gt;0,I.CCUS.RangeCount&gt;=589,F2661=""),"Incomplete","Complete")</f>
        <v>Complete</v>
      </c>
      <c r="I2661" s="55" t="s">
        <v>2858</v>
      </c>
    </row>
    <row r="2662" spans="2:9" ht="15" customHeight="1" x14ac:dyDescent="0.25">
      <c r="B2662" s="51" t="s">
        <v>126</v>
      </c>
      <c r="C2662" s="52">
        <v>590</v>
      </c>
      <c r="D2662" s="53" t="s">
        <v>4329</v>
      </c>
      <c r="E2662" s="54"/>
      <c r="F2662" s="52" t="str">
        <f>IF(INDEX(I.CCUS.StartRange,590)="","",INDEX(I.CCUS.StartRange,590))</f>
        <v/>
      </c>
      <c r="G2662" s="54"/>
      <c r="H2662" s="52" t="str">
        <f>IF(AND(I.Compliance.FulfilledCCUS&gt;0,I.CCUS.RangeCount&gt;=590,F2662=""),"Incomplete","Complete")</f>
        <v>Complete</v>
      </c>
      <c r="I2662" s="55" t="s">
        <v>2859</v>
      </c>
    </row>
    <row r="2663" spans="2:9" ht="15" customHeight="1" x14ac:dyDescent="0.25">
      <c r="B2663" s="51" t="s">
        <v>126</v>
      </c>
      <c r="C2663" s="52">
        <v>591</v>
      </c>
      <c r="D2663" s="53" t="s">
        <v>4329</v>
      </c>
      <c r="E2663" s="54"/>
      <c r="F2663" s="52" t="str">
        <f>IF(INDEX(I.CCUS.StartRange,591)="","",INDEX(I.CCUS.StartRange,591))</f>
        <v/>
      </c>
      <c r="G2663" s="54"/>
      <c r="H2663" s="52" t="str">
        <f>IF(AND(I.Compliance.FulfilledCCUS&gt;0,I.CCUS.RangeCount&gt;=591,F2663=""),"Incomplete","Complete")</f>
        <v>Complete</v>
      </c>
      <c r="I2663" s="55" t="s">
        <v>2860</v>
      </c>
    </row>
    <row r="2664" spans="2:9" ht="15" customHeight="1" x14ac:dyDescent="0.25">
      <c r="B2664" s="51" t="s">
        <v>126</v>
      </c>
      <c r="C2664" s="52">
        <v>592</v>
      </c>
      <c r="D2664" s="53" t="s">
        <v>4329</v>
      </c>
      <c r="E2664" s="54"/>
      <c r="F2664" s="52" t="str">
        <f>IF(INDEX(I.CCUS.StartRange,592)="","",INDEX(I.CCUS.StartRange,592))</f>
        <v/>
      </c>
      <c r="G2664" s="54"/>
      <c r="H2664" s="52" t="str">
        <f>IF(AND(I.Compliance.FulfilledCCUS&gt;0,I.CCUS.RangeCount&gt;=592,F2664=""),"Incomplete","Complete")</f>
        <v>Complete</v>
      </c>
      <c r="I2664" s="55" t="s">
        <v>2861</v>
      </c>
    </row>
    <row r="2665" spans="2:9" ht="15" customHeight="1" x14ac:dyDescent="0.25">
      <c r="B2665" s="51" t="s">
        <v>126</v>
      </c>
      <c r="C2665" s="52">
        <v>593</v>
      </c>
      <c r="D2665" s="53" t="s">
        <v>4329</v>
      </c>
      <c r="E2665" s="54"/>
      <c r="F2665" s="52" t="str">
        <f>IF(INDEX(I.CCUS.StartRange,593)="","",INDEX(I.CCUS.StartRange,593))</f>
        <v/>
      </c>
      <c r="G2665" s="54"/>
      <c r="H2665" s="52" t="str">
        <f>IF(AND(I.Compliance.FulfilledCCUS&gt;0,I.CCUS.RangeCount&gt;=593,F2665=""),"Incomplete","Complete")</f>
        <v>Complete</v>
      </c>
      <c r="I2665" s="55" t="s">
        <v>2862</v>
      </c>
    </row>
    <row r="2666" spans="2:9" ht="15" customHeight="1" x14ac:dyDescent="0.25">
      <c r="B2666" s="51" t="s">
        <v>126</v>
      </c>
      <c r="C2666" s="52">
        <v>594</v>
      </c>
      <c r="D2666" s="53" t="s">
        <v>4329</v>
      </c>
      <c r="E2666" s="54"/>
      <c r="F2666" s="52" t="str">
        <f>IF(INDEX(I.CCUS.StartRange,594)="","",INDEX(I.CCUS.StartRange,594))</f>
        <v/>
      </c>
      <c r="G2666" s="54"/>
      <c r="H2666" s="52" t="str">
        <f>IF(AND(I.Compliance.FulfilledCCUS&gt;0,I.CCUS.RangeCount&gt;=594,F2666=""),"Incomplete","Complete")</f>
        <v>Complete</v>
      </c>
      <c r="I2666" s="55" t="s">
        <v>2863</v>
      </c>
    </row>
    <row r="2667" spans="2:9" ht="15" customHeight="1" x14ac:dyDescent="0.25">
      <c r="B2667" s="51" t="s">
        <v>126</v>
      </c>
      <c r="C2667" s="52">
        <v>595</v>
      </c>
      <c r="D2667" s="53" t="s">
        <v>4329</v>
      </c>
      <c r="E2667" s="54"/>
      <c r="F2667" s="52" t="str">
        <f>IF(INDEX(I.CCUS.StartRange,595)="","",INDEX(I.CCUS.StartRange,595))</f>
        <v/>
      </c>
      <c r="G2667" s="54"/>
      <c r="H2667" s="52" t="str">
        <f>IF(AND(I.Compliance.FulfilledCCUS&gt;0,I.CCUS.RangeCount&gt;=595,F2667=""),"Incomplete","Complete")</f>
        <v>Complete</v>
      </c>
      <c r="I2667" s="55" t="s">
        <v>2864</v>
      </c>
    </row>
    <row r="2668" spans="2:9" ht="15" customHeight="1" x14ac:dyDescent="0.25">
      <c r="B2668" s="51" t="s">
        <v>126</v>
      </c>
      <c r="C2668" s="52">
        <v>596</v>
      </c>
      <c r="D2668" s="53" t="s">
        <v>4329</v>
      </c>
      <c r="E2668" s="54"/>
      <c r="F2668" s="52" t="str">
        <f>IF(INDEX(I.CCUS.StartRange,596)="","",INDEX(I.CCUS.StartRange,596))</f>
        <v/>
      </c>
      <c r="G2668" s="54"/>
      <c r="H2668" s="52" t="str">
        <f>IF(AND(I.Compliance.FulfilledCCUS&gt;0,I.CCUS.RangeCount&gt;=596,F2668=""),"Incomplete","Complete")</f>
        <v>Complete</v>
      </c>
      <c r="I2668" s="55" t="s">
        <v>2865</v>
      </c>
    </row>
    <row r="2669" spans="2:9" ht="15" customHeight="1" x14ac:dyDescent="0.25">
      <c r="B2669" s="51" t="s">
        <v>126</v>
      </c>
      <c r="C2669" s="52">
        <v>597</v>
      </c>
      <c r="D2669" s="53" t="s">
        <v>4329</v>
      </c>
      <c r="E2669" s="54"/>
      <c r="F2669" s="52" t="str">
        <f>IF(INDEX(I.CCUS.StartRange,597)="","",INDEX(I.CCUS.StartRange,597))</f>
        <v/>
      </c>
      <c r="G2669" s="54"/>
      <c r="H2669" s="52" t="str">
        <f>IF(AND(I.Compliance.FulfilledCCUS&gt;0,I.CCUS.RangeCount&gt;=597,F2669=""),"Incomplete","Complete")</f>
        <v>Complete</v>
      </c>
      <c r="I2669" s="55" t="s">
        <v>2866</v>
      </c>
    </row>
    <row r="2670" spans="2:9" ht="15" customHeight="1" x14ac:dyDescent="0.25">
      <c r="B2670" s="51" t="s">
        <v>126</v>
      </c>
      <c r="C2670" s="52">
        <v>598</v>
      </c>
      <c r="D2670" s="53" t="s">
        <v>4329</v>
      </c>
      <c r="E2670" s="54"/>
      <c r="F2670" s="52" t="str">
        <f>IF(INDEX(I.CCUS.StartRange,598)="","",INDEX(I.CCUS.StartRange,598))</f>
        <v/>
      </c>
      <c r="G2670" s="54"/>
      <c r="H2670" s="52" t="str">
        <f>IF(AND(I.Compliance.FulfilledCCUS&gt;0,I.CCUS.RangeCount&gt;=598,F2670=""),"Incomplete","Complete")</f>
        <v>Complete</v>
      </c>
      <c r="I2670" s="55" t="s">
        <v>2867</v>
      </c>
    </row>
    <row r="2671" spans="2:9" ht="15" customHeight="1" x14ac:dyDescent="0.25">
      <c r="B2671" s="51" t="s">
        <v>126</v>
      </c>
      <c r="C2671" s="52">
        <v>599</v>
      </c>
      <c r="D2671" s="53" t="s">
        <v>4329</v>
      </c>
      <c r="E2671" s="54"/>
      <c r="F2671" s="52" t="str">
        <f>IF(INDEX(I.CCUS.StartRange,599)="","",INDEX(I.CCUS.StartRange,599))</f>
        <v/>
      </c>
      <c r="G2671" s="54"/>
      <c r="H2671" s="52" t="str">
        <f>IF(AND(I.Compliance.FulfilledCCUS&gt;0,I.CCUS.RangeCount&gt;=599,F2671=""),"Incomplete","Complete")</f>
        <v>Complete</v>
      </c>
      <c r="I2671" s="55" t="s">
        <v>2868</v>
      </c>
    </row>
    <row r="2672" spans="2:9" ht="15" customHeight="1" x14ac:dyDescent="0.25">
      <c r="B2672" s="51" t="s">
        <v>126</v>
      </c>
      <c r="C2672" s="52">
        <v>600</v>
      </c>
      <c r="D2672" s="53" t="s">
        <v>4329</v>
      </c>
      <c r="E2672" s="54"/>
      <c r="F2672" s="52" t="str">
        <f>IF(INDEX(I.CCUS.StartRange,600)="","",INDEX(I.CCUS.StartRange,600))</f>
        <v/>
      </c>
      <c r="G2672" s="54"/>
      <c r="H2672" s="52" t="str">
        <f>IF(AND(I.Compliance.FulfilledCCUS&gt;0,I.CCUS.RangeCount&gt;=600,F2672=""),"Incomplete","Complete")</f>
        <v>Complete</v>
      </c>
      <c r="I2672" s="55" t="s">
        <v>2869</v>
      </c>
    </row>
    <row r="2673" spans="2:9" ht="15" customHeight="1" x14ac:dyDescent="0.25">
      <c r="B2673" s="51" t="s">
        <v>126</v>
      </c>
      <c r="C2673" s="52">
        <v>601</v>
      </c>
      <c r="D2673" s="53" t="s">
        <v>4329</v>
      </c>
      <c r="E2673" s="54"/>
      <c r="F2673" s="52" t="str">
        <f>IF(INDEX(I.CCUS.StartRange,601)="","",INDEX(I.CCUS.StartRange,601))</f>
        <v/>
      </c>
      <c r="G2673" s="54"/>
      <c r="H2673" s="52" t="str">
        <f>IF(AND(I.Compliance.FulfilledCCUS&gt;0,I.CCUS.RangeCount&gt;=601,F2673=""),"Incomplete","Complete")</f>
        <v>Complete</v>
      </c>
      <c r="I2673" s="55" t="s">
        <v>2870</v>
      </c>
    </row>
    <row r="2674" spans="2:9" ht="15" customHeight="1" x14ac:dyDescent="0.25">
      <c r="B2674" s="51" t="s">
        <v>126</v>
      </c>
      <c r="C2674" s="52">
        <v>602</v>
      </c>
      <c r="D2674" s="53" t="s">
        <v>4329</v>
      </c>
      <c r="E2674" s="54"/>
      <c r="F2674" s="52" t="str">
        <f>IF(INDEX(I.CCUS.StartRange,602)="","",INDEX(I.CCUS.StartRange,602))</f>
        <v/>
      </c>
      <c r="G2674" s="54"/>
      <c r="H2674" s="52" t="str">
        <f>IF(AND(I.Compliance.FulfilledCCUS&gt;0,I.CCUS.RangeCount&gt;=602,F2674=""),"Incomplete","Complete")</f>
        <v>Complete</v>
      </c>
      <c r="I2674" s="55" t="s">
        <v>2871</v>
      </c>
    </row>
    <row r="2675" spans="2:9" ht="15" customHeight="1" x14ac:dyDescent="0.25">
      <c r="B2675" s="51" t="s">
        <v>126</v>
      </c>
      <c r="C2675" s="52">
        <v>603</v>
      </c>
      <c r="D2675" s="53" t="s">
        <v>4329</v>
      </c>
      <c r="E2675" s="54"/>
      <c r="F2675" s="52" t="str">
        <f>IF(INDEX(I.CCUS.StartRange,603)="","",INDEX(I.CCUS.StartRange,603))</f>
        <v/>
      </c>
      <c r="G2675" s="54"/>
      <c r="H2675" s="52" t="str">
        <f>IF(AND(I.Compliance.FulfilledCCUS&gt;0,I.CCUS.RangeCount&gt;=603,F2675=""),"Incomplete","Complete")</f>
        <v>Complete</v>
      </c>
      <c r="I2675" s="55" t="s">
        <v>2872</v>
      </c>
    </row>
    <row r="2676" spans="2:9" ht="15" customHeight="1" x14ac:dyDescent="0.25">
      <c r="B2676" s="51" t="s">
        <v>126</v>
      </c>
      <c r="C2676" s="52">
        <v>604</v>
      </c>
      <c r="D2676" s="53" t="s">
        <v>4329</v>
      </c>
      <c r="E2676" s="54"/>
      <c r="F2676" s="52" t="str">
        <f>IF(INDEX(I.CCUS.StartRange,604)="","",INDEX(I.CCUS.StartRange,604))</f>
        <v/>
      </c>
      <c r="G2676" s="54"/>
      <c r="H2676" s="52" t="str">
        <f>IF(AND(I.Compliance.FulfilledCCUS&gt;0,I.CCUS.RangeCount&gt;=604,F2676=""),"Incomplete","Complete")</f>
        <v>Complete</v>
      </c>
      <c r="I2676" s="55" t="s">
        <v>2873</v>
      </c>
    </row>
    <row r="2677" spans="2:9" ht="15" customHeight="1" x14ac:dyDescent="0.25">
      <c r="B2677" s="51" t="s">
        <v>126</v>
      </c>
      <c r="C2677" s="52">
        <v>605</v>
      </c>
      <c r="D2677" s="53" t="s">
        <v>4329</v>
      </c>
      <c r="E2677" s="54"/>
      <c r="F2677" s="52" t="str">
        <f>IF(INDEX(I.CCUS.StartRange,605)="","",INDEX(I.CCUS.StartRange,605))</f>
        <v/>
      </c>
      <c r="G2677" s="54"/>
      <c r="H2677" s="52" t="str">
        <f>IF(AND(I.Compliance.FulfilledCCUS&gt;0,I.CCUS.RangeCount&gt;=605,F2677=""),"Incomplete","Complete")</f>
        <v>Complete</v>
      </c>
      <c r="I2677" s="55" t="s">
        <v>2874</v>
      </c>
    </row>
    <row r="2678" spans="2:9" ht="15" customHeight="1" x14ac:dyDescent="0.25">
      <c r="B2678" s="51" t="s">
        <v>126</v>
      </c>
      <c r="C2678" s="52">
        <v>606</v>
      </c>
      <c r="D2678" s="53" t="s">
        <v>4329</v>
      </c>
      <c r="E2678" s="54"/>
      <c r="F2678" s="52" t="str">
        <f>IF(INDEX(I.CCUS.StartRange,606)="","",INDEX(I.CCUS.StartRange,606))</f>
        <v/>
      </c>
      <c r="G2678" s="54"/>
      <c r="H2678" s="52" t="str">
        <f>IF(AND(I.Compliance.FulfilledCCUS&gt;0,I.CCUS.RangeCount&gt;=606,F2678=""),"Incomplete","Complete")</f>
        <v>Complete</v>
      </c>
      <c r="I2678" s="55" t="s">
        <v>2875</v>
      </c>
    </row>
    <row r="2679" spans="2:9" ht="15" customHeight="1" x14ac:dyDescent="0.25">
      <c r="B2679" s="51" t="s">
        <v>126</v>
      </c>
      <c r="C2679" s="52">
        <v>607</v>
      </c>
      <c r="D2679" s="53" t="s">
        <v>4329</v>
      </c>
      <c r="E2679" s="54"/>
      <c r="F2679" s="52" t="str">
        <f>IF(INDEX(I.CCUS.StartRange,607)="","",INDEX(I.CCUS.StartRange,607))</f>
        <v/>
      </c>
      <c r="G2679" s="54"/>
      <c r="H2679" s="52" t="str">
        <f>IF(AND(I.Compliance.FulfilledCCUS&gt;0,I.CCUS.RangeCount&gt;=607,F2679=""),"Incomplete","Complete")</f>
        <v>Complete</v>
      </c>
      <c r="I2679" s="55" t="s">
        <v>2876</v>
      </c>
    </row>
    <row r="2680" spans="2:9" ht="15" customHeight="1" x14ac:dyDescent="0.25">
      <c r="B2680" s="51" t="s">
        <v>126</v>
      </c>
      <c r="C2680" s="52">
        <v>608</v>
      </c>
      <c r="D2680" s="53" t="s">
        <v>4329</v>
      </c>
      <c r="E2680" s="54"/>
      <c r="F2680" s="52" t="str">
        <f>IF(INDEX(I.CCUS.StartRange,608)="","",INDEX(I.CCUS.StartRange,608))</f>
        <v/>
      </c>
      <c r="G2680" s="54"/>
      <c r="H2680" s="52" t="str">
        <f>IF(AND(I.Compliance.FulfilledCCUS&gt;0,I.CCUS.RangeCount&gt;=608,F2680=""),"Incomplete","Complete")</f>
        <v>Complete</v>
      </c>
      <c r="I2680" s="55" t="s">
        <v>2877</v>
      </c>
    </row>
    <row r="2681" spans="2:9" ht="15" customHeight="1" x14ac:dyDescent="0.25">
      <c r="B2681" s="51" t="s">
        <v>126</v>
      </c>
      <c r="C2681" s="52">
        <v>609</v>
      </c>
      <c r="D2681" s="53" t="s">
        <v>4329</v>
      </c>
      <c r="E2681" s="54"/>
      <c r="F2681" s="52" t="str">
        <f>IF(INDEX(I.CCUS.StartRange,609)="","",INDEX(I.CCUS.StartRange,609))</f>
        <v/>
      </c>
      <c r="G2681" s="54"/>
      <c r="H2681" s="52" t="str">
        <f>IF(AND(I.Compliance.FulfilledCCUS&gt;0,I.CCUS.RangeCount&gt;=609,F2681=""),"Incomplete","Complete")</f>
        <v>Complete</v>
      </c>
      <c r="I2681" s="55" t="s">
        <v>2878</v>
      </c>
    </row>
    <row r="2682" spans="2:9" ht="15" customHeight="1" x14ac:dyDescent="0.25">
      <c r="B2682" s="51" t="s">
        <v>126</v>
      </c>
      <c r="C2682" s="52">
        <v>610</v>
      </c>
      <c r="D2682" s="53" t="s">
        <v>4329</v>
      </c>
      <c r="E2682" s="54"/>
      <c r="F2682" s="52" t="str">
        <f>IF(INDEX(I.CCUS.StartRange,610)="","",INDEX(I.CCUS.StartRange,610))</f>
        <v/>
      </c>
      <c r="G2682" s="54"/>
      <c r="H2682" s="52" t="str">
        <f>IF(AND(I.Compliance.FulfilledCCUS&gt;0,I.CCUS.RangeCount&gt;=610,F2682=""),"Incomplete","Complete")</f>
        <v>Complete</v>
      </c>
      <c r="I2682" s="55" t="s">
        <v>2879</v>
      </c>
    </row>
    <row r="2683" spans="2:9" ht="15" customHeight="1" x14ac:dyDescent="0.25">
      <c r="B2683" s="51" t="s">
        <v>126</v>
      </c>
      <c r="C2683" s="52">
        <v>611</v>
      </c>
      <c r="D2683" s="53" t="s">
        <v>4329</v>
      </c>
      <c r="E2683" s="54"/>
      <c r="F2683" s="52" t="str">
        <f>IF(INDEX(I.CCUS.StartRange,611)="","",INDEX(I.CCUS.StartRange,611))</f>
        <v/>
      </c>
      <c r="G2683" s="54"/>
      <c r="H2683" s="52" t="str">
        <f>IF(AND(I.Compliance.FulfilledCCUS&gt;0,I.CCUS.RangeCount&gt;=611,F2683=""),"Incomplete","Complete")</f>
        <v>Complete</v>
      </c>
      <c r="I2683" s="55" t="s">
        <v>2880</v>
      </c>
    </row>
    <row r="2684" spans="2:9" ht="15" customHeight="1" x14ac:dyDescent="0.25">
      <c r="B2684" s="51" t="s">
        <v>126</v>
      </c>
      <c r="C2684" s="52">
        <v>612</v>
      </c>
      <c r="D2684" s="53" t="s">
        <v>4329</v>
      </c>
      <c r="E2684" s="54"/>
      <c r="F2684" s="52" t="str">
        <f>IF(INDEX(I.CCUS.StartRange,612)="","",INDEX(I.CCUS.StartRange,612))</f>
        <v/>
      </c>
      <c r="G2684" s="54"/>
      <c r="H2684" s="52" t="str">
        <f>IF(AND(I.Compliance.FulfilledCCUS&gt;0,I.CCUS.RangeCount&gt;=612,F2684=""),"Incomplete","Complete")</f>
        <v>Complete</v>
      </c>
      <c r="I2684" s="55" t="s">
        <v>2881</v>
      </c>
    </row>
    <row r="2685" spans="2:9" ht="15" customHeight="1" x14ac:dyDescent="0.25">
      <c r="B2685" s="51" t="s">
        <v>126</v>
      </c>
      <c r="C2685" s="52">
        <v>613</v>
      </c>
      <c r="D2685" s="53" t="s">
        <v>4329</v>
      </c>
      <c r="E2685" s="54"/>
      <c r="F2685" s="52" t="str">
        <f>IF(INDEX(I.CCUS.StartRange,613)="","",INDEX(I.CCUS.StartRange,613))</f>
        <v/>
      </c>
      <c r="G2685" s="54"/>
      <c r="H2685" s="52" t="str">
        <f>IF(AND(I.Compliance.FulfilledCCUS&gt;0,I.CCUS.RangeCount&gt;=613,F2685=""),"Incomplete","Complete")</f>
        <v>Complete</v>
      </c>
      <c r="I2685" s="55" t="s">
        <v>2882</v>
      </c>
    </row>
    <row r="2686" spans="2:9" ht="15" customHeight="1" x14ac:dyDescent="0.25">
      <c r="B2686" s="51" t="s">
        <v>126</v>
      </c>
      <c r="C2686" s="52">
        <v>614</v>
      </c>
      <c r="D2686" s="53" t="s">
        <v>4329</v>
      </c>
      <c r="E2686" s="54"/>
      <c r="F2686" s="52" t="str">
        <f>IF(INDEX(I.CCUS.StartRange,614)="","",INDEX(I.CCUS.StartRange,614))</f>
        <v/>
      </c>
      <c r="G2686" s="54"/>
      <c r="H2686" s="52" t="str">
        <f>IF(AND(I.Compliance.FulfilledCCUS&gt;0,I.CCUS.RangeCount&gt;=614,F2686=""),"Incomplete","Complete")</f>
        <v>Complete</v>
      </c>
      <c r="I2686" s="55" t="s">
        <v>2883</v>
      </c>
    </row>
    <row r="2687" spans="2:9" ht="15" customHeight="1" x14ac:dyDescent="0.25">
      <c r="B2687" s="51" t="s">
        <v>126</v>
      </c>
      <c r="C2687" s="52">
        <v>615</v>
      </c>
      <c r="D2687" s="53" t="s">
        <v>4329</v>
      </c>
      <c r="E2687" s="54"/>
      <c r="F2687" s="52" t="str">
        <f>IF(INDEX(I.CCUS.StartRange,615)="","",INDEX(I.CCUS.StartRange,615))</f>
        <v/>
      </c>
      <c r="G2687" s="54"/>
      <c r="H2687" s="52" t="str">
        <f>IF(AND(I.Compliance.FulfilledCCUS&gt;0,I.CCUS.RangeCount&gt;=615,F2687=""),"Incomplete","Complete")</f>
        <v>Complete</v>
      </c>
      <c r="I2687" s="55" t="s">
        <v>2884</v>
      </c>
    </row>
    <row r="2688" spans="2:9" ht="15" customHeight="1" x14ac:dyDescent="0.25">
      <c r="B2688" s="51" t="s">
        <v>126</v>
      </c>
      <c r="C2688" s="52">
        <v>616</v>
      </c>
      <c r="D2688" s="53" t="s">
        <v>4329</v>
      </c>
      <c r="E2688" s="54"/>
      <c r="F2688" s="52" t="str">
        <f>IF(INDEX(I.CCUS.StartRange,616)="","",INDEX(I.CCUS.StartRange,616))</f>
        <v/>
      </c>
      <c r="G2688" s="54"/>
      <c r="H2688" s="52" t="str">
        <f>IF(AND(I.Compliance.FulfilledCCUS&gt;0,I.CCUS.RangeCount&gt;=616,F2688=""),"Incomplete","Complete")</f>
        <v>Complete</v>
      </c>
      <c r="I2688" s="55" t="s">
        <v>2885</v>
      </c>
    </row>
    <row r="2689" spans="2:9" ht="15" customHeight="1" x14ac:dyDescent="0.25">
      <c r="B2689" s="51" t="s">
        <v>126</v>
      </c>
      <c r="C2689" s="52">
        <v>617</v>
      </c>
      <c r="D2689" s="53" t="s">
        <v>4329</v>
      </c>
      <c r="E2689" s="54"/>
      <c r="F2689" s="52" t="str">
        <f>IF(INDEX(I.CCUS.StartRange,617)="","",INDEX(I.CCUS.StartRange,617))</f>
        <v/>
      </c>
      <c r="G2689" s="54"/>
      <c r="H2689" s="52" t="str">
        <f>IF(AND(I.Compliance.FulfilledCCUS&gt;0,I.CCUS.RangeCount&gt;=617,F2689=""),"Incomplete","Complete")</f>
        <v>Complete</v>
      </c>
      <c r="I2689" s="55" t="s">
        <v>2886</v>
      </c>
    </row>
    <row r="2690" spans="2:9" ht="15" customHeight="1" x14ac:dyDescent="0.25">
      <c r="B2690" s="51" t="s">
        <v>126</v>
      </c>
      <c r="C2690" s="52">
        <v>618</v>
      </c>
      <c r="D2690" s="53" t="s">
        <v>4329</v>
      </c>
      <c r="E2690" s="54"/>
      <c r="F2690" s="52" t="str">
        <f>IF(INDEX(I.CCUS.StartRange,618)="","",INDEX(I.CCUS.StartRange,618))</f>
        <v/>
      </c>
      <c r="G2690" s="54"/>
      <c r="H2690" s="52" t="str">
        <f>IF(AND(I.Compliance.FulfilledCCUS&gt;0,I.CCUS.RangeCount&gt;=618,F2690=""),"Incomplete","Complete")</f>
        <v>Complete</v>
      </c>
      <c r="I2690" s="55" t="s">
        <v>2887</v>
      </c>
    </row>
    <row r="2691" spans="2:9" ht="15" customHeight="1" x14ac:dyDescent="0.25">
      <c r="B2691" s="51" t="s">
        <v>126</v>
      </c>
      <c r="C2691" s="52">
        <v>619</v>
      </c>
      <c r="D2691" s="53" t="s">
        <v>4329</v>
      </c>
      <c r="E2691" s="54"/>
      <c r="F2691" s="52" t="str">
        <f>IF(INDEX(I.CCUS.StartRange,619)="","",INDEX(I.CCUS.StartRange,619))</f>
        <v/>
      </c>
      <c r="G2691" s="54"/>
      <c r="H2691" s="52" t="str">
        <f>IF(AND(I.Compliance.FulfilledCCUS&gt;0,I.CCUS.RangeCount&gt;=619,F2691=""),"Incomplete","Complete")</f>
        <v>Complete</v>
      </c>
      <c r="I2691" s="55" t="s">
        <v>2888</v>
      </c>
    </row>
    <row r="2692" spans="2:9" ht="15" customHeight="1" x14ac:dyDescent="0.25">
      <c r="B2692" s="51" t="s">
        <v>126</v>
      </c>
      <c r="C2692" s="52">
        <v>620</v>
      </c>
      <c r="D2692" s="53" t="s">
        <v>4329</v>
      </c>
      <c r="E2692" s="54"/>
      <c r="F2692" s="52" t="str">
        <f>IF(INDEX(I.CCUS.StartRange,620)="","",INDEX(I.CCUS.StartRange,620))</f>
        <v/>
      </c>
      <c r="G2692" s="54"/>
      <c r="H2692" s="52" t="str">
        <f>IF(AND(I.Compliance.FulfilledCCUS&gt;0,I.CCUS.RangeCount&gt;=620,F2692=""),"Incomplete","Complete")</f>
        <v>Complete</v>
      </c>
      <c r="I2692" s="55" t="s">
        <v>2889</v>
      </c>
    </row>
    <row r="2693" spans="2:9" ht="15" customHeight="1" x14ac:dyDescent="0.25">
      <c r="B2693" s="51" t="s">
        <v>126</v>
      </c>
      <c r="C2693" s="52">
        <v>621</v>
      </c>
      <c r="D2693" s="53" t="s">
        <v>4329</v>
      </c>
      <c r="E2693" s="54"/>
      <c r="F2693" s="52" t="str">
        <f>IF(INDEX(I.CCUS.StartRange,621)="","",INDEX(I.CCUS.StartRange,621))</f>
        <v/>
      </c>
      <c r="G2693" s="54"/>
      <c r="H2693" s="52" t="str">
        <f>IF(AND(I.Compliance.FulfilledCCUS&gt;0,I.CCUS.RangeCount&gt;=621,F2693=""),"Incomplete","Complete")</f>
        <v>Complete</v>
      </c>
      <c r="I2693" s="55" t="s">
        <v>2890</v>
      </c>
    </row>
    <row r="2694" spans="2:9" ht="15" customHeight="1" x14ac:dyDescent="0.25">
      <c r="B2694" s="51" t="s">
        <v>126</v>
      </c>
      <c r="C2694" s="52">
        <v>622</v>
      </c>
      <c r="D2694" s="53" t="s">
        <v>4329</v>
      </c>
      <c r="E2694" s="54"/>
      <c r="F2694" s="52" t="str">
        <f>IF(INDEX(I.CCUS.StartRange,622)="","",INDEX(I.CCUS.StartRange,622))</f>
        <v/>
      </c>
      <c r="G2694" s="54"/>
      <c r="H2694" s="52" t="str">
        <f>IF(AND(I.Compliance.FulfilledCCUS&gt;0,I.CCUS.RangeCount&gt;=622,F2694=""),"Incomplete","Complete")</f>
        <v>Complete</v>
      </c>
      <c r="I2694" s="55" t="s">
        <v>2891</v>
      </c>
    </row>
    <row r="2695" spans="2:9" ht="15" customHeight="1" x14ac:dyDescent="0.25">
      <c r="B2695" s="51" t="s">
        <v>126</v>
      </c>
      <c r="C2695" s="52">
        <v>623</v>
      </c>
      <c r="D2695" s="53" t="s">
        <v>4329</v>
      </c>
      <c r="E2695" s="54"/>
      <c r="F2695" s="52" t="str">
        <f>IF(INDEX(I.CCUS.StartRange,623)="","",INDEX(I.CCUS.StartRange,623))</f>
        <v/>
      </c>
      <c r="G2695" s="54"/>
      <c r="H2695" s="52" t="str">
        <f>IF(AND(I.Compliance.FulfilledCCUS&gt;0,I.CCUS.RangeCount&gt;=623,F2695=""),"Incomplete","Complete")</f>
        <v>Complete</v>
      </c>
      <c r="I2695" s="55" t="s">
        <v>2892</v>
      </c>
    </row>
    <row r="2696" spans="2:9" ht="15" customHeight="1" x14ac:dyDescent="0.25">
      <c r="B2696" s="51" t="s">
        <v>126</v>
      </c>
      <c r="C2696" s="52">
        <v>624</v>
      </c>
      <c r="D2696" s="53" t="s">
        <v>4329</v>
      </c>
      <c r="E2696" s="54"/>
      <c r="F2696" s="52" t="str">
        <f>IF(INDEX(I.CCUS.StartRange,624)="","",INDEX(I.CCUS.StartRange,624))</f>
        <v/>
      </c>
      <c r="G2696" s="54"/>
      <c r="H2696" s="52" t="str">
        <f>IF(AND(I.Compliance.FulfilledCCUS&gt;0,I.CCUS.RangeCount&gt;=624,F2696=""),"Incomplete","Complete")</f>
        <v>Complete</v>
      </c>
      <c r="I2696" s="55" t="s">
        <v>2893</v>
      </c>
    </row>
    <row r="2697" spans="2:9" ht="15" customHeight="1" x14ac:dyDescent="0.25">
      <c r="B2697" s="51" t="s">
        <v>126</v>
      </c>
      <c r="C2697" s="52">
        <v>625</v>
      </c>
      <c r="D2697" s="53" t="s">
        <v>4329</v>
      </c>
      <c r="E2697" s="54"/>
      <c r="F2697" s="52" t="str">
        <f>IF(INDEX(I.CCUS.StartRange,625)="","",INDEX(I.CCUS.StartRange,625))</f>
        <v/>
      </c>
      <c r="G2697" s="54"/>
      <c r="H2697" s="52" t="str">
        <f>IF(AND(I.Compliance.FulfilledCCUS&gt;0,I.CCUS.RangeCount&gt;=625,F2697=""),"Incomplete","Complete")</f>
        <v>Complete</v>
      </c>
      <c r="I2697" s="55" t="s">
        <v>2894</v>
      </c>
    </row>
    <row r="2698" spans="2:9" ht="15" customHeight="1" x14ac:dyDescent="0.25">
      <c r="B2698" s="51" t="s">
        <v>126</v>
      </c>
      <c r="C2698" s="52">
        <v>626</v>
      </c>
      <c r="D2698" s="53" t="s">
        <v>4329</v>
      </c>
      <c r="E2698" s="54"/>
      <c r="F2698" s="52" t="str">
        <f>IF(INDEX(I.CCUS.StartRange,626)="","",INDEX(I.CCUS.StartRange,626))</f>
        <v/>
      </c>
      <c r="G2698" s="54"/>
      <c r="H2698" s="52" t="str">
        <f>IF(AND(I.Compliance.FulfilledCCUS&gt;0,I.CCUS.RangeCount&gt;=626,F2698=""),"Incomplete","Complete")</f>
        <v>Complete</v>
      </c>
      <c r="I2698" s="55" t="s">
        <v>2895</v>
      </c>
    </row>
    <row r="2699" spans="2:9" ht="15" customHeight="1" x14ac:dyDescent="0.25">
      <c r="B2699" s="51" t="s">
        <v>126</v>
      </c>
      <c r="C2699" s="52">
        <v>627</v>
      </c>
      <c r="D2699" s="53" t="s">
        <v>4329</v>
      </c>
      <c r="E2699" s="54"/>
      <c r="F2699" s="52" t="str">
        <f>IF(INDEX(I.CCUS.StartRange,627)="","",INDEX(I.CCUS.StartRange,627))</f>
        <v/>
      </c>
      <c r="G2699" s="54"/>
      <c r="H2699" s="52" t="str">
        <f>IF(AND(I.Compliance.FulfilledCCUS&gt;0,I.CCUS.RangeCount&gt;=627,F2699=""),"Incomplete","Complete")</f>
        <v>Complete</v>
      </c>
      <c r="I2699" s="55" t="s">
        <v>2896</v>
      </c>
    </row>
    <row r="2700" spans="2:9" ht="15" customHeight="1" x14ac:dyDescent="0.25">
      <c r="B2700" s="51" t="s">
        <v>126</v>
      </c>
      <c r="C2700" s="52">
        <v>628</v>
      </c>
      <c r="D2700" s="53" t="s">
        <v>4329</v>
      </c>
      <c r="E2700" s="54"/>
      <c r="F2700" s="52" t="str">
        <f>IF(INDEX(I.CCUS.StartRange,628)="","",INDEX(I.CCUS.StartRange,628))</f>
        <v/>
      </c>
      <c r="G2700" s="54"/>
      <c r="H2700" s="52" t="str">
        <f>IF(AND(I.Compliance.FulfilledCCUS&gt;0,I.CCUS.RangeCount&gt;=628,F2700=""),"Incomplete","Complete")</f>
        <v>Complete</v>
      </c>
      <c r="I2700" s="55" t="s">
        <v>2897</v>
      </c>
    </row>
    <row r="2701" spans="2:9" ht="15" customHeight="1" x14ac:dyDescent="0.25">
      <c r="B2701" s="51" t="s">
        <v>126</v>
      </c>
      <c r="C2701" s="52">
        <v>629</v>
      </c>
      <c r="D2701" s="53" t="s">
        <v>4329</v>
      </c>
      <c r="E2701" s="54"/>
      <c r="F2701" s="52" t="str">
        <f>IF(INDEX(I.CCUS.StartRange,629)="","",INDEX(I.CCUS.StartRange,629))</f>
        <v/>
      </c>
      <c r="G2701" s="54"/>
      <c r="H2701" s="52" t="str">
        <f>IF(AND(I.Compliance.FulfilledCCUS&gt;0,I.CCUS.RangeCount&gt;=629,F2701=""),"Incomplete","Complete")</f>
        <v>Complete</v>
      </c>
      <c r="I2701" s="55" t="s">
        <v>2898</v>
      </c>
    </row>
    <row r="2702" spans="2:9" ht="15" customHeight="1" x14ac:dyDescent="0.25">
      <c r="B2702" s="51" t="s">
        <v>126</v>
      </c>
      <c r="C2702" s="52">
        <v>630</v>
      </c>
      <c r="D2702" s="53" t="s">
        <v>4329</v>
      </c>
      <c r="E2702" s="54"/>
      <c r="F2702" s="52" t="str">
        <f>IF(INDEX(I.CCUS.StartRange,630)="","",INDEX(I.CCUS.StartRange,630))</f>
        <v/>
      </c>
      <c r="G2702" s="54"/>
      <c r="H2702" s="52" t="str">
        <f>IF(AND(I.Compliance.FulfilledCCUS&gt;0,I.CCUS.RangeCount&gt;=630,F2702=""),"Incomplete","Complete")</f>
        <v>Complete</v>
      </c>
      <c r="I2702" s="55" t="s">
        <v>2899</v>
      </c>
    </row>
    <row r="2703" spans="2:9" ht="15" customHeight="1" x14ac:dyDescent="0.25">
      <c r="B2703" s="51" t="s">
        <v>126</v>
      </c>
      <c r="C2703" s="52">
        <v>631</v>
      </c>
      <c r="D2703" s="53" t="s">
        <v>4329</v>
      </c>
      <c r="E2703" s="54"/>
      <c r="F2703" s="52" t="str">
        <f>IF(INDEX(I.CCUS.StartRange,631)="","",INDEX(I.CCUS.StartRange,631))</f>
        <v/>
      </c>
      <c r="G2703" s="54"/>
      <c r="H2703" s="52" t="str">
        <f>IF(AND(I.Compliance.FulfilledCCUS&gt;0,I.CCUS.RangeCount&gt;=631,F2703=""),"Incomplete","Complete")</f>
        <v>Complete</v>
      </c>
      <c r="I2703" s="55" t="s">
        <v>2900</v>
      </c>
    </row>
    <row r="2704" spans="2:9" ht="15" customHeight="1" x14ac:dyDescent="0.25">
      <c r="B2704" s="51" t="s">
        <v>126</v>
      </c>
      <c r="C2704" s="52">
        <v>632</v>
      </c>
      <c r="D2704" s="53" t="s">
        <v>4329</v>
      </c>
      <c r="E2704" s="54"/>
      <c r="F2704" s="52" t="str">
        <f>IF(INDEX(I.CCUS.StartRange,632)="","",INDEX(I.CCUS.StartRange,632))</f>
        <v/>
      </c>
      <c r="G2704" s="54"/>
      <c r="H2704" s="52" t="str">
        <f>IF(AND(I.Compliance.FulfilledCCUS&gt;0,I.CCUS.RangeCount&gt;=632,F2704=""),"Incomplete","Complete")</f>
        <v>Complete</v>
      </c>
      <c r="I2704" s="55" t="s">
        <v>2901</v>
      </c>
    </row>
    <row r="2705" spans="2:9" ht="15" customHeight="1" x14ac:dyDescent="0.25">
      <c r="B2705" s="51" t="s">
        <v>126</v>
      </c>
      <c r="C2705" s="52">
        <v>633</v>
      </c>
      <c r="D2705" s="53" t="s">
        <v>4329</v>
      </c>
      <c r="E2705" s="54"/>
      <c r="F2705" s="52" t="str">
        <f>IF(INDEX(I.CCUS.StartRange,633)="","",INDEX(I.CCUS.StartRange,633))</f>
        <v/>
      </c>
      <c r="G2705" s="54"/>
      <c r="H2705" s="52" t="str">
        <f>IF(AND(I.Compliance.FulfilledCCUS&gt;0,I.CCUS.RangeCount&gt;=633,F2705=""),"Incomplete","Complete")</f>
        <v>Complete</v>
      </c>
      <c r="I2705" s="55" t="s">
        <v>2902</v>
      </c>
    </row>
    <row r="2706" spans="2:9" ht="15" customHeight="1" x14ac:dyDescent="0.25">
      <c r="B2706" s="51" t="s">
        <v>126</v>
      </c>
      <c r="C2706" s="52">
        <v>634</v>
      </c>
      <c r="D2706" s="53" t="s">
        <v>4329</v>
      </c>
      <c r="E2706" s="54"/>
      <c r="F2706" s="52" t="str">
        <f>IF(INDEX(I.CCUS.StartRange,634)="","",INDEX(I.CCUS.StartRange,634))</f>
        <v/>
      </c>
      <c r="G2706" s="54"/>
      <c r="H2706" s="52" t="str">
        <f>IF(AND(I.Compliance.FulfilledCCUS&gt;0,I.CCUS.RangeCount&gt;=634,F2706=""),"Incomplete","Complete")</f>
        <v>Complete</v>
      </c>
      <c r="I2706" s="55" t="s">
        <v>2903</v>
      </c>
    </row>
    <row r="2707" spans="2:9" ht="15" customHeight="1" x14ac:dyDescent="0.25">
      <c r="B2707" s="51" t="s">
        <v>126</v>
      </c>
      <c r="C2707" s="52">
        <v>635</v>
      </c>
      <c r="D2707" s="53" t="s">
        <v>4329</v>
      </c>
      <c r="E2707" s="54"/>
      <c r="F2707" s="52" t="str">
        <f>IF(INDEX(I.CCUS.StartRange,635)="","",INDEX(I.CCUS.StartRange,635))</f>
        <v/>
      </c>
      <c r="G2707" s="54"/>
      <c r="H2707" s="52" t="str">
        <f>IF(AND(I.Compliance.FulfilledCCUS&gt;0,I.CCUS.RangeCount&gt;=635,F2707=""),"Incomplete","Complete")</f>
        <v>Complete</v>
      </c>
      <c r="I2707" s="55" t="s">
        <v>2904</v>
      </c>
    </row>
    <row r="2708" spans="2:9" ht="15" customHeight="1" x14ac:dyDescent="0.25">
      <c r="B2708" s="51" t="s">
        <v>126</v>
      </c>
      <c r="C2708" s="52">
        <v>636</v>
      </c>
      <c r="D2708" s="53" t="s">
        <v>4329</v>
      </c>
      <c r="E2708" s="54"/>
      <c r="F2708" s="52" t="str">
        <f>IF(INDEX(I.CCUS.StartRange,636)="","",INDEX(I.CCUS.StartRange,636))</f>
        <v/>
      </c>
      <c r="G2708" s="54"/>
      <c r="H2708" s="52" t="str">
        <f>IF(AND(I.Compliance.FulfilledCCUS&gt;0,I.CCUS.RangeCount&gt;=636,F2708=""),"Incomplete","Complete")</f>
        <v>Complete</v>
      </c>
      <c r="I2708" s="55" t="s">
        <v>2905</v>
      </c>
    </row>
    <row r="2709" spans="2:9" ht="15" customHeight="1" x14ac:dyDescent="0.25">
      <c r="B2709" s="51" t="s">
        <v>126</v>
      </c>
      <c r="C2709" s="52">
        <v>637</v>
      </c>
      <c r="D2709" s="53" t="s">
        <v>4329</v>
      </c>
      <c r="E2709" s="54"/>
      <c r="F2709" s="52" t="str">
        <f>IF(INDEX(I.CCUS.StartRange,637)="","",INDEX(I.CCUS.StartRange,637))</f>
        <v/>
      </c>
      <c r="G2709" s="54"/>
      <c r="H2709" s="52" t="str">
        <f>IF(AND(I.Compliance.FulfilledCCUS&gt;0,I.CCUS.RangeCount&gt;=637,F2709=""),"Incomplete","Complete")</f>
        <v>Complete</v>
      </c>
      <c r="I2709" s="55" t="s">
        <v>2906</v>
      </c>
    </row>
    <row r="2710" spans="2:9" ht="15" customHeight="1" x14ac:dyDescent="0.25">
      <c r="B2710" s="51" t="s">
        <v>126</v>
      </c>
      <c r="C2710" s="52">
        <v>638</v>
      </c>
      <c r="D2710" s="53" t="s">
        <v>4329</v>
      </c>
      <c r="E2710" s="54"/>
      <c r="F2710" s="52" t="str">
        <f>IF(INDEX(I.CCUS.StartRange,638)="","",INDEX(I.CCUS.StartRange,638))</f>
        <v/>
      </c>
      <c r="G2710" s="54"/>
      <c r="H2710" s="52" t="str">
        <f>IF(AND(I.Compliance.FulfilledCCUS&gt;0,I.CCUS.RangeCount&gt;=638,F2710=""),"Incomplete","Complete")</f>
        <v>Complete</v>
      </c>
      <c r="I2710" s="55" t="s">
        <v>2907</v>
      </c>
    </row>
    <row r="2711" spans="2:9" ht="15" customHeight="1" x14ac:dyDescent="0.25">
      <c r="B2711" s="51" t="s">
        <v>126</v>
      </c>
      <c r="C2711" s="52">
        <v>639</v>
      </c>
      <c r="D2711" s="53" t="s">
        <v>4329</v>
      </c>
      <c r="E2711" s="54"/>
      <c r="F2711" s="52" t="str">
        <f>IF(INDEX(I.CCUS.StartRange,639)="","",INDEX(I.CCUS.StartRange,639))</f>
        <v/>
      </c>
      <c r="G2711" s="54"/>
      <c r="H2711" s="52" t="str">
        <f>IF(AND(I.Compliance.FulfilledCCUS&gt;0,I.CCUS.RangeCount&gt;=639,F2711=""),"Incomplete","Complete")</f>
        <v>Complete</v>
      </c>
      <c r="I2711" s="55" t="s">
        <v>2908</v>
      </c>
    </row>
    <row r="2712" spans="2:9" ht="15" customHeight="1" x14ac:dyDescent="0.25">
      <c r="B2712" s="51" t="s">
        <v>126</v>
      </c>
      <c r="C2712" s="52">
        <v>640</v>
      </c>
      <c r="D2712" s="53" t="s">
        <v>4329</v>
      </c>
      <c r="E2712" s="54"/>
      <c r="F2712" s="52" t="str">
        <f>IF(INDEX(I.CCUS.StartRange,640)="","",INDEX(I.CCUS.StartRange,640))</f>
        <v/>
      </c>
      <c r="G2712" s="54"/>
      <c r="H2712" s="52" t="str">
        <f>IF(AND(I.Compliance.FulfilledCCUS&gt;0,I.CCUS.RangeCount&gt;=640,F2712=""),"Incomplete","Complete")</f>
        <v>Complete</v>
      </c>
      <c r="I2712" s="55" t="s">
        <v>2909</v>
      </c>
    </row>
    <row r="2713" spans="2:9" ht="15" customHeight="1" x14ac:dyDescent="0.25">
      <c r="B2713" s="51" t="s">
        <v>126</v>
      </c>
      <c r="C2713" s="52">
        <v>641</v>
      </c>
      <c r="D2713" s="53" t="s">
        <v>4329</v>
      </c>
      <c r="E2713" s="54"/>
      <c r="F2713" s="52" t="str">
        <f>IF(INDEX(I.CCUS.StartRange,641)="","",INDEX(I.CCUS.StartRange,641))</f>
        <v/>
      </c>
      <c r="G2713" s="54"/>
      <c r="H2713" s="52" t="str">
        <f>IF(AND(I.Compliance.FulfilledCCUS&gt;0,I.CCUS.RangeCount&gt;=641,F2713=""),"Incomplete","Complete")</f>
        <v>Complete</v>
      </c>
      <c r="I2713" s="55" t="s">
        <v>2910</v>
      </c>
    </row>
    <row r="2714" spans="2:9" ht="15" customHeight="1" x14ac:dyDescent="0.25">
      <c r="B2714" s="51" t="s">
        <v>126</v>
      </c>
      <c r="C2714" s="52">
        <v>642</v>
      </c>
      <c r="D2714" s="53" t="s">
        <v>4329</v>
      </c>
      <c r="E2714" s="54"/>
      <c r="F2714" s="52" t="str">
        <f>IF(INDEX(I.CCUS.StartRange,642)="","",INDEX(I.CCUS.StartRange,642))</f>
        <v/>
      </c>
      <c r="G2714" s="54"/>
      <c r="H2714" s="52" t="str">
        <f>IF(AND(I.Compliance.FulfilledCCUS&gt;0,I.CCUS.RangeCount&gt;=642,F2714=""),"Incomplete","Complete")</f>
        <v>Complete</v>
      </c>
      <c r="I2714" s="55" t="s">
        <v>2911</v>
      </c>
    </row>
    <row r="2715" spans="2:9" ht="15" customHeight="1" x14ac:dyDescent="0.25">
      <c r="B2715" s="51" t="s">
        <v>126</v>
      </c>
      <c r="C2715" s="52">
        <v>643</v>
      </c>
      <c r="D2715" s="53" t="s">
        <v>4329</v>
      </c>
      <c r="E2715" s="54"/>
      <c r="F2715" s="52" t="str">
        <f>IF(INDEX(I.CCUS.StartRange,643)="","",INDEX(I.CCUS.StartRange,643))</f>
        <v/>
      </c>
      <c r="G2715" s="54"/>
      <c r="H2715" s="52" t="str">
        <f>IF(AND(I.Compliance.FulfilledCCUS&gt;0,I.CCUS.RangeCount&gt;=643,F2715=""),"Incomplete","Complete")</f>
        <v>Complete</v>
      </c>
      <c r="I2715" s="55" t="s">
        <v>2912</v>
      </c>
    </row>
    <row r="2716" spans="2:9" ht="15" customHeight="1" x14ac:dyDescent="0.25">
      <c r="B2716" s="51" t="s">
        <v>126</v>
      </c>
      <c r="C2716" s="52">
        <v>644</v>
      </c>
      <c r="D2716" s="53" t="s">
        <v>4329</v>
      </c>
      <c r="E2716" s="54"/>
      <c r="F2716" s="52" t="str">
        <f>IF(INDEX(I.CCUS.StartRange,644)="","",INDEX(I.CCUS.StartRange,644))</f>
        <v/>
      </c>
      <c r="G2716" s="54"/>
      <c r="H2716" s="52" t="str">
        <f>IF(AND(I.Compliance.FulfilledCCUS&gt;0,I.CCUS.RangeCount&gt;=644,F2716=""),"Incomplete","Complete")</f>
        <v>Complete</v>
      </c>
      <c r="I2716" s="55" t="s">
        <v>2913</v>
      </c>
    </row>
    <row r="2717" spans="2:9" ht="15" customHeight="1" x14ac:dyDescent="0.25">
      <c r="B2717" s="51" t="s">
        <v>126</v>
      </c>
      <c r="C2717" s="52">
        <v>645</v>
      </c>
      <c r="D2717" s="53" t="s">
        <v>4329</v>
      </c>
      <c r="E2717" s="54"/>
      <c r="F2717" s="52" t="str">
        <f>IF(INDEX(I.CCUS.StartRange,645)="","",INDEX(I.CCUS.StartRange,645))</f>
        <v/>
      </c>
      <c r="G2717" s="54"/>
      <c r="H2717" s="52" t="str">
        <f>IF(AND(I.Compliance.FulfilledCCUS&gt;0,I.CCUS.RangeCount&gt;=645,F2717=""),"Incomplete","Complete")</f>
        <v>Complete</v>
      </c>
      <c r="I2717" s="55" t="s">
        <v>2914</v>
      </c>
    </row>
    <row r="2718" spans="2:9" ht="15" customHeight="1" x14ac:dyDescent="0.25">
      <c r="B2718" s="51" t="s">
        <v>126</v>
      </c>
      <c r="C2718" s="52">
        <v>646</v>
      </c>
      <c r="D2718" s="53" t="s">
        <v>4329</v>
      </c>
      <c r="E2718" s="54"/>
      <c r="F2718" s="52" t="str">
        <f>IF(INDEX(I.CCUS.StartRange,646)="","",INDEX(I.CCUS.StartRange,646))</f>
        <v/>
      </c>
      <c r="G2718" s="54"/>
      <c r="H2718" s="52" t="str">
        <f>IF(AND(I.Compliance.FulfilledCCUS&gt;0,I.CCUS.RangeCount&gt;=646,F2718=""),"Incomplete","Complete")</f>
        <v>Complete</v>
      </c>
      <c r="I2718" s="55" t="s">
        <v>2915</v>
      </c>
    </row>
    <row r="2719" spans="2:9" ht="15" customHeight="1" x14ac:dyDescent="0.25">
      <c r="B2719" s="51" t="s">
        <v>126</v>
      </c>
      <c r="C2719" s="52">
        <v>647</v>
      </c>
      <c r="D2719" s="53" t="s">
        <v>4329</v>
      </c>
      <c r="E2719" s="54"/>
      <c r="F2719" s="52" t="str">
        <f>IF(INDEX(I.CCUS.StartRange,647)="","",INDEX(I.CCUS.StartRange,647))</f>
        <v/>
      </c>
      <c r="G2719" s="54"/>
      <c r="H2719" s="52" t="str">
        <f>IF(AND(I.Compliance.FulfilledCCUS&gt;0,I.CCUS.RangeCount&gt;=647,F2719=""),"Incomplete","Complete")</f>
        <v>Complete</v>
      </c>
      <c r="I2719" s="55" t="s">
        <v>2916</v>
      </c>
    </row>
    <row r="2720" spans="2:9" ht="15" customHeight="1" x14ac:dyDescent="0.25">
      <c r="B2720" s="51" t="s">
        <v>126</v>
      </c>
      <c r="C2720" s="52">
        <v>648</v>
      </c>
      <c r="D2720" s="53" t="s">
        <v>4329</v>
      </c>
      <c r="E2720" s="54"/>
      <c r="F2720" s="52" t="str">
        <f>IF(INDEX(I.CCUS.StartRange,648)="","",INDEX(I.CCUS.StartRange,648))</f>
        <v/>
      </c>
      <c r="G2720" s="54"/>
      <c r="H2720" s="52" t="str">
        <f>IF(AND(I.Compliance.FulfilledCCUS&gt;0,I.CCUS.RangeCount&gt;=648,F2720=""),"Incomplete","Complete")</f>
        <v>Complete</v>
      </c>
      <c r="I2720" s="55" t="s">
        <v>2917</v>
      </c>
    </row>
    <row r="2721" spans="2:9" ht="15" customHeight="1" x14ac:dyDescent="0.25">
      <c r="B2721" s="51" t="s">
        <v>126</v>
      </c>
      <c r="C2721" s="52">
        <v>649</v>
      </c>
      <c r="D2721" s="53" t="s">
        <v>4329</v>
      </c>
      <c r="E2721" s="54"/>
      <c r="F2721" s="52" t="str">
        <f>IF(INDEX(I.CCUS.StartRange,649)="","",INDEX(I.CCUS.StartRange,649))</f>
        <v/>
      </c>
      <c r="G2721" s="54"/>
      <c r="H2721" s="52" t="str">
        <f>IF(AND(I.Compliance.FulfilledCCUS&gt;0,I.CCUS.RangeCount&gt;=649,F2721=""),"Incomplete","Complete")</f>
        <v>Complete</v>
      </c>
      <c r="I2721" s="55" t="s">
        <v>2918</v>
      </c>
    </row>
    <row r="2722" spans="2:9" ht="15" customHeight="1" x14ac:dyDescent="0.25">
      <c r="B2722" s="51" t="s">
        <v>126</v>
      </c>
      <c r="C2722" s="52">
        <v>650</v>
      </c>
      <c r="D2722" s="53" t="s">
        <v>4329</v>
      </c>
      <c r="E2722" s="54"/>
      <c r="F2722" s="52" t="str">
        <f>IF(INDEX(I.CCUS.StartRange,650)="","",INDEX(I.CCUS.StartRange,650))</f>
        <v/>
      </c>
      <c r="G2722" s="54"/>
      <c r="H2722" s="52" t="str">
        <f>IF(AND(I.Compliance.FulfilledCCUS&gt;0,I.CCUS.RangeCount&gt;=650,F2722=""),"Incomplete","Complete")</f>
        <v>Complete</v>
      </c>
      <c r="I2722" s="55" t="s">
        <v>2919</v>
      </c>
    </row>
    <row r="2723" spans="2:9" ht="15" customHeight="1" x14ac:dyDescent="0.25">
      <c r="B2723" s="51" t="s">
        <v>126</v>
      </c>
      <c r="C2723" s="52">
        <v>651</v>
      </c>
      <c r="D2723" s="53" t="s">
        <v>4329</v>
      </c>
      <c r="E2723" s="54"/>
      <c r="F2723" s="52" t="str">
        <f>IF(INDEX(I.CCUS.StartRange,651)="","",INDEX(I.CCUS.StartRange,651))</f>
        <v/>
      </c>
      <c r="G2723" s="54"/>
      <c r="H2723" s="52" t="str">
        <f>IF(AND(I.Compliance.FulfilledCCUS&gt;0,I.CCUS.RangeCount&gt;=651,F2723=""),"Incomplete","Complete")</f>
        <v>Complete</v>
      </c>
      <c r="I2723" s="55" t="s">
        <v>2920</v>
      </c>
    </row>
    <row r="2724" spans="2:9" ht="15" customHeight="1" x14ac:dyDescent="0.25">
      <c r="B2724" s="51" t="s">
        <v>126</v>
      </c>
      <c r="C2724" s="52">
        <v>652</v>
      </c>
      <c r="D2724" s="53" t="s">
        <v>4329</v>
      </c>
      <c r="E2724" s="54"/>
      <c r="F2724" s="52" t="str">
        <f>IF(INDEX(I.CCUS.StartRange,652)="","",INDEX(I.CCUS.StartRange,652))</f>
        <v/>
      </c>
      <c r="G2724" s="54"/>
      <c r="H2724" s="52" t="str">
        <f>IF(AND(I.Compliance.FulfilledCCUS&gt;0,I.CCUS.RangeCount&gt;=652,F2724=""),"Incomplete","Complete")</f>
        <v>Complete</v>
      </c>
      <c r="I2724" s="55" t="s">
        <v>2921</v>
      </c>
    </row>
    <row r="2725" spans="2:9" ht="15" customHeight="1" x14ac:dyDescent="0.25">
      <c r="B2725" s="51" t="s">
        <v>126</v>
      </c>
      <c r="C2725" s="52">
        <v>653</v>
      </c>
      <c r="D2725" s="53" t="s">
        <v>4329</v>
      </c>
      <c r="E2725" s="54"/>
      <c r="F2725" s="52" t="str">
        <f>IF(INDEX(I.CCUS.StartRange,653)="","",INDEX(I.CCUS.StartRange,653))</f>
        <v/>
      </c>
      <c r="G2725" s="54"/>
      <c r="H2725" s="52" t="str">
        <f>IF(AND(I.Compliance.FulfilledCCUS&gt;0,I.CCUS.RangeCount&gt;=653,F2725=""),"Incomplete","Complete")</f>
        <v>Complete</v>
      </c>
      <c r="I2725" s="55" t="s">
        <v>2922</v>
      </c>
    </row>
    <row r="2726" spans="2:9" ht="15" customHeight="1" x14ac:dyDescent="0.25">
      <c r="B2726" s="51" t="s">
        <v>126</v>
      </c>
      <c r="C2726" s="52">
        <v>654</v>
      </c>
      <c r="D2726" s="53" t="s">
        <v>4329</v>
      </c>
      <c r="E2726" s="54"/>
      <c r="F2726" s="52" t="str">
        <f>IF(INDEX(I.CCUS.StartRange,654)="","",INDEX(I.CCUS.StartRange,654))</f>
        <v/>
      </c>
      <c r="G2726" s="54"/>
      <c r="H2726" s="52" t="str">
        <f>IF(AND(I.Compliance.FulfilledCCUS&gt;0,I.CCUS.RangeCount&gt;=654,F2726=""),"Incomplete","Complete")</f>
        <v>Complete</v>
      </c>
      <c r="I2726" s="55" t="s">
        <v>2923</v>
      </c>
    </row>
    <row r="2727" spans="2:9" ht="15" customHeight="1" x14ac:dyDescent="0.25">
      <c r="B2727" s="51" t="s">
        <v>126</v>
      </c>
      <c r="C2727" s="52">
        <v>655</v>
      </c>
      <c r="D2727" s="53" t="s">
        <v>4329</v>
      </c>
      <c r="E2727" s="54"/>
      <c r="F2727" s="52" t="str">
        <f>IF(INDEX(I.CCUS.StartRange,655)="","",INDEX(I.CCUS.StartRange,655))</f>
        <v/>
      </c>
      <c r="G2727" s="54"/>
      <c r="H2727" s="52" t="str">
        <f>IF(AND(I.Compliance.FulfilledCCUS&gt;0,I.CCUS.RangeCount&gt;=655,F2727=""),"Incomplete","Complete")</f>
        <v>Complete</v>
      </c>
      <c r="I2727" s="55" t="s">
        <v>2924</v>
      </c>
    </row>
    <row r="2728" spans="2:9" ht="15" customHeight="1" x14ac:dyDescent="0.25">
      <c r="B2728" s="51" t="s">
        <v>126</v>
      </c>
      <c r="C2728" s="52">
        <v>656</v>
      </c>
      <c r="D2728" s="53" t="s">
        <v>4329</v>
      </c>
      <c r="E2728" s="54"/>
      <c r="F2728" s="52" t="str">
        <f>IF(INDEX(I.CCUS.StartRange,656)="","",INDEX(I.CCUS.StartRange,656))</f>
        <v/>
      </c>
      <c r="G2728" s="54"/>
      <c r="H2728" s="52" t="str">
        <f>IF(AND(I.Compliance.FulfilledCCUS&gt;0,I.CCUS.RangeCount&gt;=656,F2728=""),"Incomplete","Complete")</f>
        <v>Complete</v>
      </c>
      <c r="I2728" s="55" t="s">
        <v>2925</v>
      </c>
    </row>
    <row r="2729" spans="2:9" ht="15" customHeight="1" x14ac:dyDescent="0.25">
      <c r="B2729" s="51" t="s">
        <v>126</v>
      </c>
      <c r="C2729" s="52">
        <v>657</v>
      </c>
      <c r="D2729" s="53" t="s">
        <v>4329</v>
      </c>
      <c r="E2729" s="54"/>
      <c r="F2729" s="52" t="str">
        <f>IF(INDEX(I.CCUS.StartRange,657)="","",INDEX(I.CCUS.StartRange,657))</f>
        <v/>
      </c>
      <c r="G2729" s="54"/>
      <c r="H2729" s="52" t="str">
        <f>IF(AND(I.Compliance.FulfilledCCUS&gt;0,I.CCUS.RangeCount&gt;=657,F2729=""),"Incomplete","Complete")</f>
        <v>Complete</v>
      </c>
      <c r="I2729" s="55" t="s">
        <v>2926</v>
      </c>
    </row>
    <row r="2730" spans="2:9" ht="15" customHeight="1" x14ac:dyDescent="0.25">
      <c r="B2730" s="51" t="s">
        <v>126</v>
      </c>
      <c r="C2730" s="52">
        <v>658</v>
      </c>
      <c r="D2730" s="53" t="s">
        <v>4329</v>
      </c>
      <c r="E2730" s="54"/>
      <c r="F2730" s="52" t="str">
        <f>IF(INDEX(I.CCUS.StartRange,658)="","",INDEX(I.CCUS.StartRange,658))</f>
        <v/>
      </c>
      <c r="G2730" s="54"/>
      <c r="H2730" s="52" t="str">
        <f>IF(AND(I.Compliance.FulfilledCCUS&gt;0,I.CCUS.RangeCount&gt;=658,F2730=""),"Incomplete","Complete")</f>
        <v>Complete</v>
      </c>
      <c r="I2730" s="55" t="s">
        <v>2927</v>
      </c>
    </row>
    <row r="2731" spans="2:9" ht="15" customHeight="1" x14ac:dyDescent="0.25">
      <c r="B2731" s="51" t="s">
        <v>126</v>
      </c>
      <c r="C2731" s="52">
        <v>659</v>
      </c>
      <c r="D2731" s="53" t="s">
        <v>4329</v>
      </c>
      <c r="E2731" s="54"/>
      <c r="F2731" s="52" t="str">
        <f>IF(INDEX(I.CCUS.StartRange,659)="","",INDEX(I.CCUS.StartRange,659))</f>
        <v/>
      </c>
      <c r="G2731" s="54"/>
      <c r="H2731" s="52" t="str">
        <f>IF(AND(I.Compliance.FulfilledCCUS&gt;0,I.CCUS.RangeCount&gt;=659,F2731=""),"Incomplete","Complete")</f>
        <v>Complete</v>
      </c>
      <c r="I2731" s="55" t="s">
        <v>2928</v>
      </c>
    </row>
    <row r="2732" spans="2:9" ht="15" customHeight="1" x14ac:dyDescent="0.25">
      <c r="B2732" s="51" t="s">
        <v>126</v>
      </c>
      <c r="C2732" s="52">
        <v>660</v>
      </c>
      <c r="D2732" s="53" t="s">
        <v>4329</v>
      </c>
      <c r="E2732" s="54"/>
      <c r="F2732" s="52" t="str">
        <f>IF(INDEX(I.CCUS.StartRange,660)="","",INDEX(I.CCUS.StartRange,660))</f>
        <v/>
      </c>
      <c r="G2732" s="54"/>
      <c r="H2732" s="52" t="str">
        <f>IF(AND(I.Compliance.FulfilledCCUS&gt;0,I.CCUS.RangeCount&gt;=660,F2732=""),"Incomplete","Complete")</f>
        <v>Complete</v>
      </c>
      <c r="I2732" s="55" t="s">
        <v>2929</v>
      </c>
    </row>
    <row r="2733" spans="2:9" ht="15" customHeight="1" x14ac:dyDescent="0.25">
      <c r="B2733" s="51" t="s">
        <v>126</v>
      </c>
      <c r="C2733" s="52">
        <v>661</v>
      </c>
      <c r="D2733" s="53" t="s">
        <v>4329</v>
      </c>
      <c r="E2733" s="54"/>
      <c r="F2733" s="52" t="str">
        <f>IF(INDEX(I.CCUS.StartRange,661)="","",INDEX(I.CCUS.StartRange,661))</f>
        <v/>
      </c>
      <c r="G2733" s="54"/>
      <c r="H2733" s="52" t="str">
        <f>IF(AND(I.Compliance.FulfilledCCUS&gt;0,I.CCUS.RangeCount&gt;=661,F2733=""),"Incomplete","Complete")</f>
        <v>Complete</v>
      </c>
      <c r="I2733" s="55" t="s">
        <v>2930</v>
      </c>
    </row>
    <row r="2734" spans="2:9" ht="15" customHeight="1" x14ac:dyDescent="0.25">
      <c r="B2734" s="51" t="s">
        <v>126</v>
      </c>
      <c r="C2734" s="52">
        <v>662</v>
      </c>
      <c r="D2734" s="53" t="s">
        <v>4329</v>
      </c>
      <c r="E2734" s="54"/>
      <c r="F2734" s="52" t="str">
        <f>IF(INDEX(I.CCUS.StartRange,662)="","",INDEX(I.CCUS.StartRange,662))</f>
        <v/>
      </c>
      <c r="G2734" s="54"/>
      <c r="H2734" s="52" t="str">
        <f>IF(AND(I.Compliance.FulfilledCCUS&gt;0,I.CCUS.RangeCount&gt;=662,F2734=""),"Incomplete","Complete")</f>
        <v>Complete</v>
      </c>
      <c r="I2734" s="55" t="s">
        <v>2931</v>
      </c>
    </row>
    <row r="2735" spans="2:9" ht="15" customHeight="1" x14ac:dyDescent="0.25">
      <c r="B2735" s="51" t="s">
        <v>126</v>
      </c>
      <c r="C2735" s="52">
        <v>663</v>
      </c>
      <c r="D2735" s="53" t="s">
        <v>4329</v>
      </c>
      <c r="E2735" s="54"/>
      <c r="F2735" s="52" t="str">
        <f>IF(INDEX(I.CCUS.StartRange,663)="","",INDEX(I.CCUS.StartRange,663))</f>
        <v/>
      </c>
      <c r="G2735" s="54"/>
      <c r="H2735" s="52" t="str">
        <f>IF(AND(I.Compliance.FulfilledCCUS&gt;0,I.CCUS.RangeCount&gt;=663,F2735=""),"Incomplete","Complete")</f>
        <v>Complete</v>
      </c>
      <c r="I2735" s="55" t="s">
        <v>2932</v>
      </c>
    </row>
    <row r="2736" spans="2:9" ht="15" customHeight="1" x14ac:dyDescent="0.25">
      <c r="B2736" s="51" t="s">
        <v>126</v>
      </c>
      <c r="C2736" s="52">
        <v>664</v>
      </c>
      <c r="D2736" s="53" t="s">
        <v>4329</v>
      </c>
      <c r="E2736" s="54"/>
      <c r="F2736" s="52" t="str">
        <f>IF(INDEX(I.CCUS.StartRange,664)="","",INDEX(I.CCUS.StartRange,664))</f>
        <v/>
      </c>
      <c r="G2736" s="54"/>
      <c r="H2736" s="52" t="str">
        <f>IF(AND(I.Compliance.FulfilledCCUS&gt;0,I.CCUS.RangeCount&gt;=664,F2736=""),"Incomplete","Complete")</f>
        <v>Complete</v>
      </c>
      <c r="I2736" s="55" t="s">
        <v>2933</v>
      </c>
    </row>
    <row r="2737" spans="2:9" ht="15" customHeight="1" x14ac:dyDescent="0.25">
      <c r="B2737" s="51" t="s">
        <v>126</v>
      </c>
      <c r="C2737" s="52">
        <v>665</v>
      </c>
      <c r="D2737" s="53" t="s">
        <v>4329</v>
      </c>
      <c r="E2737" s="54"/>
      <c r="F2737" s="52" t="str">
        <f>IF(INDEX(I.CCUS.StartRange,665)="","",INDEX(I.CCUS.StartRange,665))</f>
        <v/>
      </c>
      <c r="G2737" s="54"/>
      <c r="H2737" s="52" t="str">
        <f>IF(AND(I.Compliance.FulfilledCCUS&gt;0,I.CCUS.RangeCount&gt;=665,F2737=""),"Incomplete","Complete")</f>
        <v>Complete</v>
      </c>
      <c r="I2737" s="55" t="s">
        <v>2934</v>
      </c>
    </row>
    <row r="2738" spans="2:9" ht="15" customHeight="1" x14ac:dyDescent="0.25">
      <c r="B2738" s="51" t="s">
        <v>126</v>
      </c>
      <c r="C2738" s="52">
        <v>666</v>
      </c>
      <c r="D2738" s="53" t="s">
        <v>4329</v>
      </c>
      <c r="E2738" s="54"/>
      <c r="F2738" s="52" t="str">
        <f>IF(INDEX(I.CCUS.StartRange,666)="","",INDEX(I.CCUS.StartRange,666))</f>
        <v/>
      </c>
      <c r="G2738" s="54"/>
      <c r="H2738" s="52" t="str">
        <f>IF(AND(I.Compliance.FulfilledCCUS&gt;0,I.CCUS.RangeCount&gt;=666,F2738=""),"Incomplete","Complete")</f>
        <v>Complete</v>
      </c>
      <c r="I2738" s="55" t="s">
        <v>2935</v>
      </c>
    </row>
    <row r="2739" spans="2:9" ht="15" customHeight="1" x14ac:dyDescent="0.25">
      <c r="B2739" s="51" t="s">
        <v>126</v>
      </c>
      <c r="C2739" s="52">
        <v>667</v>
      </c>
      <c r="D2739" s="53" t="s">
        <v>4329</v>
      </c>
      <c r="E2739" s="54"/>
      <c r="F2739" s="52" t="str">
        <f>IF(INDEX(I.CCUS.StartRange,667)="","",INDEX(I.CCUS.StartRange,667))</f>
        <v/>
      </c>
      <c r="G2739" s="54"/>
      <c r="H2739" s="52" t="str">
        <f>IF(AND(I.Compliance.FulfilledCCUS&gt;0,I.CCUS.RangeCount&gt;=667,F2739=""),"Incomplete","Complete")</f>
        <v>Complete</v>
      </c>
      <c r="I2739" s="55" t="s">
        <v>2936</v>
      </c>
    </row>
    <row r="2740" spans="2:9" ht="15" customHeight="1" x14ac:dyDescent="0.25">
      <c r="B2740" s="51" t="s">
        <v>126</v>
      </c>
      <c r="C2740" s="52">
        <v>668</v>
      </c>
      <c r="D2740" s="53" t="s">
        <v>4329</v>
      </c>
      <c r="E2740" s="54"/>
      <c r="F2740" s="52" t="str">
        <f>IF(INDEX(I.CCUS.StartRange,668)="","",INDEX(I.CCUS.StartRange,668))</f>
        <v/>
      </c>
      <c r="G2740" s="54"/>
      <c r="H2740" s="52" t="str">
        <f>IF(AND(I.Compliance.FulfilledCCUS&gt;0,I.CCUS.RangeCount&gt;=668,F2740=""),"Incomplete","Complete")</f>
        <v>Complete</v>
      </c>
      <c r="I2740" s="55" t="s">
        <v>2937</v>
      </c>
    </row>
    <row r="2741" spans="2:9" ht="15" customHeight="1" x14ac:dyDescent="0.25">
      <c r="B2741" s="51" t="s">
        <v>126</v>
      </c>
      <c r="C2741" s="52">
        <v>669</v>
      </c>
      <c r="D2741" s="53" t="s">
        <v>4329</v>
      </c>
      <c r="E2741" s="54"/>
      <c r="F2741" s="52" t="str">
        <f>IF(INDEX(I.CCUS.StartRange,669)="","",INDEX(I.CCUS.StartRange,669))</f>
        <v/>
      </c>
      <c r="G2741" s="54"/>
      <c r="H2741" s="52" t="str">
        <f>IF(AND(I.Compliance.FulfilledCCUS&gt;0,I.CCUS.RangeCount&gt;=669,F2741=""),"Incomplete","Complete")</f>
        <v>Complete</v>
      </c>
      <c r="I2741" s="55" t="s">
        <v>2938</v>
      </c>
    </row>
    <row r="2742" spans="2:9" ht="15" customHeight="1" x14ac:dyDescent="0.25">
      <c r="B2742" s="51" t="s">
        <v>126</v>
      </c>
      <c r="C2742" s="52">
        <v>670</v>
      </c>
      <c r="D2742" s="53" t="s">
        <v>4329</v>
      </c>
      <c r="E2742" s="54"/>
      <c r="F2742" s="52" t="str">
        <f>IF(INDEX(I.CCUS.StartRange,670)="","",INDEX(I.CCUS.StartRange,670))</f>
        <v/>
      </c>
      <c r="G2742" s="54"/>
      <c r="H2742" s="52" t="str">
        <f>IF(AND(I.Compliance.FulfilledCCUS&gt;0,I.CCUS.RangeCount&gt;=670,F2742=""),"Incomplete","Complete")</f>
        <v>Complete</v>
      </c>
      <c r="I2742" s="55" t="s">
        <v>2939</v>
      </c>
    </row>
    <row r="2743" spans="2:9" ht="15" customHeight="1" x14ac:dyDescent="0.25">
      <c r="B2743" s="51" t="s">
        <v>126</v>
      </c>
      <c r="C2743" s="52">
        <v>671</v>
      </c>
      <c r="D2743" s="53" t="s">
        <v>4329</v>
      </c>
      <c r="E2743" s="54"/>
      <c r="F2743" s="52" t="str">
        <f>IF(INDEX(I.CCUS.StartRange,671)="","",INDEX(I.CCUS.StartRange,671))</f>
        <v/>
      </c>
      <c r="G2743" s="54"/>
      <c r="H2743" s="52" t="str">
        <f>IF(AND(I.Compliance.FulfilledCCUS&gt;0,I.CCUS.RangeCount&gt;=671,F2743=""),"Incomplete","Complete")</f>
        <v>Complete</v>
      </c>
      <c r="I2743" s="55" t="s">
        <v>2940</v>
      </c>
    </row>
    <row r="2744" spans="2:9" ht="15" customHeight="1" x14ac:dyDescent="0.25">
      <c r="B2744" s="51" t="s">
        <v>126</v>
      </c>
      <c r="C2744" s="52">
        <v>672</v>
      </c>
      <c r="D2744" s="53" t="s">
        <v>4329</v>
      </c>
      <c r="E2744" s="54"/>
      <c r="F2744" s="52" t="str">
        <f>IF(INDEX(I.CCUS.StartRange,672)="","",INDEX(I.CCUS.StartRange,672))</f>
        <v/>
      </c>
      <c r="G2744" s="54"/>
      <c r="H2744" s="52" t="str">
        <f>IF(AND(I.Compliance.FulfilledCCUS&gt;0,I.CCUS.RangeCount&gt;=672,F2744=""),"Incomplete","Complete")</f>
        <v>Complete</v>
      </c>
      <c r="I2744" s="55" t="s">
        <v>2941</v>
      </c>
    </row>
    <row r="2745" spans="2:9" ht="15" customHeight="1" x14ac:dyDescent="0.25">
      <c r="B2745" s="51" t="s">
        <v>126</v>
      </c>
      <c r="C2745" s="52">
        <v>673</v>
      </c>
      <c r="D2745" s="53" t="s">
        <v>4329</v>
      </c>
      <c r="E2745" s="54"/>
      <c r="F2745" s="52" t="str">
        <f>IF(INDEX(I.CCUS.StartRange,673)="","",INDEX(I.CCUS.StartRange,673))</f>
        <v/>
      </c>
      <c r="G2745" s="54"/>
      <c r="H2745" s="52" t="str">
        <f>IF(AND(I.Compliance.FulfilledCCUS&gt;0,I.CCUS.RangeCount&gt;=673,F2745=""),"Incomplete","Complete")</f>
        <v>Complete</v>
      </c>
      <c r="I2745" s="55" t="s">
        <v>2942</v>
      </c>
    </row>
    <row r="2746" spans="2:9" ht="15" customHeight="1" x14ac:dyDescent="0.25">
      <c r="B2746" s="51" t="s">
        <v>126</v>
      </c>
      <c r="C2746" s="52">
        <v>674</v>
      </c>
      <c r="D2746" s="53" t="s">
        <v>4329</v>
      </c>
      <c r="E2746" s="54"/>
      <c r="F2746" s="52" t="str">
        <f>IF(INDEX(I.CCUS.StartRange,674)="","",INDEX(I.CCUS.StartRange,674))</f>
        <v/>
      </c>
      <c r="G2746" s="54"/>
      <c r="H2746" s="52" t="str">
        <f>IF(AND(I.Compliance.FulfilledCCUS&gt;0,I.CCUS.RangeCount&gt;=674,F2746=""),"Incomplete","Complete")</f>
        <v>Complete</v>
      </c>
      <c r="I2746" s="55" t="s">
        <v>2943</v>
      </c>
    </row>
    <row r="2747" spans="2:9" ht="15" customHeight="1" x14ac:dyDescent="0.25">
      <c r="B2747" s="51" t="s">
        <v>126</v>
      </c>
      <c r="C2747" s="52">
        <v>675</v>
      </c>
      <c r="D2747" s="53" t="s">
        <v>4329</v>
      </c>
      <c r="E2747" s="54"/>
      <c r="F2747" s="52" t="str">
        <f>IF(INDEX(I.CCUS.StartRange,675)="","",INDEX(I.CCUS.StartRange,675))</f>
        <v/>
      </c>
      <c r="G2747" s="54"/>
      <c r="H2747" s="52" t="str">
        <f>IF(AND(I.Compliance.FulfilledCCUS&gt;0,I.CCUS.RangeCount&gt;=675,F2747=""),"Incomplete","Complete")</f>
        <v>Complete</v>
      </c>
      <c r="I2747" s="55" t="s">
        <v>2944</v>
      </c>
    </row>
    <row r="2748" spans="2:9" ht="15" customHeight="1" x14ac:dyDescent="0.25">
      <c r="B2748" s="51" t="s">
        <v>126</v>
      </c>
      <c r="C2748" s="52">
        <v>676</v>
      </c>
      <c r="D2748" s="53" t="s">
        <v>4329</v>
      </c>
      <c r="E2748" s="54"/>
      <c r="F2748" s="52" t="str">
        <f>IF(INDEX(I.CCUS.StartRange,676)="","",INDEX(I.CCUS.StartRange,676))</f>
        <v/>
      </c>
      <c r="G2748" s="54"/>
      <c r="H2748" s="52" t="str">
        <f>IF(AND(I.Compliance.FulfilledCCUS&gt;0,I.CCUS.RangeCount&gt;=676,F2748=""),"Incomplete","Complete")</f>
        <v>Complete</v>
      </c>
      <c r="I2748" s="55" t="s">
        <v>2945</v>
      </c>
    </row>
    <row r="2749" spans="2:9" ht="15" customHeight="1" x14ac:dyDescent="0.25">
      <c r="B2749" s="51" t="s">
        <v>126</v>
      </c>
      <c r="C2749" s="52">
        <v>677</v>
      </c>
      <c r="D2749" s="53" t="s">
        <v>4329</v>
      </c>
      <c r="E2749" s="54"/>
      <c r="F2749" s="52" t="str">
        <f>IF(INDEX(I.CCUS.StartRange,677)="","",INDEX(I.CCUS.StartRange,677))</f>
        <v/>
      </c>
      <c r="G2749" s="54"/>
      <c r="H2749" s="52" t="str">
        <f>IF(AND(I.Compliance.FulfilledCCUS&gt;0,I.CCUS.RangeCount&gt;=677,F2749=""),"Incomplete","Complete")</f>
        <v>Complete</v>
      </c>
      <c r="I2749" s="55" t="s">
        <v>2946</v>
      </c>
    </row>
    <row r="2750" spans="2:9" ht="15" customHeight="1" x14ac:dyDescent="0.25">
      <c r="B2750" s="51" t="s">
        <v>126</v>
      </c>
      <c r="C2750" s="52">
        <v>678</v>
      </c>
      <c r="D2750" s="53" t="s">
        <v>4329</v>
      </c>
      <c r="E2750" s="54"/>
      <c r="F2750" s="52" t="str">
        <f>IF(INDEX(I.CCUS.StartRange,678)="","",INDEX(I.CCUS.StartRange,678))</f>
        <v/>
      </c>
      <c r="G2750" s="54"/>
      <c r="H2750" s="52" t="str">
        <f>IF(AND(I.Compliance.FulfilledCCUS&gt;0,I.CCUS.RangeCount&gt;=678,F2750=""),"Incomplete","Complete")</f>
        <v>Complete</v>
      </c>
      <c r="I2750" s="55" t="s">
        <v>2947</v>
      </c>
    </row>
    <row r="2751" spans="2:9" ht="15" customHeight="1" x14ac:dyDescent="0.25">
      <c r="B2751" s="51" t="s">
        <v>126</v>
      </c>
      <c r="C2751" s="52">
        <v>679</v>
      </c>
      <c r="D2751" s="53" t="s">
        <v>4329</v>
      </c>
      <c r="E2751" s="54"/>
      <c r="F2751" s="52" t="str">
        <f>IF(INDEX(I.CCUS.StartRange,679)="","",INDEX(I.CCUS.StartRange,679))</f>
        <v/>
      </c>
      <c r="G2751" s="54"/>
      <c r="H2751" s="52" t="str">
        <f>IF(AND(I.Compliance.FulfilledCCUS&gt;0,I.CCUS.RangeCount&gt;=679,F2751=""),"Incomplete","Complete")</f>
        <v>Complete</v>
      </c>
      <c r="I2751" s="55" t="s">
        <v>2948</v>
      </c>
    </row>
    <row r="2752" spans="2:9" ht="15" customHeight="1" x14ac:dyDescent="0.25">
      <c r="B2752" s="51" t="s">
        <v>126</v>
      </c>
      <c r="C2752" s="52">
        <v>680</v>
      </c>
      <c r="D2752" s="53" t="s">
        <v>4329</v>
      </c>
      <c r="E2752" s="54"/>
      <c r="F2752" s="52" t="str">
        <f>IF(INDEX(I.CCUS.StartRange,680)="","",INDEX(I.CCUS.StartRange,680))</f>
        <v/>
      </c>
      <c r="G2752" s="54"/>
      <c r="H2752" s="52" t="str">
        <f>IF(AND(I.Compliance.FulfilledCCUS&gt;0,I.CCUS.RangeCount&gt;=680,F2752=""),"Incomplete","Complete")</f>
        <v>Complete</v>
      </c>
      <c r="I2752" s="55" t="s">
        <v>2949</v>
      </c>
    </row>
    <row r="2753" spans="2:9" ht="15" customHeight="1" x14ac:dyDescent="0.25">
      <c r="B2753" s="51" t="s">
        <v>126</v>
      </c>
      <c r="C2753" s="52">
        <v>681</v>
      </c>
      <c r="D2753" s="53" t="s">
        <v>4329</v>
      </c>
      <c r="E2753" s="54"/>
      <c r="F2753" s="52" t="str">
        <f>IF(INDEX(I.CCUS.StartRange,681)="","",INDEX(I.CCUS.StartRange,681))</f>
        <v/>
      </c>
      <c r="G2753" s="54"/>
      <c r="H2753" s="52" t="str">
        <f>IF(AND(I.Compliance.FulfilledCCUS&gt;0,I.CCUS.RangeCount&gt;=681,F2753=""),"Incomplete","Complete")</f>
        <v>Complete</v>
      </c>
      <c r="I2753" s="55" t="s">
        <v>2950</v>
      </c>
    </row>
    <row r="2754" spans="2:9" ht="15" customHeight="1" x14ac:dyDescent="0.25">
      <c r="B2754" s="51" t="s">
        <v>126</v>
      </c>
      <c r="C2754" s="52">
        <v>682</v>
      </c>
      <c r="D2754" s="53" t="s">
        <v>4329</v>
      </c>
      <c r="E2754" s="54"/>
      <c r="F2754" s="52" t="str">
        <f>IF(INDEX(I.CCUS.StartRange,682)="","",INDEX(I.CCUS.StartRange,682))</f>
        <v/>
      </c>
      <c r="G2754" s="54"/>
      <c r="H2754" s="52" t="str">
        <f>IF(AND(I.Compliance.FulfilledCCUS&gt;0,I.CCUS.RangeCount&gt;=682,F2754=""),"Incomplete","Complete")</f>
        <v>Complete</v>
      </c>
      <c r="I2754" s="55" t="s">
        <v>2951</v>
      </c>
    </row>
    <row r="2755" spans="2:9" ht="15" customHeight="1" x14ac:dyDescent="0.25">
      <c r="B2755" s="51" t="s">
        <v>126</v>
      </c>
      <c r="C2755" s="52">
        <v>683</v>
      </c>
      <c r="D2755" s="53" t="s">
        <v>4329</v>
      </c>
      <c r="E2755" s="54"/>
      <c r="F2755" s="52" t="str">
        <f>IF(INDEX(I.CCUS.StartRange,683)="","",INDEX(I.CCUS.StartRange,683))</f>
        <v/>
      </c>
      <c r="G2755" s="54"/>
      <c r="H2755" s="52" t="str">
        <f>IF(AND(I.Compliance.FulfilledCCUS&gt;0,I.CCUS.RangeCount&gt;=683,F2755=""),"Incomplete","Complete")</f>
        <v>Complete</v>
      </c>
      <c r="I2755" s="55" t="s">
        <v>2952</v>
      </c>
    </row>
    <row r="2756" spans="2:9" ht="15" customHeight="1" x14ac:dyDescent="0.25">
      <c r="B2756" s="51" t="s">
        <v>126</v>
      </c>
      <c r="C2756" s="52">
        <v>684</v>
      </c>
      <c r="D2756" s="53" t="s">
        <v>4329</v>
      </c>
      <c r="E2756" s="54"/>
      <c r="F2756" s="52" t="str">
        <f>IF(INDEX(I.CCUS.StartRange,684)="","",INDEX(I.CCUS.StartRange,684))</f>
        <v/>
      </c>
      <c r="G2756" s="54"/>
      <c r="H2756" s="52" t="str">
        <f>IF(AND(I.Compliance.FulfilledCCUS&gt;0,I.CCUS.RangeCount&gt;=684,F2756=""),"Incomplete","Complete")</f>
        <v>Complete</v>
      </c>
      <c r="I2756" s="55" t="s">
        <v>2953</v>
      </c>
    </row>
    <row r="2757" spans="2:9" ht="15" customHeight="1" x14ac:dyDescent="0.25">
      <c r="B2757" s="51" t="s">
        <v>126</v>
      </c>
      <c r="C2757" s="52">
        <v>685</v>
      </c>
      <c r="D2757" s="53" t="s">
        <v>4329</v>
      </c>
      <c r="E2757" s="54"/>
      <c r="F2757" s="52" t="str">
        <f>IF(INDEX(I.CCUS.StartRange,685)="","",INDEX(I.CCUS.StartRange,685))</f>
        <v/>
      </c>
      <c r="G2757" s="54"/>
      <c r="H2757" s="52" t="str">
        <f>IF(AND(I.Compliance.FulfilledCCUS&gt;0,I.CCUS.RangeCount&gt;=685,F2757=""),"Incomplete","Complete")</f>
        <v>Complete</v>
      </c>
      <c r="I2757" s="55" t="s">
        <v>2954</v>
      </c>
    </row>
    <row r="2758" spans="2:9" ht="15" customHeight="1" x14ac:dyDescent="0.25">
      <c r="B2758" s="51" t="s">
        <v>126</v>
      </c>
      <c r="C2758" s="52">
        <v>686</v>
      </c>
      <c r="D2758" s="53" t="s">
        <v>4329</v>
      </c>
      <c r="E2758" s="54"/>
      <c r="F2758" s="52" t="str">
        <f>IF(INDEX(I.CCUS.StartRange,686)="","",INDEX(I.CCUS.StartRange,686))</f>
        <v/>
      </c>
      <c r="G2758" s="54"/>
      <c r="H2758" s="52" t="str">
        <f>IF(AND(I.Compliance.FulfilledCCUS&gt;0,I.CCUS.RangeCount&gt;=686,F2758=""),"Incomplete","Complete")</f>
        <v>Complete</v>
      </c>
      <c r="I2758" s="55" t="s">
        <v>2955</v>
      </c>
    </row>
    <row r="2759" spans="2:9" ht="15" customHeight="1" x14ac:dyDescent="0.25">
      <c r="B2759" s="51" t="s">
        <v>126</v>
      </c>
      <c r="C2759" s="52">
        <v>687</v>
      </c>
      <c r="D2759" s="53" t="s">
        <v>4329</v>
      </c>
      <c r="E2759" s="54"/>
      <c r="F2759" s="52" t="str">
        <f>IF(INDEX(I.CCUS.StartRange,687)="","",INDEX(I.CCUS.StartRange,687))</f>
        <v/>
      </c>
      <c r="G2759" s="54"/>
      <c r="H2759" s="52" t="str">
        <f>IF(AND(I.Compliance.FulfilledCCUS&gt;0,I.CCUS.RangeCount&gt;=687,F2759=""),"Incomplete","Complete")</f>
        <v>Complete</v>
      </c>
      <c r="I2759" s="55" t="s">
        <v>2956</v>
      </c>
    </row>
    <row r="2760" spans="2:9" ht="15" customHeight="1" x14ac:dyDescent="0.25">
      <c r="B2760" s="51" t="s">
        <v>126</v>
      </c>
      <c r="C2760" s="52">
        <v>688</v>
      </c>
      <c r="D2760" s="53" t="s">
        <v>4329</v>
      </c>
      <c r="E2760" s="54"/>
      <c r="F2760" s="52" t="str">
        <f>IF(INDEX(I.CCUS.StartRange,688)="","",INDEX(I.CCUS.StartRange,688))</f>
        <v/>
      </c>
      <c r="G2760" s="54"/>
      <c r="H2760" s="52" t="str">
        <f>IF(AND(I.Compliance.FulfilledCCUS&gt;0,I.CCUS.RangeCount&gt;=688,F2760=""),"Incomplete","Complete")</f>
        <v>Complete</v>
      </c>
      <c r="I2760" s="55" t="s">
        <v>2957</v>
      </c>
    </row>
    <row r="2761" spans="2:9" ht="15" customHeight="1" x14ac:dyDescent="0.25">
      <c r="B2761" s="51" t="s">
        <v>126</v>
      </c>
      <c r="C2761" s="52">
        <v>689</v>
      </c>
      <c r="D2761" s="53" t="s">
        <v>4329</v>
      </c>
      <c r="E2761" s="54"/>
      <c r="F2761" s="52" t="str">
        <f>IF(INDEX(I.CCUS.StartRange,689)="","",INDEX(I.CCUS.StartRange,689))</f>
        <v/>
      </c>
      <c r="G2761" s="54"/>
      <c r="H2761" s="52" t="str">
        <f>IF(AND(I.Compliance.FulfilledCCUS&gt;0,I.CCUS.RangeCount&gt;=689,F2761=""),"Incomplete","Complete")</f>
        <v>Complete</v>
      </c>
      <c r="I2761" s="55" t="s">
        <v>2958</v>
      </c>
    </row>
    <row r="2762" spans="2:9" ht="15" customHeight="1" x14ac:dyDescent="0.25">
      <c r="B2762" s="51" t="s">
        <v>126</v>
      </c>
      <c r="C2762" s="52">
        <v>690</v>
      </c>
      <c r="D2762" s="53" t="s">
        <v>4329</v>
      </c>
      <c r="E2762" s="54"/>
      <c r="F2762" s="52" t="str">
        <f>IF(INDEX(I.CCUS.StartRange,690)="","",INDEX(I.CCUS.StartRange,690))</f>
        <v/>
      </c>
      <c r="G2762" s="54"/>
      <c r="H2762" s="52" t="str">
        <f>IF(AND(I.Compliance.FulfilledCCUS&gt;0,I.CCUS.RangeCount&gt;=690,F2762=""),"Incomplete","Complete")</f>
        <v>Complete</v>
      </c>
      <c r="I2762" s="55" t="s">
        <v>2959</v>
      </c>
    </row>
    <row r="2763" spans="2:9" ht="15" customHeight="1" x14ac:dyDescent="0.25">
      <c r="B2763" s="51" t="s">
        <v>126</v>
      </c>
      <c r="C2763" s="52">
        <v>691</v>
      </c>
      <c r="D2763" s="53" t="s">
        <v>4329</v>
      </c>
      <c r="E2763" s="54"/>
      <c r="F2763" s="52" t="str">
        <f>IF(INDEX(I.CCUS.StartRange,691)="","",INDEX(I.CCUS.StartRange,691))</f>
        <v/>
      </c>
      <c r="G2763" s="54"/>
      <c r="H2763" s="52" t="str">
        <f>IF(AND(I.Compliance.FulfilledCCUS&gt;0,I.CCUS.RangeCount&gt;=691,F2763=""),"Incomplete","Complete")</f>
        <v>Complete</v>
      </c>
      <c r="I2763" s="55" t="s">
        <v>2960</v>
      </c>
    </row>
    <row r="2764" spans="2:9" ht="15" customHeight="1" x14ac:dyDescent="0.25">
      <c r="B2764" s="51" t="s">
        <v>126</v>
      </c>
      <c r="C2764" s="52">
        <v>692</v>
      </c>
      <c r="D2764" s="53" t="s">
        <v>4329</v>
      </c>
      <c r="E2764" s="54"/>
      <c r="F2764" s="52" t="str">
        <f>IF(INDEX(I.CCUS.StartRange,692)="","",INDEX(I.CCUS.StartRange,692))</f>
        <v/>
      </c>
      <c r="G2764" s="54"/>
      <c r="H2764" s="52" t="str">
        <f>IF(AND(I.Compliance.FulfilledCCUS&gt;0,I.CCUS.RangeCount&gt;=692,F2764=""),"Incomplete","Complete")</f>
        <v>Complete</v>
      </c>
      <c r="I2764" s="55" t="s">
        <v>2961</v>
      </c>
    </row>
    <row r="2765" spans="2:9" ht="15" customHeight="1" x14ac:dyDescent="0.25">
      <c r="B2765" s="51" t="s">
        <v>126</v>
      </c>
      <c r="C2765" s="52">
        <v>693</v>
      </c>
      <c r="D2765" s="53" t="s">
        <v>4329</v>
      </c>
      <c r="E2765" s="54"/>
      <c r="F2765" s="52" t="str">
        <f>IF(INDEX(I.CCUS.StartRange,693)="","",INDEX(I.CCUS.StartRange,693))</f>
        <v/>
      </c>
      <c r="G2765" s="54"/>
      <c r="H2765" s="52" t="str">
        <f>IF(AND(I.Compliance.FulfilledCCUS&gt;0,I.CCUS.RangeCount&gt;=693,F2765=""),"Incomplete","Complete")</f>
        <v>Complete</v>
      </c>
      <c r="I2765" s="55" t="s">
        <v>2962</v>
      </c>
    </row>
    <row r="2766" spans="2:9" ht="15" customHeight="1" x14ac:dyDescent="0.25">
      <c r="B2766" s="51" t="s">
        <v>126</v>
      </c>
      <c r="C2766" s="52">
        <v>694</v>
      </c>
      <c r="D2766" s="53" t="s">
        <v>4329</v>
      </c>
      <c r="E2766" s="54"/>
      <c r="F2766" s="52" t="str">
        <f>IF(INDEX(I.CCUS.StartRange,694)="","",INDEX(I.CCUS.StartRange,694))</f>
        <v/>
      </c>
      <c r="G2766" s="54"/>
      <c r="H2766" s="52" t="str">
        <f>IF(AND(I.Compliance.FulfilledCCUS&gt;0,I.CCUS.RangeCount&gt;=694,F2766=""),"Incomplete","Complete")</f>
        <v>Complete</v>
      </c>
      <c r="I2766" s="55" t="s">
        <v>2963</v>
      </c>
    </row>
    <row r="2767" spans="2:9" ht="15" customHeight="1" x14ac:dyDescent="0.25">
      <c r="B2767" s="51" t="s">
        <v>126</v>
      </c>
      <c r="C2767" s="52">
        <v>695</v>
      </c>
      <c r="D2767" s="53" t="s">
        <v>4329</v>
      </c>
      <c r="E2767" s="54"/>
      <c r="F2767" s="52" t="str">
        <f>IF(INDEX(I.CCUS.StartRange,695)="","",INDEX(I.CCUS.StartRange,695))</f>
        <v/>
      </c>
      <c r="G2767" s="54"/>
      <c r="H2767" s="52" t="str">
        <f>IF(AND(I.Compliance.FulfilledCCUS&gt;0,I.CCUS.RangeCount&gt;=695,F2767=""),"Incomplete","Complete")</f>
        <v>Complete</v>
      </c>
      <c r="I2767" s="55" t="s">
        <v>2964</v>
      </c>
    </row>
    <row r="2768" spans="2:9" ht="15" customHeight="1" x14ac:dyDescent="0.25">
      <c r="B2768" s="51" t="s">
        <v>126</v>
      </c>
      <c r="C2768" s="52">
        <v>696</v>
      </c>
      <c r="D2768" s="53" t="s">
        <v>4329</v>
      </c>
      <c r="E2768" s="54"/>
      <c r="F2768" s="52" t="str">
        <f>IF(INDEX(I.CCUS.StartRange,696)="","",INDEX(I.CCUS.StartRange,696))</f>
        <v/>
      </c>
      <c r="G2768" s="54"/>
      <c r="H2768" s="52" t="str">
        <f>IF(AND(I.Compliance.FulfilledCCUS&gt;0,I.CCUS.RangeCount&gt;=696,F2768=""),"Incomplete","Complete")</f>
        <v>Complete</v>
      </c>
      <c r="I2768" s="55" t="s">
        <v>2965</v>
      </c>
    </row>
    <row r="2769" spans="2:9" ht="15" customHeight="1" x14ac:dyDescent="0.25">
      <c r="B2769" s="51" t="s">
        <v>126</v>
      </c>
      <c r="C2769" s="52">
        <v>697</v>
      </c>
      <c r="D2769" s="53" t="s">
        <v>4329</v>
      </c>
      <c r="E2769" s="54"/>
      <c r="F2769" s="52" t="str">
        <f>IF(INDEX(I.CCUS.StartRange,697)="","",INDEX(I.CCUS.StartRange,697))</f>
        <v/>
      </c>
      <c r="G2769" s="54"/>
      <c r="H2769" s="52" t="str">
        <f>IF(AND(I.Compliance.FulfilledCCUS&gt;0,I.CCUS.RangeCount&gt;=697,F2769=""),"Incomplete","Complete")</f>
        <v>Complete</v>
      </c>
      <c r="I2769" s="55" t="s">
        <v>2966</v>
      </c>
    </row>
    <row r="2770" spans="2:9" ht="15" customHeight="1" x14ac:dyDescent="0.25">
      <c r="B2770" s="51" t="s">
        <v>126</v>
      </c>
      <c r="C2770" s="52">
        <v>698</v>
      </c>
      <c r="D2770" s="53" t="s">
        <v>4329</v>
      </c>
      <c r="E2770" s="54"/>
      <c r="F2770" s="52" t="str">
        <f>IF(INDEX(I.CCUS.StartRange,698)="","",INDEX(I.CCUS.StartRange,698))</f>
        <v/>
      </c>
      <c r="G2770" s="54"/>
      <c r="H2770" s="52" t="str">
        <f>IF(AND(I.Compliance.FulfilledCCUS&gt;0,I.CCUS.RangeCount&gt;=698,F2770=""),"Incomplete","Complete")</f>
        <v>Complete</v>
      </c>
      <c r="I2770" s="55" t="s">
        <v>2967</v>
      </c>
    </row>
    <row r="2771" spans="2:9" ht="15" customHeight="1" x14ac:dyDescent="0.25">
      <c r="B2771" s="51" t="s">
        <v>126</v>
      </c>
      <c r="C2771" s="52">
        <v>699</v>
      </c>
      <c r="D2771" s="53" t="s">
        <v>4329</v>
      </c>
      <c r="E2771" s="54"/>
      <c r="F2771" s="52" t="str">
        <f>IF(INDEX(I.CCUS.StartRange,699)="","",INDEX(I.CCUS.StartRange,699))</f>
        <v/>
      </c>
      <c r="G2771" s="54"/>
      <c r="H2771" s="52" t="str">
        <f>IF(AND(I.Compliance.FulfilledCCUS&gt;0,I.CCUS.RangeCount&gt;=699,F2771=""),"Incomplete","Complete")</f>
        <v>Complete</v>
      </c>
      <c r="I2771" s="55" t="s">
        <v>2968</v>
      </c>
    </row>
    <row r="2772" spans="2:9" ht="15" customHeight="1" x14ac:dyDescent="0.25">
      <c r="B2772" s="51" t="s">
        <v>126</v>
      </c>
      <c r="C2772" s="52">
        <v>700</v>
      </c>
      <c r="D2772" s="53" t="s">
        <v>4329</v>
      </c>
      <c r="E2772" s="54"/>
      <c r="F2772" s="52" t="str">
        <f>IF(INDEX(I.CCUS.StartRange,700)="","",INDEX(I.CCUS.StartRange,700))</f>
        <v/>
      </c>
      <c r="G2772" s="54"/>
      <c r="H2772" s="52" t="str">
        <f>IF(AND(I.Compliance.FulfilledCCUS&gt;0,I.CCUS.RangeCount&gt;=700,F2772=""),"Incomplete","Complete")</f>
        <v>Complete</v>
      </c>
      <c r="I2772" s="55" t="s">
        <v>2969</v>
      </c>
    </row>
    <row r="2773" spans="2:9" ht="15" customHeight="1" x14ac:dyDescent="0.25">
      <c r="B2773" s="51" t="s">
        <v>126</v>
      </c>
      <c r="C2773" s="52">
        <v>701</v>
      </c>
      <c r="D2773" s="53" t="s">
        <v>4329</v>
      </c>
      <c r="E2773" s="54"/>
      <c r="F2773" s="52" t="str">
        <f>IF(INDEX(I.CCUS.StartRange,701)="","",INDEX(I.CCUS.StartRange,701))</f>
        <v/>
      </c>
      <c r="G2773" s="54"/>
      <c r="H2773" s="52" t="str">
        <f>IF(AND(I.Compliance.FulfilledCCUS&gt;0,I.CCUS.RangeCount&gt;=701,F2773=""),"Incomplete","Complete")</f>
        <v>Complete</v>
      </c>
      <c r="I2773" s="55" t="s">
        <v>2970</v>
      </c>
    </row>
    <row r="2774" spans="2:9" ht="15" customHeight="1" x14ac:dyDescent="0.25">
      <c r="B2774" s="51" t="s">
        <v>126</v>
      </c>
      <c r="C2774" s="52">
        <v>702</v>
      </c>
      <c r="D2774" s="53" t="s">
        <v>4329</v>
      </c>
      <c r="E2774" s="54"/>
      <c r="F2774" s="52" t="str">
        <f>IF(INDEX(I.CCUS.StartRange,702)="","",INDEX(I.CCUS.StartRange,702))</f>
        <v/>
      </c>
      <c r="G2774" s="54"/>
      <c r="H2774" s="52" t="str">
        <f>IF(AND(I.Compliance.FulfilledCCUS&gt;0,I.CCUS.RangeCount&gt;=702,F2774=""),"Incomplete","Complete")</f>
        <v>Complete</v>
      </c>
      <c r="I2774" s="55" t="s">
        <v>2971</v>
      </c>
    </row>
    <row r="2775" spans="2:9" ht="15" customHeight="1" x14ac:dyDescent="0.25">
      <c r="B2775" s="51" t="s">
        <v>126</v>
      </c>
      <c r="C2775" s="52">
        <v>703</v>
      </c>
      <c r="D2775" s="53" t="s">
        <v>4329</v>
      </c>
      <c r="E2775" s="54"/>
      <c r="F2775" s="52" t="str">
        <f>IF(INDEX(I.CCUS.StartRange,703)="","",INDEX(I.CCUS.StartRange,703))</f>
        <v/>
      </c>
      <c r="G2775" s="54"/>
      <c r="H2775" s="52" t="str">
        <f>IF(AND(I.Compliance.FulfilledCCUS&gt;0,I.CCUS.RangeCount&gt;=703,F2775=""),"Incomplete","Complete")</f>
        <v>Complete</v>
      </c>
      <c r="I2775" s="55" t="s">
        <v>2972</v>
      </c>
    </row>
    <row r="2776" spans="2:9" ht="15" customHeight="1" x14ac:dyDescent="0.25">
      <c r="B2776" s="51" t="s">
        <v>126</v>
      </c>
      <c r="C2776" s="52">
        <v>704</v>
      </c>
      <c r="D2776" s="53" t="s">
        <v>4329</v>
      </c>
      <c r="E2776" s="54"/>
      <c r="F2776" s="52" t="str">
        <f>IF(INDEX(I.CCUS.StartRange,704)="","",INDEX(I.CCUS.StartRange,704))</f>
        <v/>
      </c>
      <c r="G2776" s="54"/>
      <c r="H2776" s="52" t="str">
        <f>IF(AND(I.Compliance.FulfilledCCUS&gt;0,I.CCUS.RangeCount&gt;=704,F2776=""),"Incomplete","Complete")</f>
        <v>Complete</v>
      </c>
      <c r="I2776" s="55" t="s">
        <v>2973</v>
      </c>
    </row>
    <row r="2777" spans="2:9" ht="15" customHeight="1" x14ac:dyDescent="0.25">
      <c r="B2777" s="51" t="s">
        <v>126</v>
      </c>
      <c r="C2777" s="52">
        <v>705</v>
      </c>
      <c r="D2777" s="53" t="s">
        <v>4329</v>
      </c>
      <c r="E2777" s="54"/>
      <c r="F2777" s="52" t="str">
        <f>IF(INDEX(I.CCUS.StartRange,705)="","",INDEX(I.CCUS.StartRange,705))</f>
        <v/>
      </c>
      <c r="G2777" s="54"/>
      <c r="H2777" s="52" t="str">
        <f>IF(AND(I.Compliance.FulfilledCCUS&gt;0,I.CCUS.RangeCount&gt;=705,F2777=""),"Incomplete","Complete")</f>
        <v>Complete</v>
      </c>
      <c r="I2777" s="55" t="s">
        <v>2974</v>
      </c>
    </row>
    <row r="2778" spans="2:9" ht="15" customHeight="1" x14ac:dyDescent="0.25">
      <c r="B2778" s="51" t="s">
        <v>126</v>
      </c>
      <c r="C2778" s="52">
        <v>706</v>
      </c>
      <c r="D2778" s="53" t="s">
        <v>4329</v>
      </c>
      <c r="E2778" s="54"/>
      <c r="F2778" s="52" t="str">
        <f>IF(INDEX(I.CCUS.StartRange,706)="","",INDEX(I.CCUS.StartRange,706))</f>
        <v/>
      </c>
      <c r="G2778" s="54"/>
      <c r="H2778" s="52" t="str">
        <f>IF(AND(I.Compliance.FulfilledCCUS&gt;0,I.CCUS.RangeCount&gt;=706,F2778=""),"Incomplete","Complete")</f>
        <v>Complete</v>
      </c>
      <c r="I2778" s="55" t="s">
        <v>2975</v>
      </c>
    </row>
    <row r="2779" spans="2:9" ht="15" customHeight="1" x14ac:dyDescent="0.25">
      <c r="B2779" s="51" t="s">
        <v>126</v>
      </c>
      <c r="C2779" s="52">
        <v>707</v>
      </c>
      <c r="D2779" s="53" t="s">
        <v>4329</v>
      </c>
      <c r="E2779" s="54"/>
      <c r="F2779" s="52" t="str">
        <f>IF(INDEX(I.CCUS.StartRange,707)="","",INDEX(I.CCUS.StartRange,707))</f>
        <v/>
      </c>
      <c r="G2779" s="54"/>
      <c r="H2779" s="52" t="str">
        <f>IF(AND(I.Compliance.FulfilledCCUS&gt;0,I.CCUS.RangeCount&gt;=707,F2779=""),"Incomplete","Complete")</f>
        <v>Complete</v>
      </c>
      <c r="I2779" s="55" t="s">
        <v>2976</v>
      </c>
    </row>
    <row r="2780" spans="2:9" ht="15" customHeight="1" x14ac:dyDescent="0.25">
      <c r="B2780" s="51" t="s">
        <v>126</v>
      </c>
      <c r="C2780" s="52">
        <v>708</v>
      </c>
      <c r="D2780" s="53" t="s">
        <v>4329</v>
      </c>
      <c r="E2780" s="54"/>
      <c r="F2780" s="52" t="str">
        <f>IF(INDEX(I.CCUS.StartRange,708)="","",INDEX(I.CCUS.StartRange,708))</f>
        <v/>
      </c>
      <c r="G2780" s="54"/>
      <c r="H2780" s="52" t="str">
        <f>IF(AND(I.Compliance.FulfilledCCUS&gt;0,I.CCUS.RangeCount&gt;=708,F2780=""),"Incomplete","Complete")</f>
        <v>Complete</v>
      </c>
      <c r="I2780" s="55" t="s">
        <v>2977</v>
      </c>
    </row>
    <row r="2781" spans="2:9" ht="15" customHeight="1" x14ac:dyDescent="0.25">
      <c r="B2781" s="51" t="s">
        <v>126</v>
      </c>
      <c r="C2781" s="52">
        <v>709</v>
      </c>
      <c r="D2781" s="53" t="s">
        <v>4329</v>
      </c>
      <c r="E2781" s="54"/>
      <c r="F2781" s="52" t="str">
        <f>IF(INDEX(I.CCUS.StartRange,709)="","",INDEX(I.CCUS.StartRange,709))</f>
        <v/>
      </c>
      <c r="G2781" s="54"/>
      <c r="H2781" s="52" t="str">
        <f>IF(AND(I.Compliance.FulfilledCCUS&gt;0,I.CCUS.RangeCount&gt;=709,F2781=""),"Incomplete","Complete")</f>
        <v>Complete</v>
      </c>
      <c r="I2781" s="55" t="s">
        <v>2978</v>
      </c>
    </row>
    <row r="2782" spans="2:9" ht="15" customHeight="1" x14ac:dyDescent="0.25">
      <c r="B2782" s="51" t="s">
        <v>126</v>
      </c>
      <c r="C2782" s="52">
        <v>710</v>
      </c>
      <c r="D2782" s="53" t="s">
        <v>4329</v>
      </c>
      <c r="E2782" s="54"/>
      <c r="F2782" s="52" t="str">
        <f>IF(INDEX(I.CCUS.StartRange,710)="","",INDEX(I.CCUS.StartRange,710))</f>
        <v/>
      </c>
      <c r="G2782" s="54"/>
      <c r="H2782" s="52" t="str">
        <f>IF(AND(I.Compliance.FulfilledCCUS&gt;0,I.CCUS.RangeCount&gt;=710,F2782=""),"Incomplete","Complete")</f>
        <v>Complete</v>
      </c>
      <c r="I2782" s="55" t="s">
        <v>2979</v>
      </c>
    </row>
    <row r="2783" spans="2:9" ht="15" customHeight="1" x14ac:dyDescent="0.25">
      <c r="B2783" s="51" t="s">
        <v>126</v>
      </c>
      <c r="C2783" s="52">
        <v>711</v>
      </c>
      <c r="D2783" s="53" t="s">
        <v>4329</v>
      </c>
      <c r="E2783" s="54"/>
      <c r="F2783" s="52" t="str">
        <f>IF(INDEX(I.CCUS.StartRange,711)="","",INDEX(I.CCUS.StartRange,711))</f>
        <v/>
      </c>
      <c r="G2783" s="54"/>
      <c r="H2783" s="52" t="str">
        <f>IF(AND(I.Compliance.FulfilledCCUS&gt;0,I.CCUS.RangeCount&gt;=711,F2783=""),"Incomplete","Complete")</f>
        <v>Complete</v>
      </c>
      <c r="I2783" s="55" t="s">
        <v>2980</v>
      </c>
    </row>
    <row r="2784" spans="2:9" ht="15" customHeight="1" x14ac:dyDescent="0.25">
      <c r="B2784" s="51" t="s">
        <v>126</v>
      </c>
      <c r="C2784" s="52">
        <v>712</v>
      </c>
      <c r="D2784" s="53" t="s">
        <v>4329</v>
      </c>
      <c r="E2784" s="54"/>
      <c r="F2784" s="52" t="str">
        <f>IF(INDEX(I.CCUS.StartRange,712)="","",INDEX(I.CCUS.StartRange,712))</f>
        <v/>
      </c>
      <c r="G2784" s="54"/>
      <c r="H2784" s="52" t="str">
        <f>IF(AND(I.Compliance.FulfilledCCUS&gt;0,I.CCUS.RangeCount&gt;=712,F2784=""),"Incomplete","Complete")</f>
        <v>Complete</v>
      </c>
      <c r="I2784" s="55" t="s">
        <v>2981</v>
      </c>
    </row>
    <row r="2785" spans="2:9" ht="15" customHeight="1" x14ac:dyDescent="0.25">
      <c r="B2785" s="51" t="s">
        <v>126</v>
      </c>
      <c r="C2785" s="52">
        <v>713</v>
      </c>
      <c r="D2785" s="53" t="s">
        <v>4329</v>
      </c>
      <c r="E2785" s="54"/>
      <c r="F2785" s="52" t="str">
        <f>IF(INDEX(I.CCUS.StartRange,713)="","",INDEX(I.CCUS.StartRange,713))</f>
        <v/>
      </c>
      <c r="G2785" s="54"/>
      <c r="H2785" s="52" t="str">
        <f>IF(AND(I.Compliance.FulfilledCCUS&gt;0,I.CCUS.RangeCount&gt;=713,F2785=""),"Incomplete","Complete")</f>
        <v>Complete</v>
      </c>
      <c r="I2785" s="55" t="s">
        <v>2982</v>
      </c>
    </row>
    <row r="2786" spans="2:9" ht="15" customHeight="1" x14ac:dyDescent="0.25">
      <c r="B2786" s="51" t="s">
        <v>126</v>
      </c>
      <c r="C2786" s="52">
        <v>714</v>
      </c>
      <c r="D2786" s="53" t="s">
        <v>4329</v>
      </c>
      <c r="E2786" s="54"/>
      <c r="F2786" s="52" t="str">
        <f>IF(INDEX(I.CCUS.StartRange,714)="","",INDEX(I.CCUS.StartRange,714))</f>
        <v/>
      </c>
      <c r="G2786" s="54"/>
      <c r="H2786" s="52" t="str">
        <f>IF(AND(I.Compliance.FulfilledCCUS&gt;0,I.CCUS.RangeCount&gt;=714,F2786=""),"Incomplete","Complete")</f>
        <v>Complete</v>
      </c>
      <c r="I2786" s="55" t="s">
        <v>2983</v>
      </c>
    </row>
    <row r="2787" spans="2:9" ht="15" customHeight="1" x14ac:dyDescent="0.25">
      <c r="B2787" s="51" t="s">
        <v>126</v>
      </c>
      <c r="C2787" s="52">
        <v>715</v>
      </c>
      <c r="D2787" s="53" t="s">
        <v>4329</v>
      </c>
      <c r="E2787" s="54"/>
      <c r="F2787" s="52" t="str">
        <f>IF(INDEX(I.CCUS.StartRange,715)="","",INDEX(I.CCUS.StartRange,715))</f>
        <v/>
      </c>
      <c r="G2787" s="54"/>
      <c r="H2787" s="52" t="str">
        <f>IF(AND(I.Compliance.FulfilledCCUS&gt;0,I.CCUS.RangeCount&gt;=715,F2787=""),"Incomplete","Complete")</f>
        <v>Complete</v>
      </c>
      <c r="I2787" s="55" t="s">
        <v>2984</v>
      </c>
    </row>
    <row r="2788" spans="2:9" ht="15" customHeight="1" x14ac:dyDescent="0.25">
      <c r="B2788" s="51" t="s">
        <v>126</v>
      </c>
      <c r="C2788" s="52">
        <v>716</v>
      </c>
      <c r="D2788" s="53" t="s">
        <v>4329</v>
      </c>
      <c r="E2788" s="54"/>
      <c r="F2788" s="52" t="str">
        <f>IF(INDEX(I.CCUS.StartRange,716)="","",INDEX(I.CCUS.StartRange,716))</f>
        <v/>
      </c>
      <c r="G2788" s="54"/>
      <c r="H2788" s="52" t="str">
        <f>IF(AND(I.Compliance.FulfilledCCUS&gt;0,I.CCUS.RangeCount&gt;=716,F2788=""),"Incomplete","Complete")</f>
        <v>Complete</v>
      </c>
      <c r="I2788" s="55" t="s">
        <v>2985</v>
      </c>
    </row>
    <row r="2789" spans="2:9" ht="15" customHeight="1" x14ac:dyDescent="0.25">
      <c r="B2789" s="51" t="s">
        <v>126</v>
      </c>
      <c r="C2789" s="52">
        <v>717</v>
      </c>
      <c r="D2789" s="53" t="s">
        <v>4329</v>
      </c>
      <c r="E2789" s="54"/>
      <c r="F2789" s="52" t="str">
        <f>IF(INDEX(I.CCUS.StartRange,717)="","",INDEX(I.CCUS.StartRange,717))</f>
        <v/>
      </c>
      <c r="G2789" s="54"/>
      <c r="H2789" s="52" t="str">
        <f>IF(AND(I.Compliance.FulfilledCCUS&gt;0,I.CCUS.RangeCount&gt;=717,F2789=""),"Incomplete","Complete")</f>
        <v>Complete</v>
      </c>
      <c r="I2789" s="55" t="s">
        <v>2986</v>
      </c>
    </row>
    <row r="2790" spans="2:9" ht="15" customHeight="1" x14ac:dyDescent="0.25">
      <c r="B2790" s="51" t="s">
        <v>126</v>
      </c>
      <c r="C2790" s="52">
        <v>718</v>
      </c>
      <c r="D2790" s="53" t="s">
        <v>4329</v>
      </c>
      <c r="E2790" s="54"/>
      <c r="F2790" s="52" t="str">
        <f>IF(INDEX(I.CCUS.StartRange,718)="","",INDEX(I.CCUS.StartRange,718))</f>
        <v/>
      </c>
      <c r="G2790" s="54"/>
      <c r="H2790" s="52" t="str">
        <f>IF(AND(I.Compliance.FulfilledCCUS&gt;0,I.CCUS.RangeCount&gt;=718,F2790=""),"Incomplete","Complete")</f>
        <v>Complete</v>
      </c>
      <c r="I2790" s="55" t="s">
        <v>2987</v>
      </c>
    </row>
    <row r="2791" spans="2:9" ht="15" customHeight="1" x14ac:dyDescent="0.25">
      <c r="B2791" s="51" t="s">
        <v>126</v>
      </c>
      <c r="C2791" s="52">
        <v>719</v>
      </c>
      <c r="D2791" s="53" t="s">
        <v>4329</v>
      </c>
      <c r="E2791" s="54"/>
      <c r="F2791" s="52" t="str">
        <f>IF(INDEX(I.CCUS.StartRange,719)="","",INDEX(I.CCUS.StartRange,719))</f>
        <v/>
      </c>
      <c r="G2791" s="54"/>
      <c r="H2791" s="52" t="str">
        <f>IF(AND(I.Compliance.FulfilledCCUS&gt;0,I.CCUS.RangeCount&gt;=719,F2791=""),"Incomplete","Complete")</f>
        <v>Complete</v>
      </c>
      <c r="I2791" s="55" t="s">
        <v>2988</v>
      </c>
    </row>
    <row r="2792" spans="2:9" ht="15" customHeight="1" x14ac:dyDescent="0.25">
      <c r="B2792" s="51" t="s">
        <v>126</v>
      </c>
      <c r="C2792" s="52">
        <v>720</v>
      </c>
      <c r="D2792" s="53" t="s">
        <v>4329</v>
      </c>
      <c r="E2792" s="54"/>
      <c r="F2792" s="52" t="str">
        <f>IF(INDEX(I.CCUS.StartRange,720)="","",INDEX(I.CCUS.StartRange,720))</f>
        <v/>
      </c>
      <c r="G2792" s="54"/>
      <c r="H2792" s="52" t="str">
        <f>IF(AND(I.Compliance.FulfilledCCUS&gt;0,I.CCUS.RangeCount&gt;=720,F2792=""),"Incomplete","Complete")</f>
        <v>Complete</v>
      </c>
      <c r="I2792" s="55" t="s">
        <v>2989</v>
      </c>
    </row>
    <row r="2793" spans="2:9" ht="15" customHeight="1" x14ac:dyDescent="0.25">
      <c r="B2793" s="51" t="s">
        <v>126</v>
      </c>
      <c r="C2793" s="52">
        <v>721</v>
      </c>
      <c r="D2793" s="53" t="s">
        <v>4329</v>
      </c>
      <c r="E2793" s="54"/>
      <c r="F2793" s="52" t="str">
        <f>IF(INDEX(I.CCUS.StartRange,721)="","",INDEX(I.CCUS.StartRange,721))</f>
        <v/>
      </c>
      <c r="G2793" s="54"/>
      <c r="H2793" s="52" t="str">
        <f>IF(AND(I.Compliance.FulfilledCCUS&gt;0,I.CCUS.RangeCount&gt;=721,F2793=""),"Incomplete","Complete")</f>
        <v>Complete</v>
      </c>
      <c r="I2793" s="55" t="s">
        <v>2990</v>
      </c>
    </row>
    <row r="2794" spans="2:9" ht="15" customHeight="1" x14ac:dyDescent="0.25">
      <c r="B2794" s="51" t="s">
        <v>126</v>
      </c>
      <c r="C2794" s="52">
        <v>722</v>
      </c>
      <c r="D2794" s="53" t="s">
        <v>4329</v>
      </c>
      <c r="E2794" s="54"/>
      <c r="F2794" s="52" t="str">
        <f>IF(INDEX(I.CCUS.StartRange,722)="","",INDEX(I.CCUS.StartRange,722))</f>
        <v/>
      </c>
      <c r="G2794" s="54"/>
      <c r="H2794" s="52" t="str">
        <f>IF(AND(I.Compliance.FulfilledCCUS&gt;0,I.CCUS.RangeCount&gt;=722,F2794=""),"Incomplete","Complete")</f>
        <v>Complete</v>
      </c>
      <c r="I2794" s="55" t="s">
        <v>2991</v>
      </c>
    </row>
    <row r="2795" spans="2:9" ht="15" customHeight="1" x14ac:dyDescent="0.25">
      <c r="B2795" s="51" t="s">
        <v>126</v>
      </c>
      <c r="C2795" s="52">
        <v>723</v>
      </c>
      <c r="D2795" s="53" t="s">
        <v>4329</v>
      </c>
      <c r="E2795" s="54"/>
      <c r="F2795" s="52" t="str">
        <f>IF(INDEX(I.CCUS.StartRange,723)="","",INDEX(I.CCUS.StartRange,723))</f>
        <v/>
      </c>
      <c r="G2795" s="54"/>
      <c r="H2795" s="52" t="str">
        <f>IF(AND(I.Compliance.FulfilledCCUS&gt;0,I.CCUS.RangeCount&gt;=723,F2795=""),"Incomplete","Complete")</f>
        <v>Complete</v>
      </c>
      <c r="I2795" s="55" t="s">
        <v>2992</v>
      </c>
    </row>
    <row r="2796" spans="2:9" ht="15" customHeight="1" x14ac:dyDescent="0.25">
      <c r="B2796" s="51" t="s">
        <v>126</v>
      </c>
      <c r="C2796" s="52">
        <v>724</v>
      </c>
      <c r="D2796" s="53" t="s">
        <v>4329</v>
      </c>
      <c r="E2796" s="54"/>
      <c r="F2796" s="52" t="str">
        <f>IF(INDEX(I.CCUS.StartRange,724)="","",INDEX(I.CCUS.StartRange,724))</f>
        <v/>
      </c>
      <c r="G2796" s="54"/>
      <c r="H2796" s="52" t="str">
        <f>IF(AND(I.Compliance.FulfilledCCUS&gt;0,I.CCUS.RangeCount&gt;=724,F2796=""),"Incomplete","Complete")</f>
        <v>Complete</v>
      </c>
      <c r="I2796" s="55" t="s">
        <v>2993</v>
      </c>
    </row>
    <row r="2797" spans="2:9" ht="15" customHeight="1" x14ac:dyDescent="0.25">
      <c r="B2797" s="51" t="s">
        <v>126</v>
      </c>
      <c r="C2797" s="52">
        <v>725</v>
      </c>
      <c r="D2797" s="53" t="s">
        <v>4329</v>
      </c>
      <c r="E2797" s="54"/>
      <c r="F2797" s="52" t="str">
        <f>IF(INDEX(I.CCUS.StartRange,725)="","",INDEX(I.CCUS.StartRange,725))</f>
        <v/>
      </c>
      <c r="G2797" s="54"/>
      <c r="H2797" s="52" t="str">
        <f>IF(AND(I.Compliance.FulfilledCCUS&gt;0,I.CCUS.RangeCount&gt;=725,F2797=""),"Incomplete","Complete")</f>
        <v>Complete</v>
      </c>
      <c r="I2797" s="55" t="s">
        <v>2994</v>
      </c>
    </row>
    <row r="2798" spans="2:9" ht="15" customHeight="1" x14ac:dyDescent="0.25">
      <c r="B2798" s="51" t="s">
        <v>126</v>
      </c>
      <c r="C2798" s="52">
        <v>726</v>
      </c>
      <c r="D2798" s="53" t="s">
        <v>4329</v>
      </c>
      <c r="E2798" s="54"/>
      <c r="F2798" s="52" t="str">
        <f>IF(INDEX(I.CCUS.StartRange,726)="","",INDEX(I.CCUS.StartRange,726))</f>
        <v/>
      </c>
      <c r="G2798" s="54"/>
      <c r="H2798" s="52" t="str">
        <f>IF(AND(I.Compliance.FulfilledCCUS&gt;0,I.CCUS.RangeCount&gt;=726,F2798=""),"Incomplete","Complete")</f>
        <v>Complete</v>
      </c>
      <c r="I2798" s="55" t="s">
        <v>2995</v>
      </c>
    </row>
    <row r="2799" spans="2:9" ht="15" customHeight="1" x14ac:dyDescent="0.25">
      <c r="B2799" s="51" t="s">
        <v>126</v>
      </c>
      <c r="C2799" s="52">
        <v>727</v>
      </c>
      <c r="D2799" s="53" t="s">
        <v>4329</v>
      </c>
      <c r="E2799" s="54"/>
      <c r="F2799" s="52" t="str">
        <f>IF(INDEX(I.CCUS.StartRange,727)="","",INDEX(I.CCUS.StartRange,727))</f>
        <v/>
      </c>
      <c r="G2799" s="54"/>
      <c r="H2799" s="52" t="str">
        <f>IF(AND(I.Compliance.FulfilledCCUS&gt;0,I.CCUS.RangeCount&gt;=727,F2799=""),"Incomplete","Complete")</f>
        <v>Complete</v>
      </c>
      <c r="I2799" s="55" t="s">
        <v>2996</v>
      </c>
    </row>
    <row r="2800" spans="2:9" ht="15" customHeight="1" x14ac:dyDescent="0.25">
      <c r="B2800" s="51" t="s">
        <v>126</v>
      </c>
      <c r="C2800" s="52">
        <v>728</v>
      </c>
      <c r="D2800" s="53" t="s">
        <v>4329</v>
      </c>
      <c r="E2800" s="54"/>
      <c r="F2800" s="52" t="str">
        <f>IF(INDEX(I.CCUS.StartRange,728)="","",INDEX(I.CCUS.StartRange,728))</f>
        <v/>
      </c>
      <c r="G2800" s="54"/>
      <c r="H2800" s="52" t="str">
        <f>IF(AND(I.Compliance.FulfilledCCUS&gt;0,I.CCUS.RangeCount&gt;=728,F2800=""),"Incomplete","Complete")</f>
        <v>Complete</v>
      </c>
      <c r="I2800" s="55" t="s">
        <v>2997</v>
      </c>
    </row>
    <row r="2801" spans="2:9" ht="15" customHeight="1" x14ac:dyDescent="0.25">
      <c r="B2801" s="51" t="s">
        <v>126</v>
      </c>
      <c r="C2801" s="52">
        <v>729</v>
      </c>
      <c r="D2801" s="53" t="s">
        <v>4329</v>
      </c>
      <c r="E2801" s="54"/>
      <c r="F2801" s="52" t="str">
        <f>IF(INDEX(I.CCUS.StartRange,729)="","",INDEX(I.CCUS.StartRange,729))</f>
        <v/>
      </c>
      <c r="G2801" s="54"/>
      <c r="H2801" s="52" t="str">
        <f>IF(AND(I.Compliance.FulfilledCCUS&gt;0,I.CCUS.RangeCount&gt;=729,F2801=""),"Incomplete","Complete")</f>
        <v>Complete</v>
      </c>
      <c r="I2801" s="55" t="s">
        <v>2998</v>
      </c>
    </row>
    <row r="2802" spans="2:9" ht="15" customHeight="1" x14ac:dyDescent="0.25">
      <c r="B2802" s="51" t="s">
        <v>126</v>
      </c>
      <c r="C2802" s="52">
        <v>730</v>
      </c>
      <c r="D2802" s="53" t="s">
        <v>4329</v>
      </c>
      <c r="E2802" s="54"/>
      <c r="F2802" s="52" t="str">
        <f>IF(INDEX(I.CCUS.StartRange,730)="","",INDEX(I.CCUS.StartRange,730))</f>
        <v/>
      </c>
      <c r="G2802" s="54"/>
      <c r="H2802" s="52" t="str">
        <f>IF(AND(I.Compliance.FulfilledCCUS&gt;0,I.CCUS.RangeCount&gt;=730,F2802=""),"Incomplete","Complete")</f>
        <v>Complete</v>
      </c>
      <c r="I2802" s="55" t="s">
        <v>2999</v>
      </c>
    </row>
    <row r="2803" spans="2:9" ht="15" customHeight="1" x14ac:dyDescent="0.25">
      <c r="B2803" s="51" t="s">
        <v>126</v>
      </c>
      <c r="C2803" s="52">
        <v>731</v>
      </c>
      <c r="D2803" s="53" t="s">
        <v>4329</v>
      </c>
      <c r="E2803" s="54"/>
      <c r="F2803" s="52" t="str">
        <f>IF(INDEX(I.CCUS.StartRange,731)="","",INDEX(I.CCUS.StartRange,731))</f>
        <v/>
      </c>
      <c r="G2803" s="54"/>
      <c r="H2803" s="52" t="str">
        <f>IF(AND(I.Compliance.FulfilledCCUS&gt;0,I.CCUS.RangeCount&gt;=731,F2803=""),"Incomplete","Complete")</f>
        <v>Complete</v>
      </c>
      <c r="I2803" s="55" t="s">
        <v>3000</v>
      </c>
    </row>
    <row r="2804" spans="2:9" ht="15" customHeight="1" x14ac:dyDescent="0.25">
      <c r="B2804" s="51" t="s">
        <v>126</v>
      </c>
      <c r="C2804" s="52">
        <v>732</v>
      </c>
      <c r="D2804" s="53" t="s">
        <v>4329</v>
      </c>
      <c r="E2804" s="54"/>
      <c r="F2804" s="52" t="str">
        <f>IF(INDEX(I.CCUS.StartRange,732)="","",INDEX(I.CCUS.StartRange,732))</f>
        <v/>
      </c>
      <c r="G2804" s="54"/>
      <c r="H2804" s="52" t="str">
        <f>IF(AND(I.Compliance.FulfilledCCUS&gt;0,I.CCUS.RangeCount&gt;=732,F2804=""),"Incomplete","Complete")</f>
        <v>Complete</v>
      </c>
      <c r="I2804" s="55" t="s">
        <v>3001</v>
      </c>
    </row>
    <row r="2805" spans="2:9" ht="15" customHeight="1" x14ac:dyDescent="0.25">
      <c r="B2805" s="51" t="s">
        <v>126</v>
      </c>
      <c r="C2805" s="52">
        <v>733</v>
      </c>
      <c r="D2805" s="53" t="s">
        <v>4329</v>
      </c>
      <c r="E2805" s="54"/>
      <c r="F2805" s="52" t="str">
        <f>IF(INDEX(I.CCUS.StartRange,733)="","",INDEX(I.CCUS.StartRange,733))</f>
        <v/>
      </c>
      <c r="G2805" s="54"/>
      <c r="H2805" s="52" t="str">
        <f>IF(AND(I.Compliance.FulfilledCCUS&gt;0,I.CCUS.RangeCount&gt;=733,F2805=""),"Incomplete","Complete")</f>
        <v>Complete</v>
      </c>
      <c r="I2805" s="55" t="s">
        <v>3002</v>
      </c>
    </row>
    <row r="2806" spans="2:9" ht="15" customHeight="1" x14ac:dyDescent="0.25">
      <c r="B2806" s="51" t="s">
        <v>126</v>
      </c>
      <c r="C2806" s="52">
        <v>734</v>
      </c>
      <c r="D2806" s="53" t="s">
        <v>4329</v>
      </c>
      <c r="E2806" s="54"/>
      <c r="F2806" s="52" t="str">
        <f>IF(INDEX(I.CCUS.StartRange,734)="","",INDEX(I.CCUS.StartRange,734))</f>
        <v/>
      </c>
      <c r="G2806" s="54"/>
      <c r="H2806" s="52" t="str">
        <f>IF(AND(I.Compliance.FulfilledCCUS&gt;0,I.CCUS.RangeCount&gt;=734,F2806=""),"Incomplete","Complete")</f>
        <v>Complete</v>
      </c>
      <c r="I2806" s="55" t="s">
        <v>3003</v>
      </c>
    </row>
    <row r="2807" spans="2:9" ht="15" customHeight="1" x14ac:dyDescent="0.25">
      <c r="B2807" s="51" t="s">
        <v>126</v>
      </c>
      <c r="C2807" s="52">
        <v>735</v>
      </c>
      <c r="D2807" s="53" t="s">
        <v>4329</v>
      </c>
      <c r="E2807" s="54"/>
      <c r="F2807" s="52" t="str">
        <f>IF(INDEX(I.CCUS.StartRange,735)="","",INDEX(I.CCUS.StartRange,735))</f>
        <v/>
      </c>
      <c r="G2807" s="54"/>
      <c r="H2807" s="52" t="str">
        <f>IF(AND(I.Compliance.FulfilledCCUS&gt;0,I.CCUS.RangeCount&gt;=735,F2807=""),"Incomplete","Complete")</f>
        <v>Complete</v>
      </c>
      <c r="I2807" s="55" t="s">
        <v>3004</v>
      </c>
    </row>
    <row r="2808" spans="2:9" ht="15" customHeight="1" x14ac:dyDescent="0.25">
      <c r="B2808" s="51" t="s">
        <v>126</v>
      </c>
      <c r="C2808" s="52">
        <v>736</v>
      </c>
      <c r="D2808" s="53" t="s">
        <v>4329</v>
      </c>
      <c r="E2808" s="54"/>
      <c r="F2808" s="52" t="str">
        <f>IF(INDEX(I.CCUS.StartRange,736)="","",INDEX(I.CCUS.StartRange,736))</f>
        <v/>
      </c>
      <c r="G2808" s="54"/>
      <c r="H2808" s="52" t="str">
        <f>IF(AND(I.Compliance.FulfilledCCUS&gt;0,I.CCUS.RangeCount&gt;=736,F2808=""),"Incomplete","Complete")</f>
        <v>Complete</v>
      </c>
      <c r="I2808" s="55" t="s">
        <v>3005</v>
      </c>
    </row>
    <row r="2809" spans="2:9" ht="15" customHeight="1" x14ac:dyDescent="0.25">
      <c r="B2809" s="51" t="s">
        <v>126</v>
      </c>
      <c r="C2809" s="52">
        <v>737</v>
      </c>
      <c r="D2809" s="53" t="s">
        <v>4329</v>
      </c>
      <c r="E2809" s="54"/>
      <c r="F2809" s="52" t="str">
        <f>IF(INDEX(I.CCUS.StartRange,737)="","",INDEX(I.CCUS.StartRange,737))</f>
        <v/>
      </c>
      <c r="G2809" s="54"/>
      <c r="H2809" s="52" t="str">
        <f>IF(AND(I.Compliance.FulfilledCCUS&gt;0,I.CCUS.RangeCount&gt;=737,F2809=""),"Incomplete","Complete")</f>
        <v>Complete</v>
      </c>
      <c r="I2809" s="55" t="s">
        <v>3006</v>
      </c>
    </row>
    <row r="2810" spans="2:9" ht="15" customHeight="1" x14ac:dyDescent="0.25">
      <c r="B2810" s="51" t="s">
        <v>126</v>
      </c>
      <c r="C2810" s="52">
        <v>738</v>
      </c>
      <c r="D2810" s="53" t="s">
        <v>4329</v>
      </c>
      <c r="E2810" s="54"/>
      <c r="F2810" s="52" t="str">
        <f>IF(INDEX(I.CCUS.StartRange,738)="","",INDEX(I.CCUS.StartRange,738))</f>
        <v/>
      </c>
      <c r="G2810" s="54"/>
      <c r="H2810" s="52" t="str">
        <f>IF(AND(I.Compliance.FulfilledCCUS&gt;0,I.CCUS.RangeCount&gt;=738,F2810=""),"Incomplete","Complete")</f>
        <v>Complete</v>
      </c>
      <c r="I2810" s="55" t="s">
        <v>3007</v>
      </c>
    </row>
    <row r="2811" spans="2:9" ht="15" customHeight="1" x14ac:dyDescent="0.25">
      <c r="B2811" s="51" t="s">
        <v>126</v>
      </c>
      <c r="C2811" s="52">
        <v>739</v>
      </c>
      <c r="D2811" s="53" t="s">
        <v>4329</v>
      </c>
      <c r="E2811" s="54"/>
      <c r="F2811" s="52" t="str">
        <f>IF(INDEX(I.CCUS.StartRange,739)="","",INDEX(I.CCUS.StartRange,739))</f>
        <v/>
      </c>
      <c r="G2811" s="54"/>
      <c r="H2811" s="52" t="str">
        <f>IF(AND(I.Compliance.FulfilledCCUS&gt;0,I.CCUS.RangeCount&gt;=739,F2811=""),"Incomplete","Complete")</f>
        <v>Complete</v>
      </c>
      <c r="I2811" s="55" t="s">
        <v>3008</v>
      </c>
    </row>
    <row r="2812" spans="2:9" ht="15" customHeight="1" x14ac:dyDescent="0.25">
      <c r="B2812" s="51" t="s">
        <v>126</v>
      </c>
      <c r="C2812" s="52">
        <v>740</v>
      </c>
      <c r="D2812" s="53" t="s">
        <v>4329</v>
      </c>
      <c r="E2812" s="54"/>
      <c r="F2812" s="52" t="str">
        <f>IF(INDEX(I.CCUS.StartRange,740)="","",INDEX(I.CCUS.StartRange,740))</f>
        <v/>
      </c>
      <c r="G2812" s="54"/>
      <c r="H2812" s="52" t="str">
        <f>IF(AND(I.Compliance.FulfilledCCUS&gt;0,I.CCUS.RangeCount&gt;=740,F2812=""),"Incomplete","Complete")</f>
        <v>Complete</v>
      </c>
      <c r="I2812" s="55" t="s">
        <v>3009</v>
      </c>
    </row>
    <row r="2813" spans="2:9" ht="15" customHeight="1" x14ac:dyDescent="0.25">
      <c r="B2813" s="51" t="s">
        <v>126</v>
      </c>
      <c r="C2813" s="52">
        <v>741</v>
      </c>
      <c r="D2813" s="53" t="s">
        <v>4329</v>
      </c>
      <c r="E2813" s="54"/>
      <c r="F2813" s="52" t="str">
        <f>IF(INDEX(I.CCUS.StartRange,741)="","",INDEX(I.CCUS.StartRange,741))</f>
        <v/>
      </c>
      <c r="G2813" s="54"/>
      <c r="H2813" s="52" t="str">
        <f>IF(AND(I.Compliance.FulfilledCCUS&gt;0,I.CCUS.RangeCount&gt;=741,F2813=""),"Incomplete","Complete")</f>
        <v>Complete</v>
      </c>
      <c r="I2813" s="55" t="s">
        <v>3010</v>
      </c>
    </row>
    <row r="2814" spans="2:9" ht="15" customHeight="1" x14ac:dyDescent="0.25">
      <c r="B2814" s="51" t="s">
        <v>126</v>
      </c>
      <c r="C2814" s="52">
        <v>742</v>
      </c>
      <c r="D2814" s="53" t="s">
        <v>4329</v>
      </c>
      <c r="E2814" s="54"/>
      <c r="F2814" s="52" t="str">
        <f>IF(INDEX(I.CCUS.StartRange,742)="","",INDEX(I.CCUS.StartRange,742))</f>
        <v/>
      </c>
      <c r="G2814" s="54"/>
      <c r="H2814" s="52" t="str">
        <f>IF(AND(I.Compliance.FulfilledCCUS&gt;0,I.CCUS.RangeCount&gt;=742,F2814=""),"Incomplete","Complete")</f>
        <v>Complete</v>
      </c>
      <c r="I2814" s="55" t="s">
        <v>3011</v>
      </c>
    </row>
    <row r="2815" spans="2:9" ht="15" customHeight="1" x14ac:dyDescent="0.25">
      <c r="B2815" s="51" t="s">
        <v>126</v>
      </c>
      <c r="C2815" s="52">
        <v>743</v>
      </c>
      <c r="D2815" s="53" t="s">
        <v>4329</v>
      </c>
      <c r="E2815" s="54"/>
      <c r="F2815" s="52" t="str">
        <f>IF(INDEX(I.CCUS.StartRange,743)="","",INDEX(I.CCUS.StartRange,743))</f>
        <v/>
      </c>
      <c r="G2815" s="54"/>
      <c r="H2815" s="52" t="str">
        <f>IF(AND(I.Compliance.FulfilledCCUS&gt;0,I.CCUS.RangeCount&gt;=743,F2815=""),"Incomplete","Complete")</f>
        <v>Complete</v>
      </c>
      <c r="I2815" s="55" t="s">
        <v>3012</v>
      </c>
    </row>
    <row r="2816" spans="2:9" ht="15" customHeight="1" x14ac:dyDescent="0.25">
      <c r="B2816" s="51" t="s">
        <v>126</v>
      </c>
      <c r="C2816" s="52">
        <v>744</v>
      </c>
      <c r="D2816" s="53" t="s">
        <v>4329</v>
      </c>
      <c r="E2816" s="54"/>
      <c r="F2816" s="52" t="str">
        <f>IF(INDEX(I.CCUS.StartRange,744)="","",INDEX(I.CCUS.StartRange,744))</f>
        <v/>
      </c>
      <c r="G2816" s="54"/>
      <c r="H2816" s="52" t="str">
        <f>IF(AND(I.Compliance.FulfilledCCUS&gt;0,I.CCUS.RangeCount&gt;=744,F2816=""),"Incomplete","Complete")</f>
        <v>Complete</v>
      </c>
      <c r="I2816" s="55" t="s">
        <v>3013</v>
      </c>
    </row>
    <row r="2817" spans="2:9" ht="15" customHeight="1" x14ac:dyDescent="0.25">
      <c r="B2817" s="51" t="s">
        <v>126</v>
      </c>
      <c r="C2817" s="52">
        <v>745</v>
      </c>
      <c r="D2817" s="53" t="s">
        <v>4329</v>
      </c>
      <c r="E2817" s="54"/>
      <c r="F2817" s="52" t="str">
        <f>IF(INDEX(I.CCUS.StartRange,745)="","",INDEX(I.CCUS.StartRange,745))</f>
        <v/>
      </c>
      <c r="G2817" s="54"/>
      <c r="H2817" s="52" t="str">
        <f>IF(AND(I.Compliance.FulfilledCCUS&gt;0,I.CCUS.RangeCount&gt;=745,F2817=""),"Incomplete","Complete")</f>
        <v>Complete</v>
      </c>
      <c r="I2817" s="55" t="s">
        <v>3014</v>
      </c>
    </row>
    <row r="2818" spans="2:9" ht="15" customHeight="1" x14ac:dyDescent="0.25">
      <c r="B2818" s="51" t="s">
        <v>126</v>
      </c>
      <c r="C2818" s="52">
        <v>746</v>
      </c>
      <c r="D2818" s="53" t="s">
        <v>4329</v>
      </c>
      <c r="E2818" s="54"/>
      <c r="F2818" s="52" t="str">
        <f>IF(INDEX(I.CCUS.StartRange,746)="","",INDEX(I.CCUS.StartRange,746))</f>
        <v/>
      </c>
      <c r="G2818" s="54"/>
      <c r="H2818" s="52" t="str">
        <f>IF(AND(I.Compliance.FulfilledCCUS&gt;0,I.CCUS.RangeCount&gt;=746,F2818=""),"Incomplete","Complete")</f>
        <v>Complete</v>
      </c>
      <c r="I2818" s="55" t="s">
        <v>3015</v>
      </c>
    </row>
    <row r="2819" spans="2:9" ht="15" customHeight="1" x14ac:dyDescent="0.25">
      <c r="B2819" s="51" t="s">
        <v>126</v>
      </c>
      <c r="C2819" s="52">
        <v>747</v>
      </c>
      <c r="D2819" s="53" t="s">
        <v>4329</v>
      </c>
      <c r="E2819" s="54"/>
      <c r="F2819" s="52" t="str">
        <f>IF(INDEX(I.CCUS.StartRange,747)="","",INDEX(I.CCUS.StartRange,747))</f>
        <v/>
      </c>
      <c r="G2819" s="54"/>
      <c r="H2819" s="52" t="str">
        <f>IF(AND(I.Compliance.FulfilledCCUS&gt;0,I.CCUS.RangeCount&gt;=747,F2819=""),"Incomplete","Complete")</f>
        <v>Complete</v>
      </c>
      <c r="I2819" s="55" t="s">
        <v>3016</v>
      </c>
    </row>
    <row r="2820" spans="2:9" ht="15" customHeight="1" x14ac:dyDescent="0.25">
      <c r="B2820" s="51" t="s">
        <v>126</v>
      </c>
      <c r="C2820" s="52">
        <v>748</v>
      </c>
      <c r="D2820" s="53" t="s">
        <v>4329</v>
      </c>
      <c r="E2820" s="54"/>
      <c r="F2820" s="52" t="str">
        <f>IF(INDEX(I.CCUS.StartRange,748)="","",INDEX(I.CCUS.StartRange,748))</f>
        <v/>
      </c>
      <c r="G2820" s="54"/>
      <c r="H2820" s="52" t="str">
        <f>IF(AND(I.Compliance.FulfilledCCUS&gt;0,I.CCUS.RangeCount&gt;=748,F2820=""),"Incomplete","Complete")</f>
        <v>Complete</v>
      </c>
      <c r="I2820" s="55" t="s">
        <v>3017</v>
      </c>
    </row>
    <row r="2821" spans="2:9" ht="15" customHeight="1" x14ac:dyDescent="0.25">
      <c r="B2821" s="51" t="s">
        <v>126</v>
      </c>
      <c r="C2821" s="52">
        <v>749</v>
      </c>
      <c r="D2821" s="53" t="s">
        <v>4329</v>
      </c>
      <c r="E2821" s="54"/>
      <c r="F2821" s="52" t="str">
        <f>IF(INDEX(I.CCUS.StartRange,749)="","",INDEX(I.CCUS.StartRange,749))</f>
        <v/>
      </c>
      <c r="G2821" s="54"/>
      <c r="H2821" s="52" t="str">
        <f>IF(AND(I.Compliance.FulfilledCCUS&gt;0,I.CCUS.RangeCount&gt;=749,F2821=""),"Incomplete","Complete")</f>
        <v>Complete</v>
      </c>
      <c r="I2821" s="55" t="s">
        <v>3018</v>
      </c>
    </row>
    <row r="2822" spans="2:9" ht="15" customHeight="1" x14ac:dyDescent="0.25">
      <c r="B2822" s="51" t="s">
        <v>126</v>
      </c>
      <c r="C2822" s="52">
        <v>750</v>
      </c>
      <c r="D2822" s="53" t="s">
        <v>4329</v>
      </c>
      <c r="E2822" s="54"/>
      <c r="F2822" s="52" t="str">
        <f>IF(INDEX(I.CCUS.StartRange,750)="","",INDEX(I.CCUS.StartRange,750))</f>
        <v/>
      </c>
      <c r="G2822" s="54"/>
      <c r="H2822" s="52" t="str">
        <f>IF(AND(I.Compliance.FulfilledCCUS&gt;0,I.CCUS.RangeCount&gt;=750,F2822=""),"Incomplete","Complete")</f>
        <v>Complete</v>
      </c>
      <c r="I2822" s="55" t="s">
        <v>3019</v>
      </c>
    </row>
    <row r="2823" spans="2:9" ht="15" customHeight="1" x14ac:dyDescent="0.25">
      <c r="B2823" s="51" t="s">
        <v>126</v>
      </c>
      <c r="C2823" s="52">
        <v>751</v>
      </c>
      <c r="D2823" s="53" t="s">
        <v>4329</v>
      </c>
      <c r="E2823" s="54"/>
      <c r="F2823" s="52" t="str">
        <f>IF(INDEX(I.CCUS.StartRange,751)="","",INDEX(I.CCUS.StartRange,751))</f>
        <v/>
      </c>
      <c r="G2823" s="54"/>
      <c r="H2823" s="52" t="str">
        <f>IF(AND(I.Compliance.FulfilledCCUS&gt;0,I.CCUS.RangeCount&gt;=751,F2823=""),"Incomplete","Complete")</f>
        <v>Complete</v>
      </c>
      <c r="I2823" s="55" t="s">
        <v>3020</v>
      </c>
    </row>
    <row r="2824" spans="2:9" ht="15" customHeight="1" x14ac:dyDescent="0.25">
      <c r="B2824" s="51" t="s">
        <v>126</v>
      </c>
      <c r="C2824" s="52">
        <v>752</v>
      </c>
      <c r="D2824" s="53" t="s">
        <v>4329</v>
      </c>
      <c r="E2824" s="54"/>
      <c r="F2824" s="52" t="str">
        <f>IF(INDEX(I.CCUS.StartRange,752)="","",INDEX(I.CCUS.StartRange,752))</f>
        <v/>
      </c>
      <c r="G2824" s="54"/>
      <c r="H2824" s="52" t="str">
        <f>IF(AND(I.Compliance.FulfilledCCUS&gt;0,I.CCUS.RangeCount&gt;=752,F2824=""),"Incomplete","Complete")</f>
        <v>Complete</v>
      </c>
      <c r="I2824" s="55" t="s">
        <v>3021</v>
      </c>
    </row>
    <row r="2825" spans="2:9" ht="15" customHeight="1" x14ac:dyDescent="0.25">
      <c r="B2825" s="51" t="s">
        <v>126</v>
      </c>
      <c r="C2825" s="52">
        <v>753</v>
      </c>
      <c r="D2825" s="53" t="s">
        <v>4329</v>
      </c>
      <c r="E2825" s="54"/>
      <c r="F2825" s="52" t="str">
        <f>IF(INDEX(I.CCUS.StartRange,753)="","",INDEX(I.CCUS.StartRange,753))</f>
        <v/>
      </c>
      <c r="G2825" s="54"/>
      <c r="H2825" s="52" t="str">
        <f>IF(AND(I.Compliance.FulfilledCCUS&gt;0,I.CCUS.RangeCount&gt;=753,F2825=""),"Incomplete","Complete")</f>
        <v>Complete</v>
      </c>
      <c r="I2825" s="55" t="s">
        <v>3022</v>
      </c>
    </row>
    <row r="2826" spans="2:9" ht="15" customHeight="1" x14ac:dyDescent="0.25">
      <c r="B2826" s="51" t="s">
        <v>126</v>
      </c>
      <c r="C2826" s="52">
        <v>754</v>
      </c>
      <c r="D2826" s="53" t="s">
        <v>4329</v>
      </c>
      <c r="E2826" s="54"/>
      <c r="F2826" s="52" t="str">
        <f>IF(INDEX(I.CCUS.StartRange,754)="","",INDEX(I.CCUS.StartRange,754))</f>
        <v/>
      </c>
      <c r="G2826" s="54"/>
      <c r="H2826" s="52" t="str">
        <f>IF(AND(I.Compliance.FulfilledCCUS&gt;0,I.CCUS.RangeCount&gt;=754,F2826=""),"Incomplete","Complete")</f>
        <v>Complete</v>
      </c>
      <c r="I2826" s="55" t="s">
        <v>3023</v>
      </c>
    </row>
    <row r="2827" spans="2:9" ht="15" customHeight="1" x14ac:dyDescent="0.25">
      <c r="B2827" s="51" t="s">
        <v>126</v>
      </c>
      <c r="C2827" s="52">
        <v>755</v>
      </c>
      <c r="D2827" s="53" t="s">
        <v>4329</v>
      </c>
      <c r="E2827" s="54"/>
      <c r="F2827" s="52" t="str">
        <f>IF(INDEX(I.CCUS.StartRange,755)="","",INDEX(I.CCUS.StartRange,755))</f>
        <v/>
      </c>
      <c r="G2827" s="54"/>
      <c r="H2827" s="52" t="str">
        <f>IF(AND(I.Compliance.FulfilledCCUS&gt;0,I.CCUS.RangeCount&gt;=755,F2827=""),"Incomplete","Complete")</f>
        <v>Complete</v>
      </c>
      <c r="I2827" s="55" t="s">
        <v>3024</v>
      </c>
    </row>
    <row r="2828" spans="2:9" ht="15" customHeight="1" x14ac:dyDescent="0.25">
      <c r="B2828" s="51" t="s">
        <v>126</v>
      </c>
      <c r="C2828" s="52">
        <v>756</v>
      </c>
      <c r="D2828" s="53" t="s">
        <v>4329</v>
      </c>
      <c r="E2828" s="54"/>
      <c r="F2828" s="52" t="str">
        <f>IF(INDEX(I.CCUS.StartRange,756)="","",INDEX(I.CCUS.StartRange,756))</f>
        <v/>
      </c>
      <c r="G2828" s="54"/>
      <c r="H2828" s="52" t="str">
        <f>IF(AND(I.Compliance.FulfilledCCUS&gt;0,I.CCUS.RangeCount&gt;=756,F2828=""),"Incomplete","Complete")</f>
        <v>Complete</v>
      </c>
      <c r="I2828" s="55" t="s">
        <v>3025</v>
      </c>
    </row>
    <row r="2829" spans="2:9" ht="15" customHeight="1" x14ac:dyDescent="0.25">
      <c r="B2829" s="51" t="s">
        <v>126</v>
      </c>
      <c r="C2829" s="52">
        <v>757</v>
      </c>
      <c r="D2829" s="53" t="s">
        <v>4329</v>
      </c>
      <c r="E2829" s="54"/>
      <c r="F2829" s="52" t="str">
        <f>IF(INDEX(I.CCUS.StartRange,757)="","",INDEX(I.CCUS.StartRange,757))</f>
        <v/>
      </c>
      <c r="G2829" s="54"/>
      <c r="H2829" s="52" t="str">
        <f>IF(AND(I.Compliance.FulfilledCCUS&gt;0,I.CCUS.RangeCount&gt;=757,F2829=""),"Incomplete","Complete")</f>
        <v>Complete</v>
      </c>
      <c r="I2829" s="55" t="s">
        <v>3026</v>
      </c>
    </row>
    <row r="2830" spans="2:9" ht="15" customHeight="1" x14ac:dyDescent="0.25">
      <c r="B2830" s="51" t="s">
        <v>126</v>
      </c>
      <c r="C2830" s="52">
        <v>758</v>
      </c>
      <c r="D2830" s="53" t="s">
        <v>4329</v>
      </c>
      <c r="E2830" s="54"/>
      <c r="F2830" s="52" t="str">
        <f>IF(INDEX(I.CCUS.StartRange,758)="","",INDEX(I.CCUS.StartRange,758))</f>
        <v/>
      </c>
      <c r="G2830" s="54"/>
      <c r="H2830" s="52" t="str">
        <f>IF(AND(I.Compliance.FulfilledCCUS&gt;0,I.CCUS.RangeCount&gt;=758,F2830=""),"Incomplete","Complete")</f>
        <v>Complete</v>
      </c>
      <c r="I2830" s="55" t="s">
        <v>3027</v>
      </c>
    </row>
    <row r="2831" spans="2:9" ht="15" customHeight="1" x14ac:dyDescent="0.25">
      <c r="B2831" s="51" t="s">
        <v>126</v>
      </c>
      <c r="C2831" s="52">
        <v>759</v>
      </c>
      <c r="D2831" s="53" t="s">
        <v>4329</v>
      </c>
      <c r="E2831" s="54"/>
      <c r="F2831" s="52" t="str">
        <f>IF(INDEX(I.CCUS.StartRange,759)="","",INDEX(I.CCUS.StartRange,759))</f>
        <v/>
      </c>
      <c r="G2831" s="54"/>
      <c r="H2831" s="52" t="str">
        <f>IF(AND(I.Compliance.FulfilledCCUS&gt;0,I.CCUS.RangeCount&gt;=759,F2831=""),"Incomplete","Complete")</f>
        <v>Complete</v>
      </c>
      <c r="I2831" s="55" t="s">
        <v>3028</v>
      </c>
    </row>
    <row r="2832" spans="2:9" ht="15" customHeight="1" x14ac:dyDescent="0.25">
      <c r="B2832" s="51" t="s">
        <v>126</v>
      </c>
      <c r="C2832" s="52">
        <v>760</v>
      </c>
      <c r="D2832" s="53" t="s">
        <v>4329</v>
      </c>
      <c r="E2832" s="54"/>
      <c r="F2832" s="52" t="str">
        <f>IF(INDEX(I.CCUS.StartRange,760)="","",INDEX(I.CCUS.StartRange,760))</f>
        <v/>
      </c>
      <c r="G2832" s="54"/>
      <c r="H2832" s="52" t="str">
        <f>IF(AND(I.Compliance.FulfilledCCUS&gt;0,I.CCUS.RangeCount&gt;=760,F2832=""),"Incomplete","Complete")</f>
        <v>Complete</v>
      </c>
      <c r="I2832" s="55" t="s">
        <v>3029</v>
      </c>
    </row>
    <row r="2833" spans="2:9" ht="15" customHeight="1" x14ac:dyDescent="0.25">
      <c r="B2833" s="51" t="s">
        <v>126</v>
      </c>
      <c r="C2833" s="52">
        <v>761</v>
      </c>
      <c r="D2833" s="53" t="s">
        <v>4329</v>
      </c>
      <c r="E2833" s="54"/>
      <c r="F2833" s="52" t="str">
        <f>IF(INDEX(I.CCUS.StartRange,761)="","",INDEX(I.CCUS.StartRange,761))</f>
        <v/>
      </c>
      <c r="G2833" s="54"/>
      <c r="H2833" s="52" t="str">
        <f>IF(AND(I.Compliance.FulfilledCCUS&gt;0,I.CCUS.RangeCount&gt;=761,F2833=""),"Incomplete","Complete")</f>
        <v>Complete</v>
      </c>
      <c r="I2833" s="55" t="s">
        <v>3030</v>
      </c>
    </row>
    <row r="2834" spans="2:9" ht="15" customHeight="1" x14ac:dyDescent="0.25">
      <c r="B2834" s="51" t="s">
        <v>126</v>
      </c>
      <c r="C2834" s="52">
        <v>762</v>
      </c>
      <c r="D2834" s="53" t="s">
        <v>4329</v>
      </c>
      <c r="E2834" s="54"/>
      <c r="F2834" s="52" t="str">
        <f>IF(INDEX(I.CCUS.StartRange,762)="","",INDEX(I.CCUS.StartRange,762))</f>
        <v/>
      </c>
      <c r="G2834" s="54"/>
      <c r="H2834" s="52" t="str">
        <f>IF(AND(I.Compliance.FulfilledCCUS&gt;0,I.CCUS.RangeCount&gt;=762,F2834=""),"Incomplete","Complete")</f>
        <v>Complete</v>
      </c>
      <c r="I2834" s="55" t="s">
        <v>3031</v>
      </c>
    </row>
    <row r="2835" spans="2:9" ht="15" customHeight="1" x14ac:dyDescent="0.25">
      <c r="B2835" s="51" t="s">
        <v>126</v>
      </c>
      <c r="C2835" s="52">
        <v>763</v>
      </c>
      <c r="D2835" s="53" t="s">
        <v>4329</v>
      </c>
      <c r="E2835" s="54"/>
      <c r="F2835" s="52" t="str">
        <f>IF(INDEX(I.CCUS.StartRange,763)="","",INDEX(I.CCUS.StartRange,763))</f>
        <v/>
      </c>
      <c r="G2835" s="54"/>
      <c r="H2835" s="52" t="str">
        <f>IF(AND(I.Compliance.FulfilledCCUS&gt;0,I.CCUS.RangeCount&gt;=763,F2835=""),"Incomplete","Complete")</f>
        <v>Complete</v>
      </c>
      <c r="I2835" s="55" t="s">
        <v>3032</v>
      </c>
    </row>
    <row r="2836" spans="2:9" ht="15" customHeight="1" x14ac:dyDescent="0.25">
      <c r="B2836" s="51" t="s">
        <v>126</v>
      </c>
      <c r="C2836" s="52">
        <v>764</v>
      </c>
      <c r="D2836" s="53" t="s">
        <v>4329</v>
      </c>
      <c r="E2836" s="54"/>
      <c r="F2836" s="52" t="str">
        <f>IF(INDEX(I.CCUS.StartRange,764)="","",INDEX(I.CCUS.StartRange,764))</f>
        <v/>
      </c>
      <c r="G2836" s="54"/>
      <c r="H2836" s="52" t="str">
        <f>IF(AND(I.Compliance.FulfilledCCUS&gt;0,I.CCUS.RangeCount&gt;=764,F2836=""),"Incomplete","Complete")</f>
        <v>Complete</v>
      </c>
      <c r="I2836" s="55" t="s">
        <v>3033</v>
      </c>
    </row>
    <row r="2837" spans="2:9" ht="15" customHeight="1" x14ac:dyDescent="0.25">
      <c r="B2837" s="51" t="s">
        <v>126</v>
      </c>
      <c r="C2837" s="52">
        <v>765</v>
      </c>
      <c r="D2837" s="53" t="s">
        <v>4329</v>
      </c>
      <c r="E2837" s="54"/>
      <c r="F2837" s="52" t="str">
        <f>IF(INDEX(I.CCUS.StartRange,765)="","",INDEX(I.CCUS.StartRange,765))</f>
        <v/>
      </c>
      <c r="G2837" s="54"/>
      <c r="H2837" s="52" t="str">
        <f>IF(AND(I.Compliance.FulfilledCCUS&gt;0,I.CCUS.RangeCount&gt;=765,F2837=""),"Incomplete","Complete")</f>
        <v>Complete</v>
      </c>
      <c r="I2837" s="55" t="s">
        <v>3034</v>
      </c>
    </row>
    <row r="2838" spans="2:9" ht="15" customHeight="1" x14ac:dyDescent="0.25">
      <c r="B2838" s="51" t="s">
        <v>126</v>
      </c>
      <c r="C2838" s="52">
        <v>766</v>
      </c>
      <c r="D2838" s="53" t="s">
        <v>4329</v>
      </c>
      <c r="E2838" s="54"/>
      <c r="F2838" s="52" t="str">
        <f>IF(INDEX(I.CCUS.StartRange,766)="","",INDEX(I.CCUS.StartRange,766))</f>
        <v/>
      </c>
      <c r="G2838" s="54"/>
      <c r="H2838" s="52" t="str">
        <f>IF(AND(I.Compliance.FulfilledCCUS&gt;0,I.CCUS.RangeCount&gt;=766,F2838=""),"Incomplete","Complete")</f>
        <v>Complete</v>
      </c>
      <c r="I2838" s="55" t="s">
        <v>3035</v>
      </c>
    </row>
    <row r="2839" spans="2:9" ht="15" customHeight="1" x14ac:dyDescent="0.25">
      <c r="B2839" s="51" t="s">
        <v>126</v>
      </c>
      <c r="C2839" s="52">
        <v>767</v>
      </c>
      <c r="D2839" s="53" t="s">
        <v>4329</v>
      </c>
      <c r="E2839" s="54"/>
      <c r="F2839" s="52" t="str">
        <f>IF(INDEX(I.CCUS.StartRange,767)="","",INDEX(I.CCUS.StartRange,767))</f>
        <v/>
      </c>
      <c r="G2839" s="54"/>
      <c r="H2839" s="52" t="str">
        <f>IF(AND(I.Compliance.FulfilledCCUS&gt;0,I.CCUS.RangeCount&gt;=767,F2839=""),"Incomplete","Complete")</f>
        <v>Complete</v>
      </c>
      <c r="I2839" s="55" t="s">
        <v>3036</v>
      </c>
    </row>
    <row r="2840" spans="2:9" ht="15" customHeight="1" x14ac:dyDescent="0.25">
      <c r="B2840" s="51" t="s">
        <v>126</v>
      </c>
      <c r="C2840" s="52">
        <v>768</v>
      </c>
      <c r="D2840" s="53" t="s">
        <v>4329</v>
      </c>
      <c r="E2840" s="54"/>
      <c r="F2840" s="52" t="str">
        <f>IF(INDEX(I.CCUS.StartRange,768)="","",INDEX(I.CCUS.StartRange,768))</f>
        <v/>
      </c>
      <c r="G2840" s="54"/>
      <c r="H2840" s="52" t="str">
        <f>IF(AND(I.Compliance.FulfilledCCUS&gt;0,I.CCUS.RangeCount&gt;=768,F2840=""),"Incomplete","Complete")</f>
        <v>Complete</v>
      </c>
      <c r="I2840" s="55" t="s">
        <v>3037</v>
      </c>
    </row>
    <row r="2841" spans="2:9" ht="15" customHeight="1" x14ac:dyDescent="0.25">
      <c r="B2841" s="51" t="s">
        <v>126</v>
      </c>
      <c r="C2841" s="52">
        <v>769</v>
      </c>
      <c r="D2841" s="53" t="s">
        <v>4329</v>
      </c>
      <c r="E2841" s="54"/>
      <c r="F2841" s="52" t="str">
        <f>IF(INDEX(I.CCUS.StartRange,769)="","",INDEX(I.CCUS.StartRange,769))</f>
        <v/>
      </c>
      <c r="G2841" s="54"/>
      <c r="H2841" s="52" t="str">
        <f>IF(AND(I.Compliance.FulfilledCCUS&gt;0,I.CCUS.RangeCount&gt;=769,F2841=""),"Incomplete","Complete")</f>
        <v>Complete</v>
      </c>
      <c r="I2841" s="55" t="s">
        <v>3038</v>
      </c>
    </row>
    <row r="2842" spans="2:9" ht="15" customHeight="1" x14ac:dyDescent="0.25">
      <c r="B2842" s="51" t="s">
        <v>126</v>
      </c>
      <c r="C2842" s="52">
        <v>770</v>
      </c>
      <c r="D2842" s="53" t="s">
        <v>4329</v>
      </c>
      <c r="E2842" s="54"/>
      <c r="F2842" s="52" t="str">
        <f>IF(INDEX(I.CCUS.StartRange,770)="","",INDEX(I.CCUS.StartRange,770))</f>
        <v/>
      </c>
      <c r="G2842" s="54"/>
      <c r="H2842" s="52" t="str">
        <f>IF(AND(I.Compliance.FulfilledCCUS&gt;0,I.CCUS.RangeCount&gt;=770,F2842=""),"Incomplete","Complete")</f>
        <v>Complete</v>
      </c>
      <c r="I2842" s="55" t="s">
        <v>3039</v>
      </c>
    </row>
    <row r="2843" spans="2:9" ht="15" customHeight="1" x14ac:dyDescent="0.25">
      <c r="B2843" s="51" t="s">
        <v>126</v>
      </c>
      <c r="C2843" s="52">
        <v>771</v>
      </c>
      <c r="D2843" s="53" t="s">
        <v>4329</v>
      </c>
      <c r="E2843" s="54"/>
      <c r="F2843" s="52" t="str">
        <f>IF(INDEX(I.CCUS.StartRange,771)="","",INDEX(I.CCUS.StartRange,771))</f>
        <v/>
      </c>
      <c r="G2843" s="54"/>
      <c r="H2843" s="52" t="str">
        <f>IF(AND(I.Compliance.FulfilledCCUS&gt;0,I.CCUS.RangeCount&gt;=771,F2843=""),"Incomplete","Complete")</f>
        <v>Complete</v>
      </c>
      <c r="I2843" s="55" t="s">
        <v>3040</v>
      </c>
    </row>
    <row r="2844" spans="2:9" ht="15" customHeight="1" x14ac:dyDescent="0.25">
      <c r="B2844" s="51" t="s">
        <v>126</v>
      </c>
      <c r="C2844" s="52">
        <v>772</v>
      </c>
      <c r="D2844" s="53" t="s">
        <v>4329</v>
      </c>
      <c r="E2844" s="54"/>
      <c r="F2844" s="52" t="str">
        <f>IF(INDEX(I.CCUS.StartRange,772)="","",INDEX(I.CCUS.StartRange,772))</f>
        <v/>
      </c>
      <c r="G2844" s="54"/>
      <c r="H2844" s="52" t="str">
        <f>IF(AND(I.Compliance.FulfilledCCUS&gt;0,I.CCUS.RangeCount&gt;=772,F2844=""),"Incomplete","Complete")</f>
        <v>Complete</v>
      </c>
      <c r="I2844" s="55" t="s">
        <v>3041</v>
      </c>
    </row>
    <row r="2845" spans="2:9" ht="15" customHeight="1" x14ac:dyDescent="0.25">
      <c r="B2845" s="51" t="s">
        <v>126</v>
      </c>
      <c r="C2845" s="52">
        <v>773</v>
      </c>
      <c r="D2845" s="53" t="s">
        <v>4329</v>
      </c>
      <c r="E2845" s="54"/>
      <c r="F2845" s="52" t="str">
        <f>IF(INDEX(I.CCUS.StartRange,773)="","",INDEX(I.CCUS.StartRange,773))</f>
        <v/>
      </c>
      <c r="G2845" s="54"/>
      <c r="H2845" s="52" t="str">
        <f>IF(AND(I.Compliance.FulfilledCCUS&gt;0,I.CCUS.RangeCount&gt;=773,F2845=""),"Incomplete","Complete")</f>
        <v>Complete</v>
      </c>
      <c r="I2845" s="55" t="s">
        <v>3042</v>
      </c>
    </row>
    <row r="2846" spans="2:9" ht="15" customHeight="1" x14ac:dyDescent="0.25">
      <c r="B2846" s="51" t="s">
        <v>126</v>
      </c>
      <c r="C2846" s="52">
        <v>774</v>
      </c>
      <c r="D2846" s="53" t="s">
        <v>4329</v>
      </c>
      <c r="E2846" s="54"/>
      <c r="F2846" s="52" t="str">
        <f>IF(INDEX(I.CCUS.StartRange,774)="","",INDEX(I.CCUS.StartRange,774))</f>
        <v/>
      </c>
      <c r="G2846" s="54"/>
      <c r="H2846" s="52" t="str">
        <f>IF(AND(I.Compliance.FulfilledCCUS&gt;0,I.CCUS.RangeCount&gt;=774,F2846=""),"Incomplete","Complete")</f>
        <v>Complete</v>
      </c>
      <c r="I2846" s="55" t="s">
        <v>3043</v>
      </c>
    </row>
    <row r="2847" spans="2:9" ht="15" customHeight="1" x14ac:dyDescent="0.25">
      <c r="B2847" s="51" t="s">
        <v>126</v>
      </c>
      <c r="C2847" s="52">
        <v>775</v>
      </c>
      <c r="D2847" s="53" t="s">
        <v>4329</v>
      </c>
      <c r="E2847" s="54"/>
      <c r="F2847" s="52" t="str">
        <f>IF(INDEX(I.CCUS.StartRange,775)="","",INDEX(I.CCUS.StartRange,775))</f>
        <v/>
      </c>
      <c r="G2847" s="54"/>
      <c r="H2847" s="52" t="str">
        <f>IF(AND(I.Compliance.FulfilledCCUS&gt;0,I.CCUS.RangeCount&gt;=775,F2847=""),"Incomplete","Complete")</f>
        <v>Complete</v>
      </c>
      <c r="I2847" s="55" t="s">
        <v>3044</v>
      </c>
    </row>
    <row r="2848" spans="2:9" ht="15" customHeight="1" x14ac:dyDescent="0.25">
      <c r="B2848" s="51" t="s">
        <v>126</v>
      </c>
      <c r="C2848" s="52">
        <v>776</v>
      </c>
      <c r="D2848" s="53" t="s">
        <v>4329</v>
      </c>
      <c r="E2848" s="54"/>
      <c r="F2848" s="52" t="str">
        <f>IF(INDEX(I.CCUS.StartRange,776)="","",INDEX(I.CCUS.StartRange,776))</f>
        <v/>
      </c>
      <c r="G2848" s="54"/>
      <c r="H2848" s="52" t="str">
        <f>IF(AND(I.Compliance.FulfilledCCUS&gt;0,I.CCUS.RangeCount&gt;=776,F2848=""),"Incomplete","Complete")</f>
        <v>Complete</v>
      </c>
      <c r="I2848" s="55" t="s">
        <v>3045</v>
      </c>
    </row>
    <row r="2849" spans="2:9" ht="15" customHeight="1" x14ac:dyDescent="0.25">
      <c r="B2849" s="51" t="s">
        <v>126</v>
      </c>
      <c r="C2849" s="52">
        <v>777</v>
      </c>
      <c r="D2849" s="53" t="s">
        <v>4329</v>
      </c>
      <c r="E2849" s="54"/>
      <c r="F2849" s="52" t="str">
        <f>IF(INDEX(I.CCUS.StartRange,777)="","",INDEX(I.CCUS.StartRange,777))</f>
        <v/>
      </c>
      <c r="G2849" s="54"/>
      <c r="H2849" s="52" t="str">
        <f>IF(AND(I.Compliance.FulfilledCCUS&gt;0,I.CCUS.RangeCount&gt;=777,F2849=""),"Incomplete","Complete")</f>
        <v>Complete</v>
      </c>
      <c r="I2849" s="55" t="s">
        <v>3046</v>
      </c>
    </row>
    <row r="2850" spans="2:9" ht="15" customHeight="1" x14ac:dyDescent="0.25">
      <c r="B2850" s="51" t="s">
        <v>126</v>
      </c>
      <c r="C2850" s="52">
        <v>778</v>
      </c>
      <c r="D2850" s="53" t="s">
        <v>4329</v>
      </c>
      <c r="E2850" s="54"/>
      <c r="F2850" s="52" t="str">
        <f>IF(INDEX(I.CCUS.StartRange,778)="","",INDEX(I.CCUS.StartRange,778))</f>
        <v/>
      </c>
      <c r="G2850" s="54"/>
      <c r="H2850" s="52" t="str">
        <f>IF(AND(I.Compliance.FulfilledCCUS&gt;0,I.CCUS.RangeCount&gt;=778,F2850=""),"Incomplete","Complete")</f>
        <v>Complete</v>
      </c>
      <c r="I2850" s="55" t="s">
        <v>3047</v>
      </c>
    </row>
    <row r="2851" spans="2:9" ht="15" customHeight="1" x14ac:dyDescent="0.25">
      <c r="B2851" s="51" t="s">
        <v>126</v>
      </c>
      <c r="C2851" s="52">
        <v>779</v>
      </c>
      <c r="D2851" s="53" t="s">
        <v>4329</v>
      </c>
      <c r="E2851" s="54"/>
      <c r="F2851" s="52" t="str">
        <f>IF(INDEX(I.CCUS.StartRange,779)="","",INDEX(I.CCUS.StartRange,779))</f>
        <v/>
      </c>
      <c r="G2851" s="54"/>
      <c r="H2851" s="52" t="str">
        <f>IF(AND(I.Compliance.FulfilledCCUS&gt;0,I.CCUS.RangeCount&gt;=779,F2851=""),"Incomplete","Complete")</f>
        <v>Complete</v>
      </c>
      <c r="I2851" s="55" t="s">
        <v>3048</v>
      </c>
    </row>
    <row r="2852" spans="2:9" ht="15" customHeight="1" x14ac:dyDescent="0.25">
      <c r="B2852" s="51" t="s">
        <v>126</v>
      </c>
      <c r="C2852" s="52">
        <v>780</v>
      </c>
      <c r="D2852" s="53" t="s">
        <v>4329</v>
      </c>
      <c r="E2852" s="54"/>
      <c r="F2852" s="52" t="str">
        <f>IF(INDEX(I.CCUS.StartRange,780)="","",INDEX(I.CCUS.StartRange,780))</f>
        <v/>
      </c>
      <c r="G2852" s="54"/>
      <c r="H2852" s="52" t="str">
        <f>IF(AND(I.Compliance.FulfilledCCUS&gt;0,I.CCUS.RangeCount&gt;=780,F2852=""),"Incomplete","Complete")</f>
        <v>Complete</v>
      </c>
      <c r="I2852" s="55" t="s">
        <v>3049</v>
      </c>
    </row>
    <row r="2853" spans="2:9" ht="15" customHeight="1" x14ac:dyDescent="0.25">
      <c r="B2853" s="51" t="s">
        <v>126</v>
      </c>
      <c r="C2853" s="52">
        <v>781</v>
      </c>
      <c r="D2853" s="53" t="s">
        <v>4329</v>
      </c>
      <c r="E2853" s="54"/>
      <c r="F2853" s="52" t="str">
        <f>IF(INDEX(I.CCUS.StartRange,781)="","",INDEX(I.CCUS.StartRange,781))</f>
        <v/>
      </c>
      <c r="G2853" s="54"/>
      <c r="H2853" s="52" t="str">
        <f>IF(AND(I.Compliance.FulfilledCCUS&gt;0,I.CCUS.RangeCount&gt;=781,F2853=""),"Incomplete","Complete")</f>
        <v>Complete</v>
      </c>
      <c r="I2853" s="55" t="s">
        <v>3050</v>
      </c>
    </row>
    <row r="2854" spans="2:9" ht="15" customHeight="1" x14ac:dyDescent="0.25">
      <c r="B2854" s="51" t="s">
        <v>126</v>
      </c>
      <c r="C2854" s="52">
        <v>782</v>
      </c>
      <c r="D2854" s="53" t="s">
        <v>4329</v>
      </c>
      <c r="E2854" s="54"/>
      <c r="F2854" s="52" t="str">
        <f>IF(INDEX(I.CCUS.StartRange,782)="","",INDEX(I.CCUS.StartRange,782))</f>
        <v/>
      </c>
      <c r="G2854" s="54"/>
      <c r="H2854" s="52" t="str">
        <f>IF(AND(I.Compliance.FulfilledCCUS&gt;0,I.CCUS.RangeCount&gt;=782,F2854=""),"Incomplete","Complete")</f>
        <v>Complete</v>
      </c>
      <c r="I2854" s="55" t="s">
        <v>3051</v>
      </c>
    </row>
    <row r="2855" spans="2:9" ht="15" customHeight="1" x14ac:dyDescent="0.25">
      <c r="B2855" s="51" t="s">
        <v>126</v>
      </c>
      <c r="C2855" s="52">
        <v>783</v>
      </c>
      <c r="D2855" s="53" t="s">
        <v>4329</v>
      </c>
      <c r="E2855" s="54"/>
      <c r="F2855" s="52" t="str">
        <f>IF(INDEX(I.CCUS.StartRange,783)="","",INDEX(I.CCUS.StartRange,783))</f>
        <v/>
      </c>
      <c r="G2855" s="54"/>
      <c r="H2855" s="52" t="str">
        <f>IF(AND(I.Compliance.FulfilledCCUS&gt;0,I.CCUS.RangeCount&gt;=783,F2855=""),"Incomplete","Complete")</f>
        <v>Complete</v>
      </c>
      <c r="I2855" s="55" t="s">
        <v>3052</v>
      </c>
    </row>
    <row r="2856" spans="2:9" ht="15" customHeight="1" x14ac:dyDescent="0.25">
      <c r="B2856" s="51" t="s">
        <v>126</v>
      </c>
      <c r="C2856" s="52">
        <v>784</v>
      </c>
      <c r="D2856" s="53" t="s">
        <v>4329</v>
      </c>
      <c r="E2856" s="54"/>
      <c r="F2856" s="52" t="str">
        <f>IF(INDEX(I.CCUS.StartRange,784)="","",INDEX(I.CCUS.StartRange,784))</f>
        <v/>
      </c>
      <c r="G2856" s="54"/>
      <c r="H2856" s="52" t="str">
        <f>IF(AND(I.Compliance.FulfilledCCUS&gt;0,I.CCUS.RangeCount&gt;=784,F2856=""),"Incomplete","Complete")</f>
        <v>Complete</v>
      </c>
      <c r="I2856" s="55" t="s">
        <v>3053</v>
      </c>
    </row>
    <row r="2857" spans="2:9" ht="15" customHeight="1" x14ac:dyDescent="0.25">
      <c r="B2857" s="51" t="s">
        <v>126</v>
      </c>
      <c r="C2857" s="52">
        <v>785</v>
      </c>
      <c r="D2857" s="53" t="s">
        <v>4329</v>
      </c>
      <c r="E2857" s="54"/>
      <c r="F2857" s="52" t="str">
        <f>IF(INDEX(I.CCUS.StartRange,785)="","",INDEX(I.CCUS.StartRange,785))</f>
        <v/>
      </c>
      <c r="G2857" s="54"/>
      <c r="H2857" s="52" t="str">
        <f>IF(AND(I.Compliance.FulfilledCCUS&gt;0,I.CCUS.RangeCount&gt;=785,F2857=""),"Incomplete","Complete")</f>
        <v>Complete</v>
      </c>
      <c r="I2857" s="55" t="s">
        <v>3054</v>
      </c>
    </row>
    <row r="2858" spans="2:9" ht="15" customHeight="1" x14ac:dyDescent="0.25">
      <c r="B2858" s="51" t="s">
        <v>126</v>
      </c>
      <c r="C2858" s="52">
        <v>786</v>
      </c>
      <c r="D2858" s="53" t="s">
        <v>4329</v>
      </c>
      <c r="E2858" s="54"/>
      <c r="F2858" s="52" t="str">
        <f>IF(INDEX(I.CCUS.StartRange,786)="","",INDEX(I.CCUS.StartRange,786))</f>
        <v/>
      </c>
      <c r="G2858" s="54"/>
      <c r="H2858" s="52" t="str">
        <f>IF(AND(I.Compliance.FulfilledCCUS&gt;0,I.CCUS.RangeCount&gt;=786,F2858=""),"Incomplete","Complete")</f>
        <v>Complete</v>
      </c>
      <c r="I2858" s="55" t="s">
        <v>3055</v>
      </c>
    </row>
    <row r="2859" spans="2:9" ht="15" customHeight="1" x14ac:dyDescent="0.25">
      <c r="B2859" s="51" t="s">
        <v>126</v>
      </c>
      <c r="C2859" s="52">
        <v>787</v>
      </c>
      <c r="D2859" s="53" t="s">
        <v>4329</v>
      </c>
      <c r="E2859" s="54"/>
      <c r="F2859" s="52" t="str">
        <f>IF(INDEX(I.CCUS.StartRange,787)="","",INDEX(I.CCUS.StartRange,787))</f>
        <v/>
      </c>
      <c r="G2859" s="54"/>
      <c r="H2859" s="52" t="str">
        <f>IF(AND(I.Compliance.FulfilledCCUS&gt;0,I.CCUS.RangeCount&gt;=787,F2859=""),"Incomplete","Complete")</f>
        <v>Complete</v>
      </c>
      <c r="I2859" s="55" t="s">
        <v>3056</v>
      </c>
    </row>
    <row r="2860" spans="2:9" ht="15" customHeight="1" x14ac:dyDescent="0.25">
      <c r="B2860" s="51" t="s">
        <v>126</v>
      </c>
      <c r="C2860" s="52">
        <v>788</v>
      </c>
      <c r="D2860" s="53" t="s">
        <v>4329</v>
      </c>
      <c r="E2860" s="54"/>
      <c r="F2860" s="52" t="str">
        <f>IF(INDEX(I.CCUS.StartRange,788)="","",INDEX(I.CCUS.StartRange,788))</f>
        <v/>
      </c>
      <c r="G2860" s="54"/>
      <c r="H2860" s="52" t="str">
        <f>IF(AND(I.Compliance.FulfilledCCUS&gt;0,I.CCUS.RangeCount&gt;=788,F2860=""),"Incomplete","Complete")</f>
        <v>Complete</v>
      </c>
      <c r="I2860" s="55" t="s">
        <v>3057</v>
      </c>
    </row>
    <row r="2861" spans="2:9" ht="15" customHeight="1" x14ac:dyDescent="0.25">
      <c r="B2861" s="51" t="s">
        <v>126</v>
      </c>
      <c r="C2861" s="52">
        <v>789</v>
      </c>
      <c r="D2861" s="53" t="s">
        <v>4329</v>
      </c>
      <c r="E2861" s="54"/>
      <c r="F2861" s="52" t="str">
        <f>IF(INDEX(I.CCUS.StartRange,789)="","",INDEX(I.CCUS.StartRange,789))</f>
        <v/>
      </c>
      <c r="G2861" s="54"/>
      <c r="H2861" s="52" t="str">
        <f>IF(AND(I.Compliance.FulfilledCCUS&gt;0,I.CCUS.RangeCount&gt;=789,F2861=""),"Incomplete","Complete")</f>
        <v>Complete</v>
      </c>
      <c r="I2861" s="55" t="s">
        <v>3058</v>
      </c>
    </row>
    <row r="2862" spans="2:9" ht="15" customHeight="1" x14ac:dyDescent="0.25">
      <c r="B2862" s="51" t="s">
        <v>126</v>
      </c>
      <c r="C2862" s="52">
        <v>790</v>
      </c>
      <c r="D2862" s="53" t="s">
        <v>4329</v>
      </c>
      <c r="E2862" s="54"/>
      <c r="F2862" s="52" t="str">
        <f>IF(INDEX(I.CCUS.StartRange,790)="","",INDEX(I.CCUS.StartRange,790))</f>
        <v/>
      </c>
      <c r="G2862" s="54"/>
      <c r="H2862" s="52" t="str">
        <f>IF(AND(I.Compliance.FulfilledCCUS&gt;0,I.CCUS.RangeCount&gt;=790,F2862=""),"Incomplete","Complete")</f>
        <v>Complete</v>
      </c>
      <c r="I2862" s="55" t="s">
        <v>3059</v>
      </c>
    </row>
    <row r="2863" spans="2:9" ht="15" customHeight="1" x14ac:dyDescent="0.25">
      <c r="B2863" s="51" t="s">
        <v>126</v>
      </c>
      <c r="C2863" s="52">
        <v>791</v>
      </c>
      <c r="D2863" s="53" t="s">
        <v>4329</v>
      </c>
      <c r="E2863" s="54"/>
      <c r="F2863" s="52" t="str">
        <f>IF(INDEX(I.CCUS.StartRange,791)="","",INDEX(I.CCUS.StartRange,791))</f>
        <v/>
      </c>
      <c r="G2863" s="54"/>
      <c r="H2863" s="52" t="str">
        <f>IF(AND(I.Compliance.FulfilledCCUS&gt;0,I.CCUS.RangeCount&gt;=791,F2863=""),"Incomplete","Complete")</f>
        <v>Complete</v>
      </c>
      <c r="I2863" s="55" t="s">
        <v>3060</v>
      </c>
    </row>
    <row r="2864" spans="2:9" ht="15" customHeight="1" x14ac:dyDescent="0.25">
      <c r="B2864" s="51" t="s">
        <v>126</v>
      </c>
      <c r="C2864" s="52">
        <v>792</v>
      </c>
      <c r="D2864" s="53" t="s">
        <v>4329</v>
      </c>
      <c r="E2864" s="54"/>
      <c r="F2864" s="52" t="str">
        <f>IF(INDEX(I.CCUS.StartRange,792)="","",INDEX(I.CCUS.StartRange,792))</f>
        <v/>
      </c>
      <c r="G2864" s="54"/>
      <c r="H2864" s="52" t="str">
        <f>IF(AND(I.Compliance.FulfilledCCUS&gt;0,I.CCUS.RangeCount&gt;=792,F2864=""),"Incomplete","Complete")</f>
        <v>Complete</v>
      </c>
      <c r="I2864" s="55" t="s">
        <v>3061</v>
      </c>
    </row>
    <row r="2865" spans="2:9" ht="15" customHeight="1" x14ac:dyDescent="0.25">
      <c r="B2865" s="51" t="s">
        <v>126</v>
      </c>
      <c r="C2865" s="52">
        <v>793</v>
      </c>
      <c r="D2865" s="53" t="s">
        <v>4329</v>
      </c>
      <c r="E2865" s="54"/>
      <c r="F2865" s="52" t="str">
        <f>IF(INDEX(I.CCUS.StartRange,793)="","",INDEX(I.CCUS.StartRange,793))</f>
        <v/>
      </c>
      <c r="G2865" s="54"/>
      <c r="H2865" s="52" t="str">
        <f>IF(AND(I.Compliance.FulfilledCCUS&gt;0,I.CCUS.RangeCount&gt;=793,F2865=""),"Incomplete","Complete")</f>
        <v>Complete</v>
      </c>
      <c r="I2865" s="55" t="s">
        <v>3062</v>
      </c>
    </row>
    <row r="2866" spans="2:9" ht="15" customHeight="1" x14ac:dyDescent="0.25">
      <c r="B2866" s="51" t="s">
        <v>126</v>
      </c>
      <c r="C2866" s="52">
        <v>794</v>
      </c>
      <c r="D2866" s="53" t="s">
        <v>4329</v>
      </c>
      <c r="E2866" s="54"/>
      <c r="F2866" s="52" t="str">
        <f>IF(INDEX(I.CCUS.StartRange,794)="","",INDEX(I.CCUS.StartRange,794))</f>
        <v/>
      </c>
      <c r="G2866" s="54"/>
      <c r="H2866" s="52" t="str">
        <f>IF(AND(I.Compliance.FulfilledCCUS&gt;0,I.CCUS.RangeCount&gt;=794,F2866=""),"Incomplete","Complete")</f>
        <v>Complete</v>
      </c>
      <c r="I2866" s="55" t="s">
        <v>3063</v>
      </c>
    </row>
    <row r="2867" spans="2:9" ht="15" customHeight="1" x14ac:dyDescent="0.25">
      <c r="B2867" s="51" t="s">
        <v>126</v>
      </c>
      <c r="C2867" s="52">
        <v>795</v>
      </c>
      <c r="D2867" s="53" t="s">
        <v>4329</v>
      </c>
      <c r="E2867" s="54"/>
      <c r="F2867" s="52" t="str">
        <f>IF(INDEX(I.CCUS.StartRange,795)="","",INDEX(I.CCUS.StartRange,795))</f>
        <v/>
      </c>
      <c r="G2867" s="54"/>
      <c r="H2867" s="52" t="str">
        <f>IF(AND(I.Compliance.FulfilledCCUS&gt;0,I.CCUS.RangeCount&gt;=795,F2867=""),"Incomplete","Complete")</f>
        <v>Complete</v>
      </c>
      <c r="I2867" s="55" t="s">
        <v>3064</v>
      </c>
    </row>
    <row r="2868" spans="2:9" ht="15" customHeight="1" x14ac:dyDescent="0.25">
      <c r="B2868" s="51" t="s">
        <v>126</v>
      </c>
      <c r="C2868" s="52">
        <v>796</v>
      </c>
      <c r="D2868" s="53" t="s">
        <v>4329</v>
      </c>
      <c r="E2868" s="54"/>
      <c r="F2868" s="52" t="str">
        <f>IF(INDEX(I.CCUS.StartRange,796)="","",INDEX(I.CCUS.StartRange,796))</f>
        <v/>
      </c>
      <c r="G2868" s="54"/>
      <c r="H2868" s="52" t="str">
        <f>IF(AND(I.Compliance.FulfilledCCUS&gt;0,I.CCUS.RangeCount&gt;=796,F2868=""),"Incomplete","Complete")</f>
        <v>Complete</v>
      </c>
      <c r="I2868" s="55" t="s">
        <v>3065</v>
      </c>
    </row>
    <row r="2869" spans="2:9" ht="15" customHeight="1" x14ac:dyDescent="0.25">
      <c r="B2869" s="51" t="s">
        <v>126</v>
      </c>
      <c r="C2869" s="52">
        <v>797</v>
      </c>
      <c r="D2869" s="53" t="s">
        <v>4329</v>
      </c>
      <c r="E2869" s="54"/>
      <c r="F2869" s="52" t="str">
        <f>IF(INDEX(I.CCUS.StartRange,797)="","",INDEX(I.CCUS.StartRange,797))</f>
        <v/>
      </c>
      <c r="G2869" s="54"/>
      <c r="H2869" s="52" t="str">
        <f>IF(AND(I.Compliance.FulfilledCCUS&gt;0,I.CCUS.RangeCount&gt;=797,F2869=""),"Incomplete","Complete")</f>
        <v>Complete</v>
      </c>
      <c r="I2869" s="55" t="s">
        <v>3066</v>
      </c>
    </row>
    <row r="2870" spans="2:9" ht="15" customHeight="1" x14ac:dyDescent="0.25">
      <c r="B2870" s="51" t="s">
        <v>126</v>
      </c>
      <c r="C2870" s="52">
        <v>798</v>
      </c>
      <c r="D2870" s="53" t="s">
        <v>4329</v>
      </c>
      <c r="E2870" s="54"/>
      <c r="F2870" s="52" t="str">
        <f>IF(INDEX(I.CCUS.StartRange,798)="","",INDEX(I.CCUS.StartRange,798))</f>
        <v/>
      </c>
      <c r="G2870" s="54"/>
      <c r="H2870" s="52" t="str">
        <f>IF(AND(I.Compliance.FulfilledCCUS&gt;0,I.CCUS.RangeCount&gt;=798,F2870=""),"Incomplete","Complete")</f>
        <v>Complete</v>
      </c>
      <c r="I2870" s="55" t="s">
        <v>3067</v>
      </c>
    </row>
    <row r="2871" spans="2:9" ht="15" customHeight="1" x14ac:dyDescent="0.25">
      <c r="B2871" s="51" t="s">
        <v>126</v>
      </c>
      <c r="C2871" s="52">
        <v>799</v>
      </c>
      <c r="D2871" s="53" t="s">
        <v>4329</v>
      </c>
      <c r="E2871" s="54"/>
      <c r="F2871" s="52" t="str">
        <f>IF(INDEX(I.CCUS.StartRange,799)="","",INDEX(I.CCUS.StartRange,799))</f>
        <v/>
      </c>
      <c r="G2871" s="54"/>
      <c r="H2871" s="52" t="str">
        <f>IF(AND(I.Compliance.FulfilledCCUS&gt;0,I.CCUS.RangeCount&gt;=799,F2871=""),"Incomplete","Complete")</f>
        <v>Complete</v>
      </c>
      <c r="I2871" s="55" t="s">
        <v>3068</v>
      </c>
    </row>
    <row r="2872" spans="2:9" ht="15" customHeight="1" x14ac:dyDescent="0.25">
      <c r="B2872" s="51" t="s">
        <v>126</v>
      </c>
      <c r="C2872" s="52">
        <v>800</v>
      </c>
      <c r="D2872" s="53" t="s">
        <v>4329</v>
      </c>
      <c r="E2872" s="54"/>
      <c r="F2872" s="52" t="str">
        <f>IF(INDEX(I.CCUS.StartRange,800)="","",INDEX(I.CCUS.StartRange,800))</f>
        <v/>
      </c>
      <c r="G2872" s="54"/>
      <c r="H2872" s="52" t="str">
        <f>IF(AND(I.Compliance.FulfilledCCUS&gt;0,I.CCUS.RangeCount&gt;=800,F2872=""),"Incomplete","Complete")</f>
        <v>Complete</v>
      </c>
      <c r="I2872" s="55" t="s">
        <v>3069</v>
      </c>
    </row>
    <row r="2873" spans="2:9" ht="15" customHeight="1" x14ac:dyDescent="0.25">
      <c r="B2873" s="51" t="s">
        <v>126</v>
      </c>
      <c r="C2873" s="52">
        <v>801</v>
      </c>
      <c r="D2873" s="53" t="s">
        <v>4329</v>
      </c>
      <c r="E2873" s="54"/>
      <c r="F2873" s="52" t="str">
        <f>IF(INDEX(I.CCUS.StartRange,801)="","",INDEX(I.CCUS.StartRange,801))</f>
        <v/>
      </c>
      <c r="G2873" s="54"/>
      <c r="H2873" s="52" t="str">
        <f>IF(AND(I.Compliance.FulfilledCCUS&gt;0,I.CCUS.RangeCount&gt;=801,F2873=""),"Incomplete","Complete")</f>
        <v>Complete</v>
      </c>
      <c r="I2873" s="55" t="s">
        <v>3070</v>
      </c>
    </row>
    <row r="2874" spans="2:9" ht="15" customHeight="1" x14ac:dyDescent="0.25">
      <c r="B2874" s="51" t="s">
        <v>126</v>
      </c>
      <c r="C2874" s="52">
        <v>802</v>
      </c>
      <c r="D2874" s="53" t="s">
        <v>4329</v>
      </c>
      <c r="E2874" s="54"/>
      <c r="F2874" s="52" t="str">
        <f>IF(INDEX(I.CCUS.StartRange,802)="","",INDEX(I.CCUS.StartRange,802))</f>
        <v/>
      </c>
      <c r="G2874" s="54"/>
      <c r="H2874" s="52" t="str">
        <f>IF(AND(I.Compliance.FulfilledCCUS&gt;0,I.CCUS.RangeCount&gt;=802,F2874=""),"Incomplete","Complete")</f>
        <v>Complete</v>
      </c>
      <c r="I2874" s="55" t="s">
        <v>3071</v>
      </c>
    </row>
    <row r="2875" spans="2:9" ht="15" customHeight="1" x14ac:dyDescent="0.25">
      <c r="B2875" s="51" t="s">
        <v>126</v>
      </c>
      <c r="C2875" s="52">
        <v>803</v>
      </c>
      <c r="D2875" s="53" t="s">
        <v>4329</v>
      </c>
      <c r="E2875" s="54"/>
      <c r="F2875" s="52" t="str">
        <f>IF(INDEX(I.CCUS.StartRange,803)="","",INDEX(I.CCUS.StartRange,803))</f>
        <v/>
      </c>
      <c r="G2875" s="54"/>
      <c r="H2875" s="52" t="str">
        <f>IF(AND(I.Compliance.FulfilledCCUS&gt;0,I.CCUS.RangeCount&gt;=803,F2875=""),"Incomplete","Complete")</f>
        <v>Complete</v>
      </c>
      <c r="I2875" s="55" t="s">
        <v>3072</v>
      </c>
    </row>
    <row r="2876" spans="2:9" ht="15" customHeight="1" x14ac:dyDescent="0.25">
      <c r="B2876" s="51" t="s">
        <v>126</v>
      </c>
      <c r="C2876" s="52">
        <v>804</v>
      </c>
      <c r="D2876" s="53" t="s">
        <v>4329</v>
      </c>
      <c r="E2876" s="54"/>
      <c r="F2876" s="52" t="str">
        <f>IF(INDEX(I.CCUS.StartRange,804)="","",INDEX(I.CCUS.StartRange,804))</f>
        <v/>
      </c>
      <c r="G2876" s="54"/>
      <c r="H2876" s="52" t="str">
        <f>IF(AND(I.Compliance.FulfilledCCUS&gt;0,I.CCUS.RangeCount&gt;=804,F2876=""),"Incomplete","Complete")</f>
        <v>Complete</v>
      </c>
      <c r="I2876" s="55" t="s">
        <v>3073</v>
      </c>
    </row>
    <row r="2877" spans="2:9" ht="15" customHeight="1" x14ac:dyDescent="0.25">
      <c r="B2877" s="51" t="s">
        <v>126</v>
      </c>
      <c r="C2877" s="52">
        <v>805</v>
      </c>
      <c r="D2877" s="53" t="s">
        <v>4329</v>
      </c>
      <c r="E2877" s="54"/>
      <c r="F2877" s="52" t="str">
        <f>IF(INDEX(I.CCUS.StartRange,805)="","",INDEX(I.CCUS.StartRange,805))</f>
        <v/>
      </c>
      <c r="G2877" s="54"/>
      <c r="H2877" s="52" t="str">
        <f>IF(AND(I.Compliance.FulfilledCCUS&gt;0,I.CCUS.RangeCount&gt;=805,F2877=""),"Incomplete","Complete")</f>
        <v>Complete</v>
      </c>
      <c r="I2877" s="55" t="s">
        <v>3074</v>
      </c>
    </row>
    <row r="2878" spans="2:9" ht="15" customHeight="1" x14ac:dyDescent="0.25">
      <c r="B2878" s="51" t="s">
        <v>126</v>
      </c>
      <c r="C2878" s="52">
        <v>806</v>
      </c>
      <c r="D2878" s="53" t="s">
        <v>4329</v>
      </c>
      <c r="E2878" s="54"/>
      <c r="F2878" s="52" t="str">
        <f>IF(INDEX(I.CCUS.StartRange,806)="","",INDEX(I.CCUS.StartRange,806))</f>
        <v/>
      </c>
      <c r="G2878" s="54"/>
      <c r="H2878" s="52" t="str">
        <f>IF(AND(I.Compliance.FulfilledCCUS&gt;0,I.CCUS.RangeCount&gt;=806,F2878=""),"Incomplete","Complete")</f>
        <v>Complete</v>
      </c>
      <c r="I2878" s="55" t="s">
        <v>3075</v>
      </c>
    </row>
    <row r="2879" spans="2:9" ht="15" customHeight="1" x14ac:dyDescent="0.25">
      <c r="B2879" s="51" t="s">
        <v>126</v>
      </c>
      <c r="C2879" s="52">
        <v>807</v>
      </c>
      <c r="D2879" s="53" t="s">
        <v>4329</v>
      </c>
      <c r="E2879" s="54"/>
      <c r="F2879" s="52" t="str">
        <f>IF(INDEX(I.CCUS.StartRange,807)="","",INDEX(I.CCUS.StartRange,807))</f>
        <v/>
      </c>
      <c r="G2879" s="54"/>
      <c r="H2879" s="52" t="str">
        <f>IF(AND(I.Compliance.FulfilledCCUS&gt;0,I.CCUS.RangeCount&gt;=807,F2879=""),"Incomplete","Complete")</f>
        <v>Complete</v>
      </c>
      <c r="I2879" s="55" t="s">
        <v>3076</v>
      </c>
    </row>
    <row r="2880" spans="2:9" ht="15" customHeight="1" x14ac:dyDescent="0.25">
      <c r="B2880" s="51" t="s">
        <v>126</v>
      </c>
      <c r="C2880" s="52">
        <v>808</v>
      </c>
      <c r="D2880" s="53" t="s">
        <v>4329</v>
      </c>
      <c r="E2880" s="54"/>
      <c r="F2880" s="52" t="str">
        <f>IF(INDEX(I.CCUS.StartRange,808)="","",INDEX(I.CCUS.StartRange,808))</f>
        <v/>
      </c>
      <c r="G2880" s="54"/>
      <c r="H2880" s="52" t="str">
        <f>IF(AND(I.Compliance.FulfilledCCUS&gt;0,I.CCUS.RangeCount&gt;=808,F2880=""),"Incomplete","Complete")</f>
        <v>Complete</v>
      </c>
      <c r="I2880" s="55" t="s">
        <v>3077</v>
      </c>
    </row>
    <row r="2881" spans="2:9" ht="15" customHeight="1" x14ac:dyDescent="0.25">
      <c r="B2881" s="51" t="s">
        <v>126</v>
      </c>
      <c r="C2881" s="52">
        <v>809</v>
      </c>
      <c r="D2881" s="53" t="s">
        <v>4329</v>
      </c>
      <c r="E2881" s="54"/>
      <c r="F2881" s="52" t="str">
        <f>IF(INDEX(I.CCUS.StartRange,809)="","",INDEX(I.CCUS.StartRange,809))</f>
        <v/>
      </c>
      <c r="G2881" s="54"/>
      <c r="H2881" s="52" t="str">
        <f>IF(AND(I.Compliance.FulfilledCCUS&gt;0,I.CCUS.RangeCount&gt;=809,F2881=""),"Incomplete","Complete")</f>
        <v>Complete</v>
      </c>
      <c r="I2881" s="55" t="s">
        <v>3078</v>
      </c>
    </row>
    <row r="2882" spans="2:9" ht="15" customHeight="1" x14ac:dyDescent="0.25">
      <c r="B2882" s="51" t="s">
        <v>126</v>
      </c>
      <c r="C2882" s="52">
        <v>810</v>
      </c>
      <c r="D2882" s="53" t="s">
        <v>4329</v>
      </c>
      <c r="E2882" s="54"/>
      <c r="F2882" s="52" t="str">
        <f>IF(INDEX(I.CCUS.StartRange,810)="","",INDEX(I.CCUS.StartRange,810))</f>
        <v/>
      </c>
      <c r="G2882" s="54"/>
      <c r="H2882" s="52" t="str">
        <f>IF(AND(I.Compliance.FulfilledCCUS&gt;0,I.CCUS.RangeCount&gt;=810,F2882=""),"Incomplete","Complete")</f>
        <v>Complete</v>
      </c>
      <c r="I2882" s="55" t="s">
        <v>3079</v>
      </c>
    </row>
    <row r="2883" spans="2:9" ht="15" customHeight="1" x14ac:dyDescent="0.25">
      <c r="B2883" s="51" t="s">
        <v>126</v>
      </c>
      <c r="C2883" s="52">
        <v>811</v>
      </c>
      <c r="D2883" s="53" t="s">
        <v>4329</v>
      </c>
      <c r="E2883" s="54"/>
      <c r="F2883" s="52" t="str">
        <f>IF(INDEX(I.CCUS.StartRange,811)="","",INDEX(I.CCUS.StartRange,811))</f>
        <v/>
      </c>
      <c r="G2883" s="54"/>
      <c r="H2883" s="52" t="str">
        <f>IF(AND(I.Compliance.FulfilledCCUS&gt;0,I.CCUS.RangeCount&gt;=811,F2883=""),"Incomplete","Complete")</f>
        <v>Complete</v>
      </c>
      <c r="I2883" s="55" t="s">
        <v>3080</v>
      </c>
    </row>
    <row r="2884" spans="2:9" ht="15" customHeight="1" x14ac:dyDescent="0.25">
      <c r="B2884" s="51" t="s">
        <v>126</v>
      </c>
      <c r="C2884" s="52">
        <v>812</v>
      </c>
      <c r="D2884" s="53" t="s">
        <v>4329</v>
      </c>
      <c r="E2884" s="54"/>
      <c r="F2884" s="52" t="str">
        <f>IF(INDEX(I.CCUS.StartRange,812)="","",INDEX(I.CCUS.StartRange,812))</f>
        <v/>
      </c>
      <c r="G2884" s="54"/>
      <c r="H2884" s="52" t="str">
        <f>IF(AND(I.Compliance.FulfilledCCUS&gt;0,I.CCUS.RangeCount&gt;=812,F2884=""),"Incomplete","Complete")</f>
        <v>Complete</v>
      </c>
      <c r="I2884" s="55" t="s">
        <v>3081</v>
      </c>
    </row>
    <row r="2885" spans="2:9" ht="15" customHeight="1" x14ac:dyDescent="0.25">
      <c r="B2885" s="51" t="s">
        <v>126</v>
      </c>
      <c r="C2885" s="52">
        <v>813</v>
      </c>
      <c r="D2885" s="53" t="s">
        <v>4329</v>
      </c>
      <c r="E2885" s="54"/>
      <c r="F2885" s="52" t="str">
        <f>IF(INDEX(I.CCUS.StartRange,813)="","",INDEX(I.CCUS.StartRange,813))</f>
        <v/>
      </c>
      <c r="G2885" s="54"/>
      <c r="H2885" s="52" t="str">
        <f>IF(AND(I.Compliance.FulfilledCCUS&gt;0,I.CCUS.RangeCount&gt;=813,F2885=""),"Incomplete","Complete")</f>
        <v>Complete</v>
      </c>
      <c r="I2885" s="55" t="s">
        <v>3082</v>
      </c>
    </row>
    <row r="2886" spans="2:9" ht="15" customHeight="1" x14ac:dyDescent="0.25">
      <c r="B2886" s="51" t="s">
        <v>126</v>
      </c>
      <c r="C2886" s="52">
        <v>814</v>
      </c>
      <c r="D2886" s="53" t="s">
        <v>4329</v>
      </c>
      <c r="E2886" s="54"/>
      <c r="F2886" s="52" t="str">
        <f>IF(INDEX(I.CCUS.StartRange,814)="","",INDEX(I.CCUS.StartRange,814))</f>
        <v/>
      </c>
      <c r="G2886" s="54"/>
      <c r="H2886" s="52" t="str">
        <f>IF(AND(I.Compliance.FulfilledCCUS&gt;0,I.CCUS.RangeCount&gt;=814,F2886=""),"Incomplete","Complete")</f>
        <v>Complete</v>
      </c>
      <c r="I2886" s="55" t="s">
        <v>3083</v>
      </c>
    </row>
    <row r="2887" spans="2:9" ht="15" customHeight="1" x14ac:dyDescent="0.25">
      <c r="B2887" s="51" t="s">
        <v>126</v>
      </c>
      <c r="C2887" s="52">
        <v>815</v>
      </c>
      <c r="D2887" s="53" t="s">
        <v>4329</v>
      </c>
      <c r="E2887" s="54"/>
      <c r="F2887" s="52" t="str">
        <f>IF(INDEX(I.CCUS.StartRange,815)="","",INDEX(I.CCUS.StartRange,815))</f>
        <v/>
      </c>
      <c r="G2887" s="54"/>
      <c r="H2887" s="52" t="str">
        <f>IF(AND(I.Compliance.FulfilledCCUS&gt;0,I.CCUS.RangeCount&gt;=815,F2887=""),"Incomplete","Complete")</f>
        <v>Complete</v>
      </c>
      <c r="I2887" s="55" t="s">
        <v>3084</v>
      </c>
    </row>
    <row r="2888" spans="2:9" ht="15" customHeight="1" x14ac:dyDescent="0.25">
      <c r="B2888" s="51" t="s">
        <v>126</v>
      </c>
      <c r="C2888" s="52">
        <v>816</v>
      </c>
      <c r="D2888" s="53" t="s">
        <v>4329</v>
      </c>
      <c r="E2888" s="54"/>
      <c r="F2888" s="52" t="str">
        <f>IF(INDEX(I.CCUS.StartRange,816)="","",INDEX(I.CCUS.StartRange,816))</f>
        <v/>
      </c>
      <c r="G2888" s="54"/>
      <c r="H2888" s="52" t="str">
        <f>IF(AND(I.Compliance.FulfilledCCUS&gt;0,I.CCUS.RangeCount&gt;=816,F2888=""),"Incomplete","Complete")</f>
        <v>Complete</v>
      </c>
      <c r="I2888" s="55" t="s">
        <v>3085</v>
      </c>
    </row>
    <row r="2889" spans="2:9" ht="15" customHeight="1" x14ac:dyDescent="0.25">
      <c r="B2889" s="51" t="s">
        <v>126</v>
      </c>
      <c r="C2889" s="52">
        <v>817</v>
      </c>
      <c r="D2889" s="53" t="s">
        <v>4329</v>
      </c>
      <c r="E2889" s="54"/>
      <c r="F2889" s="52" t="str">
        <f>IF(INDEX(I.CCUS.StartRange,817)="","",INDEX(I.CCUS.StartRange,817))</f>
        <v/>
      </c>
      <c r="G2889" s="54"/>
      <c r="H2889" s="52" t="str">
        <f>IF(AND(I.Compliance.FulfilledCCUS&gt;0,I.CCUS.RangeCount&gt;=817,F2889=""),"Incomplete","Complete")</f>
        <v>Complete</v>
      </c>
      <c r="I2889" s="55" t="s">
        <v>3086</v>
      </c>
    </row>
    <row r="2890" spans="2:9" ht="15" customHeight="1" x14ac:dyDescent="0.25">
      <c r="B2890" s="51" t="s">
        <v>126</v>
      </c>
      <c r="C2890" s="52">
        <v>818</v>
      </c>
      <c r="D2890" s="53" t="s">
        <v>4329</v>
      </c>
      <c r="E2890" s="54"/>
      <c r="F2890" s="52" t="str">
        <f>IF(INDEX(I.CCUS.StartRange,818)="","",INDEX(I.CCUS.StartRange,818))</f>
        <v/>
      </c>
      <c r="G2890" s="54"/>
      <c r="H2890" s="52" t="str">
        <f>IF(AND(I.Compliance.FulfilledCCUS&gt;0,I.CCUS.RangeCount&gt;=818,F2890=""),"Incomplete","Complete")</f>
        <v>Complete</v>
      </c>
      <c r="I2890" s="55" t="s">
        <v>3087</v>
      </c>
    </row>
    <row r="2891" spans="2:9" ht="15" customHeight="1" x14ac:dyDescent="0.25">
      <c r="B2891" s="51" t="s">
        <v>126</v>
      </c>
      <c r="C2891" s="52">
        <v>819</v>
      </c>
      <c r="D2891" s="53" t="s">
        <v>4329</v>
      </c>
      <c r="E2891" s="54"/>
      <c r="F2891" s="52" t="str">
        <f>IF(INDEX(I.CCUS.StartRange,819)="","",INDEX(I.CCUS.StartRange,819))</f>
        <v/>
      </c>
      <c r="G2891" s="54"/>
      <c r="H2891" s="52" t="str">
        <f>IF(AND(I.Compliance.FulfilledCCUS&gt;0,I.CCUS.RangeCount&gt;=819,F2891=""),"Incomplete","Complete")</f>
        <v>Complete</v>
      </c>
      <c r="I2891" s="55" t="s">
        <v>3088</v>
      </c>
    </row>
    <row r="2892" spans="2:9" ht="15" customHeight="1" x14ac:dyDescent="0.25">
      <c r="B2892" s="51" t="s">
        <v>126</v>
      </c>
      <c r="C2892" s="52">
        <v>820</v>
      </c>
      <c r="D2892" s="53" t="s">
        <v>4329</v>
      </c>
      <c r="E2892" s="54"/>
      <c r="F2892" s="52" t="str">
        <f>IF(INDEX(I.CCUS.StartRange,820)="","",INDEX(I.CCUS.StartRange,820))</f>
        <v/>
      </c>
      <c r="G2892" s="54"/>
      <c r="H2892" s="52" t="str">
        <f>IF(AND(I.Compliance.FulfilledCCUS&gt;0,I.CCUS.RangeCount&gt;=820,F2892=""),"Incomplete","Complete")</f>
        <v>Complete</v>
      </c>
      <c r="I2892" s="55" t="s">
        <v>3089</v>
      </c>
    </row>
    <row r="2893" spans="2:9" ht="15" customHeight="1" x14ac:dyDescent="0.25">
      <c r="B2893" s="51" t="s">
        <v>126</v>
      </c>
      <c r="C2893" s="52">
        <v>821</v>
      </c>
      <c r="D2893" s="53" t="s">
        <v>4329</v>
      </c>
      <c r="E2893" s="54"/>
      <c r="F2893" s="52" t="str">
        <f>IF(INDEX(I.CCUS.StartRange,821)="","",INDEX(I.CCUS.StartRange,821))</f>
        <v/>
      </c>
      <c r="G2893" s="54"/>
      <c r="H2893" s="52" t="str">
        <f>IF(AND(I.Compliance.FulfilledCCUS&gt;0,I.CCUS.RangeCount&gt;=821,F2893=""),"Incomplete","Complete")</f>
        <v>Complete</v>
      </c>
      <c r="I2893" s="55" t="s">
        <v>3090</v>
      </c>
    </row>
    <row r="2894" spans="2:9" ht="15" customHeight="1" x14ac:dyDescent="0.25">
      <c r="B2894" s="51" t="s">
        <v>126</v>
      </c>
      <c r="C2894" s="52">
        <v>822</v>
      </c>
      <c r="D2894" s="53" t="s">
        <v>4329</v>
      </c>
      <c r="E2894" s="54"/>
      <c r="F2894" s="52" t="str">
        <f>IF(INDEX(I.CCUS.StartRange,822)="","",INDEX(I.CCUS.StartRange,822))</f>
        <v/>
      </c>
      <c r="G2894" s="54"/>
      <c r="H2894" s="52" t="str">
        <f>IF(AND(I.Compliance.FulfilledCCUS&gt;0,I.CCUS.RangeCount&gt;=822,F2894=""),"Incomplete","Complete")</f>
        <v>Complete</v>
      </c>
      <c r="I2894" s="55" t="s">
        <v>3091</v>
      </c>
    </row>
    <row r="2895" spans="2:9" ht="15" customHeight="1" x14ac:dyDescent="0.25">
      <c r="B2895" s="51" t="s">
        <v>126</v>
      </c>
      <c r="C2895" s="52">
        <v>823</v>
      </c>
      <c r="D2895" s="53" t="s">
        <v>4329</v>
      </c>
      <c r="E2895" s="54"/>
      <c r="F2895" s="52" t="str">
        <f>IF(INDEX(I.CCUS.StartRange,823)="","",INDEX(I.CCUS.StartRange,823))</f>
        <v/>
      </c>
      <c r="G2895" s="54"/>
      <c r="H2895" s="52" t="str">
        <f>IF(AND(I.Compliance.FulfilledCCUS&gt;0,I.CCUS.RangeCount&gt;=823,F2895=""),"Incomplete","Complete")</f>
        <v>Complete</v>
      </c>
      <c r="I2895" s="55" t="s">
        <v>3092</v>
      </c>
    </row>
    <row r="2896" spans="2:9" ht="15" customHeight="1" x14ac:dyDescent="0.25">
      <c r="B2896" s="51" t="s">
        <v>126</v>
      </c>
      <c r="C2896" s="52">
        <v>824</v>
      </c>
      <c r="D2896" s="53" t="s">
        <v>4329</v>
      </c>
      <c r="E2896" s="54"/>
      <c r="F2896" s="52" t="str">
        <f>IF(INDEX(I.CCUS.StartRange,824)="","",INDEX(I.CCUS.StartRange,824))</f>
        <v/>
      </c>
      <c r="G2896" s="54"/>
      <c r="H2896" s="52" t="str">
        <f>IF(AND(I.Compliance.FulfilledCCUS&gt;0,I.CCUS.RangeCount&gt;=824,F2896=""),"Incomplete","Complete")</f>
        <v>Complete</v>
      </c>
      <c r="I2896" s="55" t="s">
        <v>3093</v>
      </c>
    </row>
    <row r="2897" spans="2:9" ht="15" customHeight="1" x14ac:dyDescent="0.25">
      <c r="B2897" s="51" t="s">
        <v>126</v>
      </c>
      <c r="C2897" s="52">
        <v>825</v>
      </c>
      <c r="D2897" s="53" t="s">
        <v>4329</v>
      </c>
      <c r="E2897" s="54"/>
      <c r="F2897" s="52" t="str">
        <f>IF(INDEX(I.CCUS.StartRange,825)="","",INDEX(I.CCUS.StartRange,825))</f>
        <v/>
      </c>
      <c r="G2897" s="54"/>
      <c r="H2897" s="52" t="str">
        <f>IF(AND(I.Compliance.FulfilledCCUS&gt;0,I.CCUS.RangeCount&gt;=825,F2897=""),"Incomplete","Complete")</f>
        <v>Complete</v>
      </c>
      <c r="I2897" s="55" t="s">
        <v>3094</v>
      </c>
    </row>
    <row r="2898" spans="2:9" ht="15" customHeight="1" x14ac:dyDescent="0.25">
      <c r="B2898" s="51" t="s">
        <v>126</v>
      </c>
      <c r="C2898" s="52">
        <v>826</v>
      </c>
      <c r="D2898" s="53" t="s">
        <v>4329</v>
      </c>
      <c r="E2898" s="54"/>
      <c r="F2898" s="52" t="str">
        <f>IF(INDEX(I.CCUS.StartRange,826)="","",INDEX(I.CCUS.StartRange,826))</f>
        <v/>
      </c>
      <c r="G2898" s="54"/>
      <c r="H2898" s="52" t="str">
        <f>IF(AND(I.Compliance.FulfilledCCUS&gt;0,I.CCUS.RangeCount&gt;=826,F2898=""),"Incomplete","Complete")</f>
        <v>Complete</v>
      </c>
      <c r="I2898" s="55" t="s">
        <v>3095</v>
      </c>
    </row>
    <row r="2899" spans="2:9" ht="15" customHeight="1" x14ac:dyDescent="0.25">
      <c r="B2899" s="51" t="s">
        <v>126</v>
      </c>
      <c r="C2899" s="52">
        <v>827</v>
      </c>
      <c r="D2899" s="53" t="s">
        <v>4329</v>
      </c>
      <c r="E2899" s="54"/>
      <c r="F2899" s="52" t="str">
        <f>IF(INDEX(I.CCUS.StartRange,827)="","",INDEX(I.CCUS.StartRange,827))</f>
        <v/>
      </c>
      <c r="G2899" s="54"/>
      <c r="H2899" s="52" t="str">
        <f>IF(AND(I.Compliance.FulfilledCCUS&gt;0,I.CCUS.RangeCount&gt;=827,F2899=""),"Incomplete","Complete")</f>
        <v>Complete</v>
      </c>
      <c r="I2899" s="55" t="s">
        <v>3096</v>
      </c>
    </row>
    <row r="2900" spans="2:9" ht="15" customHeight="1" x14ac:dyDescent="0.25">
      <c r="B2900" s="51" t="s">
        <v>126</v>
      </c>
      <c r="C2900" s="52">
        <v>828</v>
      </c>
      <c r="D2900" s="53" t="s">
        <v>4329</v>
      </c>
      <c r="E2900" s="54"/>
      <c r="F2900" s="52" t="str">
        <f>IF(INDEX(I.CCUS.StartRange,828)="","",INDEX(I.CCUS.StartRange,828))</f>
        <v/>
      </c>
      <c r="G2900" s="54"/>
      <c r="H2900" s="52" t="str">
        <f>IF(AND(I.Compliance.FulfilledCCUS&gt;0,I.CCUS.RangeCount&gt;=828,F2900=""),"Incomplete","Complete")</f>
        <v>Complete</v>
      </c>
      <c r="I2900" s="55" t="s">
        <v>3097</v>
      </c>
    </row>
    <row r="2901" spans="2:9" ht="15" customHeight="1" x14ac:dyDescent="0.25">
      <c r="B2901" s="51" t="s">
        <v>126</v>
      </c>
      <c r="C2901" s="52">
        <v>829</v>
      </c>
      <c r="D2901" s="53" t="s">
        <v>4329</v>
      </c>
      <c r="E2901" s="54"/>
      <c r="F2901" s="52" t="str">
        <f>IF(INDEX(I.CCUS.StartRange,829)="","",INDEX(I.CCUS.StartRange,829))</f>
        <v/>
      </c>
      <c r="G2901" s="54"/>
      <c r="H2901" s="52" t="str">
        <f>IF(AND(I.Compliance.FulfilledCCUS&gt;0,I.CCUS.RangeCount&gt;=829,F2901=""),"Incomplete","Complete")</f>
        <v>Complete</v>
      </c>
      <c r="I2901" s="55" t="s">
        <v>3098</v>
      </c>
    </row>
    <row r="2902" spans="2:9" ht="15" customHeight="1" x14ac:dyDescent="0.25">
      <c r="B2902" s="51" t="s">
        <v>126</v>
      </c>
      <c r="C2902" s="52">
        <v>830</v>
      </c>
      <c r="D2902" s="53" t="s">
        <v>4329</v>
      </c>
      <c r="E2902" s="54"/>
      <c r="F2902" s="52" t="str">
        <f>IF(INDEX(I.CCUS.StartRange,830)="","",INDEX(I.CCUS.StartRange,830))</f>
        <v/>
      </c>
      <c r="G2902" s="54"/>
      <c r="H2902" s="52" t="str">
        <f>IF(AND(I.Compliance.FulfilledCCUS&gt;0,I.CCUS.RangeCount&gt;=830,F2902=""),"Incomplete","Complete")</f>
        <v>Complete</v>
      </c>
      <c r="I2902" s="55" t="s">
        <v>3099</v>
      </c>
    </row>
    <row r="2903" spans="2:9" ht="15" customHeight="1" x14ac:dyDescent="0.25">
      <c r="B2903" s="51" t="s">
        <v>126</v>
      </c>
      <c r="C2903" s="52">
        <v>831</v>
      </c>
      <c r="D2903" s="53" t="s">
        <v>4329</v>
      </c>
      <c r="E2903" s="54"/>
      <c r="F2903" s="52" t="str">
        <f>IF(INDEX(I.CCUS.StartRange,831)="","",INDEX(I.CCUS.StartRange,831))</f>
        <v/>
      </c>
      <c r="G2903" s="54"/>
      <c r="H2903" s="52" t="str">
        <f>IF(AND(I.Compliance.FulfilledCCUS&gt;0,I.CCUS.RangeCount&gt;=831,F2903=""),"Incomplete","Complete")</f>
        <v>Complete</v>
      </c>
      <c r="I2903" s="55" t="s">
        <v>3100</v>
      </c>
    </row>
    <row r="2904" spans="2:9" ht="15" customHeight="1" x14ac:dyDescent="0.25">
      <c r="B2904" s="51" t="s">
        <v>126</v>
      </c>
      <c r="C2904" s="52">
        <v>832</v>
      </c>
      <c r="D2904" s="53" t="s">
        <v>4329</v>
      </c>
      <c r="E2904" s="54"/>
      <c r="F2904" s="52" t="str">
        <f>IF(INDEX(I.CCUS.StartRange,832)="","",INDEX(I.CCUS.StartRange,832))</f>
        <v/>
      </c>
      <c r="G2904" s="54"/>
      <c r="H2904" s="52" t="str">
        <f>IF(AND(I.Compliance.FulfilledCCUS&gt;0,I.CCUS.RangeCount&gt;=832,F2904=""),"Incomplete","Complete")</f>
        <v>Complete</v>
      </c>
      <c r="I2904" s="55" t="s">
        <v>3101</v>
      </c>
    </row>
    <row r="2905" spans="2:9" ht="15" customHeight="1" x14ac:dyDescent="0.25">
      <c r="B2905" s="51" t="s">
        <v>126</v>
      </c>
      <c r="C2905" s="52">
        <v>833</v>
      </c>
      <c r="D2905" s="53" t="s">
        <v>4329</v>
      </c>
      <c r="E2905" s="54"/>
      <c r="F2905" s="52" t="str">
        <f>IF(INDEX(I.CCUS.StartRange,833)="","",INDEX(I.CCUS.StartRange,833))</f>
        <v/>
      </c>
      <c r="G2905" s="54"/>
      <c r="H2905" s="52" t="str">
        <f>IF(AND(I.Compliance.FulfilledCCUS&gt;0,I.CCUS.RangeCount&gt;=833,F2905=""),"Incomplete","Complete")</f>
        <v>Complete</v>
      </c>
      <c r="I2905" s="55" t="s">
        <v>3102</v>
      </c>
    </row>
    <row r="2906" spans="2:9" ht="15" customHeight="1" x14ac:dyDescent="0.25">
      <c r="B2906" s="51" t="s">
        <v>126</v>
      </c>
      <c r="C2906" s="52">
        <v>834</v>
      </c>
      <c r="D2906" s="53" t="s">
        <v>4329</v>
      </c>
      <c r="E2906" s="54"/>
      <c r="F2906" s="52" t="str">
        <f>IF(INDEX(I.CCUS.StartRange,834)="","",INDEX(I.CCUS.StartRange,834))</f>
        <v/>
      </c>
      <c r="G2906" s="54"/>
      <c r="H2906" s="52" t="str">
        <f>IF(AND(I.Compliance.FulfilledCCUS&gt;0,I.CCUS.RangeCount&gt;=834,F2906=""),"Incomplete","Complete")</f>
        <v>Complete</v>
      </c>
      <c r="I2906" s="55" t="s">
        <v>3103</v>
      </c>
    </row>
    <row r="2907" spans="2:9" ht="15" customHeight="1" x14ac:dyDescent="0.25">
      <c r="B2907" s="51" t="s">
        <v>126</v>
      </c>
      <c r="C2907" s="52">
        <v>835</v>
      </c>
      <c r="D2907" s="53" t="s">
        <v>4329</v>
      </c>
      <c r="E2907" s="54"/>
      <c r="F2907" s="52" t="str">
        <f>IF(INDEX(I.CCUS.StartRange,835)="","",INDEX(I.CCUS.StartRange,835))</f>
        <v/>
      </c>
      <c r="G2907" s="54"/>
      <c r="H2907" s="52" t="str">
        <f>IF(AND(I.Compliance.FulfilledCCUS&gt;0,I.CCUS.RangeCount&gt;=835,F2907=""),"Incomplete","Complete")</f>
        <v>Complete</v>
      </c>
      <c r="I2907" s="55" t="s">
        <v>3104</v>
      </c>
    </row>
    <row r="2908" spans="2:9" ht="15" customHeight="1" x14ac:dyDescent="0.25">
      <c r="B2908" s="51" t="s">
        <v>126</v>
      </c>
      <c r="C2908" s="52">
        <v>836</v>
      </c>
      <c r="D2908" s="53" t="s">
        <v>4329</v>
      </c>
      <c r="E2908" s="54"/>
      <c r="F2908" s="52" t="str">
        <f>IF(INDEX(I.CCUS.StartRange,836)="","",INDEX(I.CCUS.StartRange,836))</f>
        <v/>
      </c>
      <c r="G2908" s="54"/>
      <c r="H2908" s="52" t="str">
        <f>IF(AND(I.Compliance.FulfilledCCUS&gt;0,I.CCUS.RangeCount&gt;=836,F2908=""),"Incomplete","Complete")</f>
        <v>Complete</v>
      </c>
      <c r="I2908" s="55" t="s">
        <v>3105</v>
      </c>
    </row>
    <row r="2909" spans="2:9" ht="15" customHeight="1" x14ac:dyDescent="0.25">
      <c r="B2909" s="51" t="s">
        <v>126</v>
      </c>
      <c r="C2909" s="52">
        <v>837</v>
      </c>
      <c r="D2909" s="53" t="s">
        <v>4329</v>
      </c>
      <c r="E2909" s="54"/>
      <c r="F2909" s="52" t="str">
        <f>IF(INDEX(I.CCUS.StartRange,837)="","",INDEX(I.CCUS.StartRange,837))</f>
        <v/>
      </c>
      <c r="G2909" s="54"/>
      <c r="H2909" s="52" t="str">
        <f>IF(AND(I.Compliance.FulfilledCCUS&gt;0,I.CCUS.RangeCount&gt;=837,F2909=""),"Incomplete","Complete")</f>
        <v>Complete</v>
      </c>
      <c r="I2909" s="55" t="s">
        <v>3106</v>
      </c>
    </row>
    <row r="2910" spans="2:9" ht="15" customHeight="1" x14ac:dyDescent="0.25">
      <c r="B2910" s="51" t="s">
        <v>126</v>
      </c>
      <c r="C2910" s="52">
        <v>838</v>
      </c>
      <c r="D2910" s="53" t="s">
        <v>4329</v>
      </c>
      <c r="E2910" s="54"/>
      <c r="F2910" s="52" t="str">
        <f>IF(INDEX(I.CCUS.StartRange,838)="","",INDEX(I.CCUS.StartRange,838))</f>
        <v/>
      </c>
      <c r="G2910" s="54"/>
      <c r="H2910" s="52" t="str">
        <f>IF(AND(I.Compliance.FulfilledCCUS&gt;0,I.CCUS.RangeCount&gt;=838,F2910=""),"Incomplete","Complete")</f>
        <v>Complete</v>
      </c>
      <c r="I2910" s="55" t="s">
        <v>3107</v>
      </c>
    </row>
    <row r="2911" spans="2:9" ht="15" customHeight="1" x14ac:dyDescent="0.25">
      <c r="B2911" s="51" t="s">
        <v>126</v>
      </c>
      <c r="C2911" s="52">
        <v>839</v>
      </c>
      <c r="D2911" s="53" t="s">
        <v>4329</v>
      </c>
      <c r="E2911" s="54"/>
      <c r="F2911" s="52" t="str">
        <f>IF(INDEX(I.CCUS.StartRange,839)="","",INDEX(I.CCUS.StartRange,839))</f>
        <v/>
      </c>
      <c r="G2911" s="54"/>
      <c r="H2911" s="52" t="str">
        <f>IF(AND(I.Compliance.FulfilledCCUS&gt;0,I.CCUS.RangeCount&gt;=839,F2911=""),"Incomplete","Complete")</f>
        <v>Complete</v>
      </c>
      <c r="I2911" s="55" t="s">
        <v>3108</v>
      </c>
    </row>
    <row r="2912" spans="2:9" ht="15" customHeight="1" x14ac:dyDescent="0.25">
      <c r="B2912" s="51" t="s">
        <v>126</v>
      </c>
      <c r="C2912" s="52">
        <v>840</v>
      </c>
      <c r="D2912" s="53" t="s">
        <v>4329</v>
      </c>
      <c r="E2912" s="54"/>
      <c r="F2912" s="52" t="str">
        <f>IF(INDEX(I.CCUS.StartRange,840)="","",INDEX(I.CCUS.StartRange,840))</f>
        <v/>
      </c>
      <c r="G2912" s="54"/>
      <c r="H2912" s="52" t="str">
        <f>IF(AND(I.Compliance.FulfilledCCUS&gt;0,I.CCUS.RangeCount&gt;=840,F2912=""),"Incomplete","Complete")</f>
        <v>Complete</v>
      </c>
      <c r="I2912" s="55" t="s">
        <v>3109</v>
      </c>
    </row>
    <row r="2913" spans="2:9" ht="15" customHeight="1" x14ac:dyDescent="0.25">
      <c r="B2913" s="51" t="s">
        <v>126</v>
      </c>
      <c r="C2913" s="52">
        <v>841</v>
      </c>
      <c r="D2913" s="53" t="s">
        <v>4329</v>
      </c>
      <c r="E2913" s="54"/>
      <c r="F2913" s="52" t="str">
        <f>IF(INDEX(I.CCUS.StartRange,841)="","",INDEX(I.CCUS.StartRange,841))</f>
        <v/>
      </c>
      <c r="G2913" s="54"/>
      <c r="H2913" s="52" t="str">
        <f>IF(AND(I.Compliance.FulfilledCCUS&gt;0,I.CCUS.RangeCount&gt;=841,F2913=""),"Incomplete","Complete")</f>
        <v>Complete</v>
      </c>
      <c r="I2913" s="55" t="s">
        <v>3110</v>
      </c>
    </row>
    <row r="2914" spans="2:9" ht="15" customHeight="1" x14ac:dyDescent="0.25">
      <c r="B2914" s="51" t="s">
        <v>126</v>
      </c>
      <c r="C2914" s="52">
        <v>842</v>
      </c>
      <c r="D2914" s="53" t="s">
        <v>4329</v>
      </c>
      <c r="E2914" s="54"/>
      <c r="F2914" s="52" t="str">
        <f>IF(INDEX(I.CCUS.StartRange,842)="","",INDEX(I.CCUS.StartRange,842))</f>
        <v/>
      </c>
      <c r="G2914" s="54"/>
      <c r="H2914" s="52" t="str">
        <f>IF(AND(I.Compliance.FulfilledCCUS&gt;0,I.CCUS.RangeCount&gt;=842,F2914=""),"Incomplete","Complete")</f>
        <v>Complete</v>
      </c>
      <c r="I2914" s="55" t="s">
        <v>3111</v>
      </c>
    </row>
    <row r="2915" spans="2:9" ht="15" customHeight="1" x14ac:dyDescent="0.25">
      <c r="B2915" s="51" t="s">
        <v>126</v>
      </c>
      <c r="C2915" s="52">
        <v>843</v>
      </c>
      <c r="D2915" s="53" t="s">
        <v>4329</v>
      </c>
      <c r="E2915" s="54"/>
      <c r="F2915" s="52" t="str">
        <f>IF(INDEX(I.CCUS.StartRange,843)="","",INDEX(I.CCUS.StartRange,843))</f>
        <v/>
      </c>
      <c r="G2915" s="54"/>
      <c r="H2915" s="52" t="str">
        <f>IF(AND(I.Compliance.FulfilledCCUS&gt;0,I.CCUS.RangeCount&gt;=843,F2915=""),"Incomplete","Complete")</f>
        <v>Complete</v>
      </c>
      <c r="I2915" s="55" t="s">
        <v>3112</v>
      </c>
    </row>
    <row r="2916" spans="2:9" ht="15" customHeight="1" x14ac:dyDescent="0.25">
      <c r="B2916" s="51" t="s">
        <v>126</v>
      </c>
      <c r="C2916" s="52">
        <v>844</v>
      </c>
      <c r="D2916" s="53" t="s">
        <v>4329</v>
      </c>
      <c r="E2916" s="54"/>
      <c r="F2916" s="52" t="str">
        <f>IF(INDEX(I.CCUS.StartRange,844)="","",INDEX(I.CCUS.StartRange,844))</f>
        <v/>
      </c>
      <c r="G2916" s="54"/>
      <c r="H2916" s="52" t="str">
        <f>IF(AND(I.Compliance.FulfilledCCUS&gt;0,I.CCUS.RangeCount&gt;=844,F2916=""),"Incomplete","Complete")</f>
        <v>Complete</v>
      </c>
      <c r="I2916" s="55" t="s">
        <v>3113</v>
      </c>
    </row>
    <row r="2917" spans="2:9" ht="15" customHeight="1" x14ac:dyDescent="0.25">
      <c r="B2917" s="51" t="s">
        <v>126</v>
      </c>
      <c r="C2917" s="52">
        <v>845</v>
      </c>
      <c r="D2917" s="53" t="s">
        <v>4329</v>
      </c>
      <c r="E2917" s="54"/>
      <c r="F2917" s="52" t="str">
        <f>IF(INDEX(I.CCUS.StartRange,845)="","",INDEX(I.CCUS.StartRange,845))</f>
        <v/>
      </c>
      <c r="G2917" s="54"/>
      <c r="H2917" s="52" t="str">
        <f>IF(AND(I.Compliance.FulfilledCCUS&gt;0,I.CCUS.RangeCount&gt;=845,F2917=""),"Incomplete","Complete")</f>
        <v>Complete</v>
      </c>
      <c r="I2917" s="55" t="s">
        <v>3114</v>
      </c>
    </row>
    <row r="2918" spans="2:9" ht="15" customHeight="1" x14ac:dyDescent="0.25">
      <c r="B2918" s="51" t="s">
        <v>126</v>
      </c>
      <c r="C2918" s="52">
        <v>846</v>
      </c>
      <c r="D2918" s="53" t="s">
        <v>4329</v>
      </c>
      <c r="E2918" s="54"/>
      <c r="F2918" s="52" t="str">
        <f>IF(INDEX(I.CCUS.StartRange,846)="","",INDEX(I.CCUS.StartRange,846))</f>
        <v/>
      </c>
      <c r="G2918" s="54"/>
      <c r="H2918" s="52" t="str">
        <f>IF(AND(I.Compliance.FulfilledCCUS&gt;0,I.CCUS.RangeCount&gt;=846,F2918=""),"Incomplete","Complete")</f>
        <v>Complete</v>
      </c>
      <c r="I2918" s="55" t="s">
        <v>3115</v>
      </c>
    </row>
    <row r="2919" spans="2:9" ht="15" customHeight="1" x14ac:dyDescent="0.25">
      <c r="B2919" s="51" t="s">
        <v>126</v>
      </c>
      <c r="C2919" s="52">
        <v>847</v>
      </c>
      <c r="D2919" s="53" t="s">
        <v>4329</v>
      </c>
      <c r="E2919" s="54"/>
      <c r="F2919" s="52" t="str">
        <f>IF(INDEX(I.CCUS.StartRange,847)="","",INDEX(I.CCUS.StartRange,847))</f>
        <v/>
      </c>
      <c r="G2919" s="54"/>
      <c r="H2919" s="52" t="str">
        <f>IF(AND(I.Compliance.FulfilledCCUS&gt;0,I.CCUS.RangeCount&gt;=847,F2919=""),"Incomplete","Complete")</f>
        <v>Complete</v>
      </c>
      <c r="I2919" s="55" t="s">
        <v>3116</v>
      </c>
    </row>
    <row r="2920" spans="2:9" ht="15" customHeight="1" x14ac:dyDescent="0.25">
      <c r="B2920" s="51" t="s">
        <v>126</v>
      </c>
      <c r="C2920" s="52">
        <v>848</v>
      </c>
      <c r="D2920" s="53" t="s">
        <v>4329</v>
      </c>
      <c r="E2920" s="54"/>
      <c r="F2920" s="52" t="str">
        <f>IF(INDEX(I.CCUS.StartRange,848)="","",INDEX(I.CCUS.StartRange,848))</f>
        <v/>
      </c>
      <c r="G2920" s="54"/>
      <c r="H2920" s="52" t="str">
        <f>IF(AND(I.Compliance.FulfilledCCUS&gt;0,I.CCUS.RangeCount&gt;=848,F2920=""),"Incomplete","Complete")</f>
        <v>Complete</v>
      </c>
      <c r="I2920" s="55" t="s">
        <v>3117</v>
      </c>
    </row>
    <row r="2921" spans="2:9" ht="15" customHeight="1" x14ac:dyDescent="0.25">
      <c r="B2921" s="51" t="s">
        <v>126</v>
      </c>
      <c r="C2921" s="52">
        <v>849</v>
      </c>
      <c r="D2921" s="53" t="s">
        <v>4329</v>
      </c>
      <c r="E2921" s="54"/>
      <c r="F2921" s="52" t="str">
        <f>IF(INDEX(I.CCUS.StartRange,849)="","",INDEX(I.CCUS.StartRange,849))</f>
        <v/>
      </c>
      <c r="G2921" s="54"/>
      <c r="H2921" s="52" t="str">
        <f>IF(AND(I.Compliance.FulfilledCCUS&gt;0,I.CCUS.RangeCount&gt;=849,F2921=""),"Incomplete","Complete")</f>
        <v>Complete</v>
      </c>
      <c r="I2921" s="55" t="s">
        <v>3118</v>
      </c>
    </row>
    <row r="2922" spans="2:9" ht="15" customHeight="1" x14ac:dyDescent="0.25">
      <c r="B2922" s="51" t="s">
        <v>126</v>
      </c>
      <c r="C2922" s="52">
        <v>850</v>
      </c>
      <c r="D2922" s="53" t="s">
        <v>4329</v>
      </c>
      <c r="E2922" s="54"/>
      <c r="F2922" s="52" t="str">
        <f>IF(INDEX(I.CCUS.StartRange,850)="","",INDEX(I.CCUS.StartRange,850))</f>
        <v/>
      </c>
      <c r="G2922" s="54"/>
      <c r="H2922" s="52" t="str">
        <f>IF(AND(I.Compliance.FulfilledCCUS&gt;0,I.CCUS.RangeCount&gt;=850,F2922=""),"Incomplete","Complete")</f>
        <v>Complete</v>
      </c>
      <c r="I2922" s="55" t="s">
        <v>3119</v>
      </c>
    </row>
    <row r="2923" spans="2:9" ht="15" customHeight="1" x14ac:dyDescent="0.25">
      <c r="B2923" s="51" t="s">
        <v>126</v>
      </c>
      <c r="C2923" s="52">
        <v>851</v>
      </c>
      <c r="D2923" s="53" t="s">
        <v>4329</v>
      </c>
      <c r="E2923" s="54"/>
      <c r="F2923" s="52" t="str">
        <f>IF(INDEX(I.CCUS.StartRange,851)="","",INDEX(I.CCUS.StartRange,851))</f>
        <v/>
      </c>
      <c r="G2923" s="54"/>
      <c r="H2923" s="52" t="str">
        <f>IF(AND(I.Compliance.FulfilledCCUS&gt;0,I.CCUS.RangeCount&gt;=851,F2923=""),"Incomplete","Complete")</f>
        <v>Complete</v>
      </c>
      <c r="I2923" s="55" t="s">
        <v>3120</v>
      </c>
    </row>
    <row r="2924" spans="2:9" ht="15" customHeight="1" x14ac:dyDescent="0.25">
      <c r="B2924" s="51" t="s">
        <v>126</v>
      </c>
      <c r="C2924" s="52">
        <v>852</v>
      </c>
      <c r="D2924" s="53" t="s">
        <v>4329</v>
      </c>
      <c r="E2924" s="54"/>
      <c r="F2924" s="52" t="str">
        <f>IF(INDEX(I.CCUS.StartRange,852)="","",INDEX(I.CCUS.StartRange,852))</f>
        <v/>
      </c>
      <c r="G2924" s="54"/>
      <c r="H2924" s="52" t="str">
        <f>IF(AND(I.Compliance.FulfilledCCUS&gt;0,I.CCUS.RangeCount&gt;=852,F2924=""),"Incomplete","Complete")</f>
        <v>Complete</v>
      </c>
      <c r="I2924" s="55" t="s">
        <v>3121</v>
      </c>
    </row>
    <row r="2925" spans="2:9" ht="15" customHeight="1" x14ac:dyDescent="0.25">
      <c r="B2925" s="51" t="s">
        <v>126</v>
      </c>
      <c r="C2925" s="52">
        <v>853</v>
      </c>
      <c r="D2925" s="53" t="s">
        <v>4329</v>
      </c>
      <c r="E2925" s="54"/>
      <c r="F2925" s="52" t="str">
        <f>IF(INDEX(I.CCUS.StartRange,853)="","",INDEX(I.CCUS.StartRange,853))</f>
        <v/>
      </c>
      <c r="G2925" s="54"/>
      <c r="H2925" s="52" t="str">
        <f>IF(AND(I.Compliance.FulfilledCCUS&gt;0,I.CCUS.RangeCount&gt;=853,F2925=""),"Incomplete","Complete")</f>
        <v>Complete</v>
      </c>
      <c r="I2925" s="55" t="s">
        <v>3122</v>
      </c>
    </row>
    <row r="2926" spans="2:9" ht="15" customHeight="1" x14ac:dyDescent="0.25">
      <c r="B2926" s="51" t="s">
        <v>126</v>
      </c>
      <c r="C2926" s="52">
        <v>854</v>
      </c>
      <c r="D2926" s="53" t="s">
        <v>4329</v>
      </c>
      <c r="E2926" s="54"/>
      <c r="F2926" s="52" t="str">
        <f>IF(INDEX(I.CCUS.StartRange,854)="","",INDEX(I.CCUS.StartRange,854))</f>
        <v/>
      </c>
      <c r="G2926" s="54"/>
      <c r="H2926" s="52" t="str">
        <f>IF(AND(I.Compliance.FulfilledCCUS&gt;0,I.CCUS.RangeCount&gt;=854,F2926=""),"Incomplete","Complete")</f>
        <v>Complete</v>
      </c>
      <c r="I2926" s="55" t="s">
        <v>3123</v>
      </c>
    </row>
    <row r="2927" spans="2:9" ht="15" customHeight="1" x14ac:dyDescent="0.25">
      <c r="B2927" s="51" t="s">
        <v>126</v>
      </c>
      <c r="C2927" s="52">
        <v>855</v>
      </c>
      <c r="D2927" s="53" t="s">
        <v>4329</v>
      </c>
      <c r="E2927" s="54"/>
      <c r="F2927" s="52" t="str">
        <f>IF(INDEX(I.CCUS.StartRange,855)="","",INDEX(I.CCUS.StartRange,855))</f>
        <v/>
      </c>
      <c r="G2927" s="54"/>
      <c r="H2927" s="52" t="str">
        <f>IF(AND(I.Compliance.FulfilledCCUS&gt;0,I.CCUS.RangeCount&gt;=855,F2927=""),"Incomplete","Complete")</f>
        <v>Complete</v>
      </c>
      <c r="I2927" s="55" t="s">
        <v>3124</v>
      </c>
    </row>
    <row r="2928" spans="2:9" ht="15" customHeight="1" x14ac:dyDescent="0.25">
      <c r="B2928" s="51" t="s">
        <v>126</v>
      </c>
      <c r="C2928" s="52">
        <v>856</v>
      </c>
      <c r="D2928" s="53" t="s">
        <v>4329</v>
      </c>
      <c r="E2928" s="54"/>
      <c r="F2928" s="52" t="str">
        <f>IF(INDEX(I.CCUS.StartRange,856)="","",INDEX(I.CCUS.StartRange,856))</f>
        <v/>
      </c>
      <c r="G2928" s="54"/>
      <c r="H2928" s="52" t="str">
        <f>IF(AND(I.Compliance.FulfilledCCUS&gt;0,I.CCUS.RangeCount&gt;=856,F2928=""),"Incomplete","Complete")</f>
        <v>Complete</v>
      </c>
      <c r="I2928" s="55" t="s">
        <v>3125</v>
      </c>
    </row>
    <row r="2929" spans="2:9" ht="15" customHeight="1" x14ac:dyDescent="0.25">
      <c r="B2929" s="51" t="s">
        <v>126</v>
      </c>
      <c r="C2929" s="52">
        <v>857</v>
      </c>
      <c r="D2929" s="53" t="s">
        <v>4329</v>
      </c>
      <c r="E2929" s="54"/>
      <c r="F2929" s="52" t="str">
        <f>IF(INDEX(I.CCUS.StartRange,857)="","",INDEX(I.CCUS.StartRange,857))</f>
        <v/>
      </c>
      <c r="G2929" s="54"/>
      <c r="H2929" s="52" t="str">
        <f>IF(AND(I.Compliance.FulfilledCCUS&gt;0,I.CCUS.RangeCount&gt;=857,F2929=""),"Incomplete","Complete")</f>
        <v>Complete</v>
      </c>
      <c r="I2929" s="55" t="s">
        <v>3126</v>
      </c>
    </row>
    <row r="2930" spans="2:9" ht="15" customHeight="1" x14ac:dyDescent="0.25">
      <c r="B2930" s="51" t="s">
        <v>126</v>
      </c>
      <c r="C2930" s="52">
        <v>858</v>
      </c>
      <c r="D2930" s="53" t="s">
        <v>4329</v>
      </c>
      <c r="E2930" s="54"/>
      <c r="F2930" s="52" t="str">
        <f>IF(INDEX(I.CCUS.StartRange,858)="","",INDEX(I.CCUS.StartRange,858))</f>
        <v/>
      </c>
      <c r="G2930" s="54"/>
      <c r="H2930" s="52" t="str">
        <f>IF(AND(I.Compliance.FulfilledCCUS&gt;0,I.CCUS.RangeCount&gt;=858,F2930=""),"Incomplete","Complete")</f>
        <v>Complete</v>
      </c>
      <c r="I2930" s="55" t="s">
        <v>3127</v>
      </c>
    </row>
    <row r="2931" spans="2:9" ht="15" customHeight="1" x14ac:dyDescent="0.25">
      <c r="B2931" s="51" t="s">
        <v>126</v>
      </c>
      <c r="C2931" s="52">
        <v>859</v>
      </c>
      <c r="D2931" s="53" t="s">
        <v>4329</v>
      </c>
      <c r="E2931" s="54"/>
      <c r="F2931" s="52" t="str">
        <f>IF(INDEX(I.CCUS.StartRange,859)="","",INDEX(I.CCUS.StartRange,859))</f>
        <v/>
      </c>
      <c r="G2931" s="54"/>
      <c r="H2931" s="52" t="str">
        <f>IF(AND(I.Compliance.FulfilledCCUS&gt;0,I.CCUS.RangeCount&gt;=859,F2931=""),"Incomplete","Complete")</f>
        <v>Complete</v>
      </c>
      <c r="I2931" s="55" t="s">
        <v>3128</v>
      </c>
    </row>
    <row r="2932" spans="2:9" ht="15" customHeight="1" x14ac:dyDescent="0.25">
      <c r="B2932" s="51" t="s">
        <v>126</v>
      </c>
      <c r="C2932" s="52">
        <v>860</v>
      </c>
      <c r="D2932" s="53" t="s">
        <v>4329</v>
      </c>
      <c r="E2932" s="54"/>
      <c r="F2932" s="52" t="str">
        <f>IF(INDEX(I.CCUS.StartRange,860)="","",INDEX(I.CCUS.StartRange,860))</f>
        <v/>
      </c>
      <c r="G2932" s="54"/>
      <c r="H2932" s="52" t="str">
        <f>IF(AND(I.Compliance.FulfilledCCUS&gt;0,I.CCUS.RangeCount&gt;=860,F2932=""),"Incomplete","Complete")</f>
        <v>Complete</v>
      </c>
      <c r="I2932" s="55" t="s">
        <v>3129</v>
      </c>
    </row>
    <row r="2933" spans="2:9" ht="15" customHeight="1" x14ac:dyDescent="0.25">
      <c r="B2933" s="51" t="s">
        <v>126</v>
      </c>
      <c r="C2933" s="52">
        <v>861</v>
      </c>
      <c r="D2933" s="53" t="s">
        <v>4329</v>
      </c>
      <c r="E2933" s="54"/>
      <c r="F2933" s="52" t="str">
        <f>IF(INDEX(I.CCUS.StartRange,861)="","",INDEX(I.CCUS.StartRange,861))</f>
        <v/>
      </c>
      <c r="G2933" s="54"/>
      <c r="H2933" s="52" t="str">
        <f>IF(AND(I.Compliance.FulfilledCCUS&gt;0,I.CCUS.RangeCount&gt;=861,F2933=""),"Incomplete","Complete")</f>
        <v>Complete</v>
      </c>
      <c r="I2933" s="55" t="s">
        <v>3130</v>
      </c>
    </row>
    <row r="2934" spans="2:9" ht="15" customHeight="1" x14ac:dyDescent="0.25">
      <c r="B2934" s="51" t="s">
        <v>126</v>
      </c>
      <c r="C2934" s="52">
        <v>862</v>
      </c>
      <c r="D2934" s="53" t="s">
        <v>4329</v>
      </c>
      <c r="E2934" s="54"/>
      <c r="F2934" s="52" t="str">
        <f>IF(INDEX(I.CCUS.StartRange,862)="","",INDEX(I.CCUS.StartRange,862))</f>
        <v/>
      </c>
      <c r="G2934" s="54"/>
      <c r="H2934" s="52" t="str">
        <f>IF(AND(I.Compliance.FulfilledCCUS&gt;0,I.CCUS.RangeCount&gt;=862,F2934=""),"Incomplete","Complete")</f>
        <v>Complete</v>
      </c>
      <c r="I2934" s="55" t="s">
        <v>3131</v>
      </c>
    </row>
    <row r="2935" spans="2:9" ht="15" customHeight="1" x14ac:dyDescent="0.25">
      <c r="B2935" s="51" t="s">
        <v>126</v>
      </c>
      <c r="C2935" s="52">
        <v>863</v>
      </c>
      <c r="D2935" s="53" t="s">
        <v>4329</v>
      </c>
      <c r="E2935" s="54"/>
      <c r="F2935" s="52" t="str">
        <f>IF(INDEX(I.CCUS.StartRange,863)="","",INDEX(I.CCUS.StartRange,863))</f>
        <v/>
      </c>
      <c r="G2935" s="54"/>
      <c r="H2935" s="52" t="str">
        <f>IF(AND(I.Compliance.FulfilledCCUS&gt;0,I.CCUS.RangeCount&gt;=863,F2935=""),"Incomplete","Complete")</f>
        <v>Complete</v>
      </c>
      <c r="I2935" s="55" t="s">
        <v>3132</v>
      </c>
    </row>
    <row r="2936" spans="2:9" ht="15" customHeight="1" x14ac:dyDescent="0.25">
      <c r="B2936" s="51" t="s">
        <v>126</v>
      </c>
      <c r="C2936" s="52">
        <v>864</v>
      </c>
      <c r="D2936" s="53" t="s">
        <v>4329</v>
      </c>
      <c r="E2936" s="54"/>
      <c r="F2936" s="52" t="str">
        <f>IF(INDEX(I.CCUS.StartRange,864)="","",INDEX(I.CCUS.StartRange,864))</f>
        <v/>
      </c>
      <c r="G2936" s="54"/>
      <c r="H2936" s="52" t="str">
        <f>IF(AND(I.Compliance.FulfilledCCUS&gt;0,I.CCUS.RangeCount&gt;=864,F2936=""),"Incomplete","Complete")</f>
        <v>Complete</v>
      </c>
      <c r="I2936" s="55" t="s">
        <v>3133</v>
      </c>
    </row>
    <row r="2937" spans="2:9" ht="15" customHeight="1" x14ac:dyDescent="0.25">
      <c r="B2937" s="51" t="s">
        <v>126</v>
      </c>
      <c r="C2937" s="52">
        <v>865</v>
      </c>
      <c r="D2937" s="53" t="s">
        <v>4329</v>
      </c>
      <c r="E2937" s="54"/>
      <c r="F2937" s="52" t="str">
        <f>IF(INDEX(I.CCUS.StartRange,865)="","",INDEX(I.CCUS.StartRange,865))</f>
        <v/>
      </c>
      <c r="G2937" s="54"/>
      <c r="H2937" s="52" t="str">
        <f>IF(AND(I.Compliance.FulfilledCCUS&gt;0,I.CCUS.RangeCount&gt;=865,F2937=""),"Incomplete","Complete")</f>
        <v>Complete</v>
      </c>
      <c r="I2937" s="55" t="s">
        <v>3134</v>
      </c>
    </row>
    <row r="2938" spans="2:9" ht="15" customHeight="1" x14ac:dyDescent="0.25">
      <c r="B2938" s="51" t="s">
        <v>126</v>
      </c>
      <c r="C2938" s="52">
        <v>866</v>
      </c>
      <c r="D2938" s="53" t="s">
        <v>4329</v>
      </c>
      <c r="E2938" s="54"/>
      <c r="F2938" s="52" t="str">
        <f>IF(INDEX(I.CCUS.StartRange,866)="","",INDEX(I.CCUS.StartRange,866))</f>
        <v/>
      </c>
      <c r="G2938" s="54"/>
      <c r="H2938" s="52" t="str">
        <f>IF(AND(I.Compliance.FulfilledCCUS&gt;0,I.CCUS.RangeCount&gt;=866,F2938=""),"Incomplete","Complete")</f>
        <v>Complete</v>
      </c>
      <c r="I2938" s="55" t="s">
        <v>3135</v>
      </c>
    </row>
    <row r="2939" spans="2:9" ht="15" customHeight="1" x14ac:dyDescent="0.25">
      <c r="B2939" s="51" t="s">
        <v>126</v>
      </c>
      <c r="C2939" s="52">
        <v>867</v>
      </c>
      <c r="D2939" s="53" t="s">
        <v>4329</v>
      </c>
      <c r="E2939" s="54"/>
      <c r="F2939" s="52" t="str">
        <f>IF(INDEX(I.CCUS.StartRange,867)="","",INDEX(I.CCUS.StartRange,867))</f>
        <v/>
      </c>
      <c r="G2939" s="54"/>
      <c r="H2939" s="52" t="str">
        <f>IF(AND(I.Compliance.FulfilledCCUS&gt;0,I.CCUS.RangeCount&gt;=867,F2939=""),"Incomplete","Complete")</f>
        <v>Complete</v>
      </c>
      <c r="I2939" s="55" t="s">
        <v>3136</v>
      </c>
    </row>
    <row r="2940" spans="2:9" ht="15" customHeight="1" x14ac:dyDescent="0.25">
      <c r="B2940" s="51" t="s">
        <v>126</v>
      </c>
      <c r="C2940" s="52">
        <v>868</v>
      </c>
      <c r="D2940" s="53" t="s">
        <v>4329</v>
      </c>
      <c r="E2940" s="54"/>
      <c r="F2940" s="52" t="str">
        <f>IF(INDEX(I.CCUS.StartRange,868)="","",INDEX(I.CCUS.StartRange,868))</f>
        <v/>
      </c>
      <c r="G2940" s="54"/>
      <c r="H2940" s="52" t="str">
        <f>IF(AND(I.Compliance.FulfilledCCUS&gt;0,I.CCUS.RangeCount&gt;=868,F2940=""),"Incomplete","Complete")</f>
        <v>Complete</v>
      </c>
      <c r="I2940" s="55" t="s">
        <v>3137</v>
      </c>
    </row>
    <row r="2941" spans="2:9" ht="15" customHeight="1" x14ac:dyDescent="0.25">
      <c r="B2941" s="51" t="s">
        <v>126</v>
      </c>
      <c r="C2941" s="52">
        <v>869</v>
      </c>
      <c r="D2941" s="53" t="s">
        <v>4329</v>
      </c>
      <c r="E2941" s="54"/>
      <c r="F2941" s="52" t="str">
        <f>IF(INDEX(I.CCUS.StartRange,869)="","",INDEX(I.CCUS.StartRange,869))</f>
        <v/>
      </c>
      <c r="G2941" s="54"/>
      <c r="H2941" s="52" t="str">
        <f>IF(AND(I.Compliance.FulfilledCCUS&gt;0,I.CCUS.RangeCount&gt;=869,F2941=""),"Incomplete","Complete")</f>
        <v>Complete</v>
      </c>
      <c r="I2941" s="55" t="s">
        <v>3138</v>
      </c>
    </row>
    <row r="2942" spans="2:9" ht="15" customHeight="1" x14ac:dyDescent="0.25">
      <c r="B2942" s="51" t="s">
        <v>126</v>
      </c>
      <c r="C2942" s="52">
        <v>870</v>
      </c>
      <c r="D2942" s="53" t="s">
        <v>4329</v>
      </c>
      <c r="E2942" s="54"/>
      <c r="F2942" s="52" t="str">
        <f>IF(INDEX(I.CCUS.StartRange,870)="","",INDEX(I.CCUS.StartRange,870))</f>
        <v/>
      </c>
      <c r="G2942" s="54"/>
      <c r="H2942" s="52" t="str">
        <f>IF(AND(I.Compliance.FulfilledCCUS&gt;0,I.CCUS.RangeCount&gt;=870,F2942=""),"Incomplete","Complete")</f>
        <v>Complete</v>
      </c>
      <c r="I2942" s="55" t="s">
        <v>3139</v>
      </c>
    </row>
    <row r="2943" spans="2:9" ht="15" customHeight="1" x14ac:dyDescent="0.25">
      <c r="B2943" s="51" t="s">
        <v>126</v>
      </c>
      <c r="C2943" s="52">
        <v>871</v>
      </c>
      <c r="D2943" s="53" t="s">
        <v>4329</v>
      </c>
      <c r="E2943" s="54"/>
      <c r="F2943" s="52" t="str">
        <f>IF(INDEX(I.CCUS.StartRange,871)="","",INDEX(I.CCUS.StartRange,871))</f>
        <v/>
      </c>
      <c r="G2943" s="54"/>
      <c r="H2943" s="52" t="str">
        <f>IF(AND(I.Compliance.FulfilledCCUS&gt;0,I.CCUS.RangeCount&gt;=871,F2943=""),"Incomplete","Complete")</f>
        <v>Complete</v>
      </c>
      <c r="I2943" s="55" t="s">
        <v>3140</v>
      </c>
    </row>
    <row r="2944" spans="2:9" ht="15" customHeight="1" x14ac:dyDescent="0.25">
      <c r="B2944" s="51" t="s">
        <v>126</v>
      </c>
      <c r="C2944" s="52">
        <v>872</v>
      </c>
      <c r="D2944" s="53" t="s">
        <v>4329</v>
      </c>
      <c r="E2944" s="54"/>
      <c r="F2944" s="52" t="str">
        <f>IF(INDEX(I.CCUS.StartRange,872)="","",INDEX(I.CCUS.StartRange,872))</f>
        <v/>
      </c>
      <c r="G2944" s="54"/>
      <c r="H2944" s="52" t="str">
        <f>IF(AND(I.Compliance.FulfilledCCUS&gt;0,I.CCUS.RangeCount&gt;=872,F2944=""),"Incomplete","Complete")</f>
        <v>Complete</v>
      </c>
      <c r="I2944" s="55" t="s">
        <v>3141</v>
      </c>
    </row>
    <row r="2945" spans="2:9" ht="15" customHeight="1" x14ac:dyDescent="0.25">
      <c r="B2945" s="51" t="s">
        <v>126</v>
      </c>
      <c r="C2945" s="52">
        <v>873</v>
      </c>
      <c r="D2945" s="53" t="s">
        <v>4329</v>
      </c>
      <c r="E2945" s="54"/>
      <c r="F2945" s="52" t="str">
        <f>IF(INDEX(I.CCUS.StartRange,873)="","",INDEX(I.CCUS.StartRange,873))</f>
        <v/>
      </c>
      <c r="G2945" s="54"/>
      <c r="H2945" s="52" t="str">
        <f>IF(AND(I.Compliance.FulfilledCCUS&gt;0,I.CCUS.RangeCount&gt;=873,F2945=""),"Incomplete","Complete")</f>
        <v>Complete</v>
      </c>
      <c r="I2945" s="55" t="s">
        <v>3142</v>
      </c>
    </row>
    <row r="2946" spans="2:9" ht="15" customHeight="1" x14ac:dyDescent="0.25">
      <c r="B2946" s="51" t="s">
        <v>126</v>
      </c>
      <c r="C2946" s="52">
        <v>874</v>
      </c>
      <c r="D2946" s="53" t="s">
        <v>4329</v>
      </c>
      <c r="E2946" s="54"/>
      <c r="F2946" s="52" t="str">
        <f>IF(INDEX(I.CCUS.StartRange,874)="","",INDEX(I.CCUS.StartRange,874))</f>
        <v/>
      </c>
      <c r="G2946" s="54"/>
      <c r="H2946" s="52" t="str">
        <f>IF(AND(I.Compliance.FulfilledCCUS&gt;0,I.CCUS.RangeCount&gt;=874,F2946=""),"Incomplete","Complete")</f>
        <v>Complete</v>
      </c>
      <c r="I2946" s="55" t="s">
        <v>3143</v>
      </c>
    </row>
    <row r="2947" spans="2:9" ht="15" customHeight="1" x14ac:dyDescent="0.25">
      <c r="B2947" s="51" t="s">
        <v>126</v>
      </c>
      <c r="C2947" s="52">
        <v>875</v>
      </c>
      <c r="D2947" s="53" t="s">
        <v>4329</v>
      </c>
      <c r="E2947" s="54"/>
      <c r="F2947" s="52" t="str">
        <f>IF(INDEX(I.CCUS.StartRange,875)="","",INDEX(I.CCUS.StartRange,875))</f>
        <v/>
      </c>
      <c r="G2947" s="54"/>
      <c r="H2947" s="52" t="str">
        <f>IF(AND(I.Compliance.FulfilledCCUS&gt;0,I.CCUS.RangeCount&gt;=875,F2947=""),"Incomplete","Complete")</f>
        <v>Complete</v>
      </c>
      <c r="I2947" s="55" t="s">
        <v>3144</v>
      </c>
    </row>
    <row r="2948" spans="2:9" ht="15" customHeight="1" x14ac:dyDescent="0.25">
      <c r="B2948" s="51" t="s">
        <v>126</v>
      </c>
      <c r="C2948" s="52">
        <v>876</v>
      </c>
      <c r="D2948" s="53" t="s">
        <v>4329</v>
      </c>
      <c r="E2948" s="54"/>
      <c r="F2948" s="52" t="str">
        <f>IF(INDEX(I.CCUS.StartRange,876)="","",INDEX(I.CCUS.StartRange,876))</f>
        <v/>
      </c>
      <c r="G2948" s="54"/>
      <c r="H2948" s="52" t="str">
        <f>IF(AND(I.Compliance.FulfilledCCUS&gt;0,I.CCUS.RangeCount&gt;=876,F2948=""),"Incomplete","Complete")</f>
        <v>Complete</v>
      </c>
      <c r="I2948" s="55" t="s">
        <v>3145</v>
      </c>
    </row>
    <row r="2949" spans="2:9" ht="15" customHeight="1" x14ac:dyDescent="0.25">
      <c r="B2949" s="51" t="s">
        <v>126</v>
      </c>
      <c r="C2949" s="52">
        <v>877</v>
      </c>
      <c r="D2949" s="53" t="s">
        <v>4329</v>
      </c>
      <c r="E2949" s="54"/>
      <c r="F2949" s="52" t="str">
        <f>IF(INDEX(I.CCUS.StartRange,877)="","",INDEX(I.CCUS.StartRange,877))</f>
        <v/>
      </c>
      <c r="G2949" s="54"/>
      <c r="H2949" s="52" t="str">
        <f>IF(AND(I.Compliance.FulfilledCCUS&gt;0,I.CCUS.RangeCount&gt;=877,F2949=""),"Incomplete","Complete")</f>
        <v>Complete</v>
      </c>
      <c r="I2949" s="55" t="s">
        <v>3146</v>
      </c>
    </row>
    <row r="2950" spans="2:9" ht="15" customHeight="1" x14ac:dyDescent="0.25">
      <c r="B2950" s="51" t="s">
        <v>126</v>
      </c>
      <c r="C2950" s="52">
        <v>878</v>
      </c>
      <c r="D2950" s="53" t="s">
        <v>4329</v>
      </c>
      <c r="E2950" s="54"/>
      <c r="F2950" s="52" t="str">
        <f>IF(INDEX(I.CCUS.StartRange,878)="","",INDEX(I.CCUS.StartRange,878))</f>
        <v/>
      </c>
      <c r="G2950" s="54"/>
      <c r="H2950" s="52" t="str">
        <f>IF(AND(I.Compliance.FulfilledCCUS&gt;0,I.CCUS.RangeCount&gt;=878,F2950=""),"Incomplete","Complete")</f>
        <v>Complete</v>
      </c>
      <c r="I2950" s="55" t="s">
        <v>3147</v>
      </c>
    </row>
    <row r="2951" spans="2:9" ht="15" customHeight="1" x14ac:dyDescent="0.25">
      <c r="B2951" s="51" t="s">
        <v>126</v>
      </c>
      <c r="C2951" s="52">
        <v>879</v>
      </c>
      <c r="D2951" s="53" t="s">
        <v>4329</v>
      </c>
      <c r="E2951" s="54"/>
      <c r="F2951" s="52" t="str">
        <f>IF(INDEX(I.CCUS.StartRange,879)="","",INDEX(I.CCUS.StartRange,879))</f>
        <v/>
      </c>
      <c r="G2951" s="54"/>
      <c r="H2951" s="52" t="str">
        <f>IF(AND(I.Compliance.FulfilledCCUS&gt;0,I.CCUS.RangeCount&gt;=879,F2951=""),"Incomplete","Complete")</f>
        <v>Complete</v>
      </c>
      <c r="I2951" s="55" t="s">
        <v>3148</v>
      </c>
    </row>
    <row r="2952" spans="2:9" ht="15" customHeight="1" x14ac:dyDescent="0.25">
      <c r="B2952" s="51" t="s">
        <v>126</v>
      </c>
      <c r="C2952" s="52">
        <v>880</v>
      </c>
      <c r="D2952" s="53" t="s">
        <v>4329</v>
      </c>
      <c r="E2952" s="54"/>
      <c r="F2952" s="52" t="str">
        <f>IF(INDEX(I.CCUS.StartRange,880)="","",INDEX(I.CCUS.StartRange,880))</f>
        <v/>
      </c>
      <c r="G2952" s="54"/>
      <c r="H2952" s="52" t="str">
        <f>IF(AND(I.Compliance.FulfilledCCUS&gt;0,I.CCUS.RangeCount&gt;=880,F2952=""),"Incomplete","Complete")</f>
        <v>Complete</v>
      </c>
      <c r="I2952" s="55" t="s">
        <v>3149</v>
      </c>
    </row>
    <row r="2953" spans="2:9" ht="15" customHeight="1" x14ac:dyDescent="0.25">
      <c r="B2953" s="51" t="s">
        <v>126</v>
      </c>
      <c r="C2953" s="52">
        <v>881</v>
      </c>
      <c r="D2953" s="53" t="s">
        <v>4329</v>
      </c>
      <c r="E2953" s="54"/>
      <c r="F2953" s="52" t="str">
        <f>IF(INDEX(I.CCUS.StartRange,881)="","",INDEX(I.CCUS.StartRange,881))</f>
        <v/>
      </c>
      <c r="G2953" s="54"/>
      <c r="H2953" s="52" t="str">
        <f>IF(AND(I.Compliance.FulfilledCCUS&gt;0,I.CCUS.RangeCount&gt;=881,F2953=""),"Incomplete","Complete")</f>
        <v>Complete</v>
      </c>
      <c r="I2953" s="55" t="s">
        <v>3150</v>
      </c>
    </row>
    <row r="2954" spans="2:9" ht="15" customHeight="1" x14ac:dyDescent="0.25">
      <c r="B2954" s="51" t="s">
        <v>126</v>
      </c>
      <c r="C2954" s="52">
        <v>882</v>
      </c>
      <c r="D2954" s="53" t="s">
        <v>4329</v>
      </c>
      <c r="E2954" s="54"/>
      <c r="F2954" s="52" t="str">
        <f>IF(INDEX(I.CCUS.StartRange,882)="","",INDEX(I.CCUS.StartRange,882))</f>
        <v/>
      </c>
      <c r="G2954" s="54"/>
      <c r="H2954" s="52" t="str">
        <f>IF(AND(I.Compliance.FulfilledCCUS&gt;0,I.CCUS.RangeCount&gt;=882,F2954=""),"Incomplete","Complete")</f>
        <v>Complete</v>
      </c>
      <c r="I2954" s="55" t="s">
        <v>3151</v>
      </c>
    </row>
    <row r="2955" spans="2:9" ht="15" customHeight="1" x14ac:dyDescent="0.25">
      <c r="B2955" s="51" t="s">
        <v>126</v>
      </c>
      <c r="C2955" s="52">
        <v>883</v>
      </c>
      <c r="D2955" s="53" t="s">
        <v>4329</v>
      </c>
      <c r="E2955" s="54"/>
      <c r="F2955" s="52" t="str">
        <f>IF(INDEX(I.CCUS.StartRange,883)="","",INDEX(I.CCUS.StartRange,883))</f>
        <v/>
      </c>
      <c r="G2955" s="54"/>
      <c r="H2955" s="52" t="str">
        <f>IF(AND(I.Compliance.FulfilledCCUS&gt;0,I.CCUS.RangeCount&gt;=883,F2955=""),"Incomplete","Complete")</f>
        <v>Complete</v>
      </c>
      <c r="I2955" s="55" t="s">
        <v>3152</v>
      </c>
    </row>
    <row r="2956" spans="2:9" ht="15" customHeight="1" x14ac:dyDescent="0.25">
      <c r="B2956" s="51" t="s">
        <v>126</v>
      </c>
      <c r="C2956" s="52">
        <v>884</v>
      </c>
      <c r="D2956" s="53" t="s">
        <v>4329</v>
      </c>
      <c r="E2956" s="54"/>
      <c r="F2956" s="52" t="str">
        <f>IF(INDEX(I.CCUS.StartRange,884)="","",INDEX(I.CCUS.StartRange,884))</f>
        <v/>
      </c>
      <c r="G2956" s="54"/>
      <c r="H2956" s="52" t="str">
        <f>IF(AND(I.Compliance.FulfilledCCUS&gt;0,I.CCUS.RangeCount&gt;=884,F2956=""),"Incomplete","Complete")</f>
        <v>Complete</v>
      </c>
      <c r="I2956" s="55" t="s">
        <v>3153</v>
      </c>
    </row>
    <row r="2957" spans="2:9" ht="15" customHeight="1" x14ac:dyDescent="0.25">
      <c r="B2957" s="51" t="s">
        <v>126</v>
      </c>
      <c r="C2957" s="52">
        <v>885</v>
      </c>
      <c r="D2957" s="53" t="s">
        <v>4329</v>
      </c>
      <c r="E2957" s="54"/>
      <c r="F2957" s="52" t="str">
        <f>IF(INDEX(I.CCUS.StartRange,885)="","",INDEX(I.CCUS.StartRange,885))</f>
        <v/>
      </c>
      <c r="G2957" s="54"/>
      <c r="H2957" s="52" t="str">
        <f>IF(AND(I.Compliance.FulfilledCCUS&gt;0,I.CCUS.RangeCount&gt;=885,F2957=""),"Incomplete","Complete")</f>
        <v>Complete</v>
      </c>
      <c r="I2957" s="55" t="s">
        <v>3154</v>
      </c>
    </row>
    <row r="2958" spans="2:9" ht="15" customHeight="1" x14ac:dyDescent="0.25">
      <c r="B2958" s="51" t="s">
        <v>126</v>
      </c>
      <c r="C2958" s="52">
        <v>886</v>
      </c>
      <c r="D2958" s="53" t="s">
        <v>4329</v>
      </c>
      <c r="E2958" s="54"/>
      <c r="F2958" s="52" t="str">
        <f>IF(INDEX(I.CCUS.StartRange,886)="","",INDEX(I.CCUS.StartRange,886))</f>
        <v/>
      </c>
      <c r="G2958" s="54"/>
      <c r="H2958" s="52" t="str">
        <f>IF(AND(I.Compliance.FulfilledCCUS&gt;0,I.CCUS.RangeCount&gt;=886,F2958=""),"Incomplete","Complete")</f>
        <v>Complete</v>
      </c>
      <c r="I2958" s="55" t="s">
        <v>3155</v>
      </c>
    </row>
    <row r="2959" spans="2:9" ht="15" customHeight="1" x14ac:dyDescent="0.25">
      <c r="B2959" s="51" t="s">
        <v>126</v>
      </c>
      <c r="C2959" s="52">
        <v>887</v>
      </c>
      <c r="D2959" s="53" t="s">
        <v>4329</v>
      </c>
      <c r="E2959" s="54"/>
      <c r="F2959" s="52" t="str">
        <f>IF(INDEX(I.CCUS.StartRange,887)="","",INDEX(I.CCUS.StartRange,887))</f>
        <v/>
      </c>
      <c r="G2959" s="54"/>
      <c r="H2959" s="52" t="str">
        <f>IF(AND(I.Compliance.FulfilledCCUS&gt;0,I.CCUS.RangeCount&gt;=887,F2959=""),"Incomplete","Complete")</f>
        <v>Complete</v>
      </c>
      <c r="I2959" s="55" t="s">
        <v>3156</v>
      </c>
    </row>
    <row r="2960" spans="2:9" ht="15" customHeight="1" x14ac:dyDescent="0.25">
      <c r="B2960" s="51" t="s">
        <v>126</v>
      </c>
      <c r="C2960" s="52">
        <v>888</v>
      </c>
      <c r="D2960" s="53" t="s">
        <v>4329</v>
      </c>
      <c r="E2960" s="54"/>
      <c r="F2960" s="52" t="str">
        <f>IF(INDEX(I.CCUS.StartRange,888)="","",INDEX(I.CCUS.StartRange,888))</f>
        <v/>
      </c>
      <c r="G2960" s="54"/>
      <c r="H2960" s="52" t="str">
        <f>IF(AND(I.Compliance.FulfilledCCUS&gt;0,I.CCUS.RangeCount&gt;=888,F2960=""),"Incomplete","Complete")</f>
        <v>Complete</v>
      </c>
      <c r="I2960" s="55" t="s">
        <v>3157</v>
      </c>
    </row>
    <row r="2961" spans="2:9" ht="15" customHeight="1" x14ac:dyDescent="0.25">
      <c r="B2961" s="51" t="s">
        <v>126</v>
      </c>
      <c r="C2961" s="52">
        <v>889</v>
      </c>
      <c r="D2961" s="53" t="s">
        <v>4329</v>
      </c>
      <c r="E2961" s="54"/>
      <c r="F2961" s="52" t="str">
        <f>IF(INDEX(I.CCUS.StartRange,889)="","",INDEX(I.CCUS.StartRange,889))</f>
        <v/>
      </c>
      <c r="G2961" s="54"/>
      <c r="H2961" s="52" t="str">
        <f>IF(AND(I.Compliance.FulfilledCCUS&gt;0,I.CCUS.RangeCount&gt;=889,F2961=""),"Incomplete","Complete")</f>
        <v>Complete</v>
      </c>
      <c r="I2961" s="55" t="s">
        <v>3158</v>
      </c>
    </row>
    <row r="2962" spans="2:9" ht="15" customHeight="1" x14ac:dyDescent="0.25">
      <c r="B2962" s="51" t="s">
        <v>126</v>
      </c>
      <c r="C2962" s="52">
        <v>890</v>
      </c>
      <c r="D2962" s="53" t="s">
        <v>4329</v>
      </c>
      <c r="E2962" s="54"/>
      <c r="F2962" s="52" t="str">
        <f>IF(INDEX(I.CCUS.StartRange,890)="","",INDEX(I.CCUS.StartRange,890))</f>
        <v/>
      </c>
      <c r="G2962" s="54"/>
      <c r="H2962" s="52" t="str">
        <f>IF(AND(I.Compliance.FulfilledCCUS&gt;0,I.CCUS.RangeCount&gt;=890,F2962=""),"Incomplete","Complete")</f>
        <v>Complete</v>
      </c>
      <c r="I2962" s="55" t="s">
        <v>3159</v>
      </c>
    </row>
    <row r="2963" spans="2:9" ht="15" customHeight="1" x14ac:dyDescent="0.25">
      <c r="B2963" s="51" t="s">
        <v>126</v>
      </c>
      <c r="C2963" s="52">
        <v>891</v>
      </c>
      <c r="D2963" s="53" t="s">
        <v>4329</v>
      </c>
      <c r="E2963" s="54"/>
      <c r="F2963" s="52" t="str">
        <f>IF(INDEX(I.CCUS.StartRange,891)="","",INDEX(I.CCUS.StartRange,891))</f>
        <v/>
      </c>
      <c r="G2963" s="54"/>
      <c r="H2963" s="52" t="str">
        <f>IF(AND(I.Compliance.FulfilledCCUS&gt;0,I.CCUS.RangeCount&gt;=891,F2963=""),"Incomplete","Complete")</f>
        <v>Complete</v>
      </c>
      <c r="I2963" s="55" t="s">
        <v>3160</v>
      </c>
    </row>
    <row r="2964" spans="2:9" ht="15" customHeight="1" x14ac:dyDescent="0.25">
      <c r="B2964" s="51" t="s">
        <v>126</v>
      </c>
      <c r="C2964" s="52">
        <v>892</v>
      </c>
      <c r="D2964" s="53" t="s">
        <v>4329</v>
      </c>
      <c r="E2964" s="54"/>
      <c r="F2964" s="52" t="str">
        <f>IF(INDEX(I.CCUS.StartRange,892)="","",INDEX(I.CCUS.StartRange,892))</f>
        <v/>
      </c>
      <c r="G2964" s="54"/>
      <c r="H2964" s="52" t="str">
        <f>IF(AND(I.Compliance.FulfilledCCUS&gt;0,I.CCUS.RangeCount&gt;=892,F2964=""),"Incomplete","Complete")</f>
        <v>Complete</v>
      </c>
      <c r="I2964" s="55" t="s">
        <v>3161</v>
      </c>
    </row>
    <row r="2965" spans="2:9" ht="15" customHeight="1" x14ac:dyDescent="0.25">
      <c r="B2965" s="51" t="s">
        <v>126</v>
      </c>
      <c r="C2965" s="52">
        <v>893</v>
      </c>
      <c r="D2965" s="53" t="s">
        <v>4329</v>
      </c>
      <c r="E2965" s="54"/>
      <c r="F2965" s="52" t="str">
        <f>IF(INDEX(I.CCUS.StartRange,893)="","",INDEX(I.CCUS.StartRange,893))</f>
        <v/>
      </c>
      <c r="G2965" s="54"/>
      <c r="H2965" s="52" t="str">
        <f>IF(AND(I.Compliance.FulfilledCCUS&gt;0,I.CCUS.RangeCount&gt;=893,F2965=""),"Incomplete","Complete")</f>
        <v>Complete</v>
      </c>
      <c r="I2965" s="55" t="s">
        <v>3162</v>
      </c>
    </row>
    <row r="2966" spans="2:9" ht="15" customHeight="1" x14ac:dyDescent="0.25">
      <c r="B2966" s="51" t="s">
        <v>126</v>
      </c>
      <c r="C2966" s="52">
        <v>894</v>
      </c>
      <c r="D2966" s="53" t="s">
        <v>4329</v>
      </c>
      <c r="E2966" s="54"/>
      <c r="F2966" s="52" t="str">
        <f>IF(INDEX(I.CCUS.StartRange,894)="","",INDEX(I.CCUS.StartRange,894))</f>
        <v/>
      </c>
      <c r="G2966" s="54"/>
      <c r="H2966" s="52" t="str">
        <f>IF(AND(I.Compliance.FulfilledCCUS&gt;0,I.CCUS.RangeCount&gt;=894,F2966=""),"Incomplete","Complete")</f>
        <v>Complete</v>
      </c>
      <c r="I2966" s="55" t="s">
        <v>3163</v>
      </c>
    </row>
    <row r="2967" spans="2:9" ht="15" customHeight="1" x14ac:dyDescent="0.25">
      <c r="B2967" s="51" t="s">
        <v>126</v>
      </c>
      <c r="C2967" s="52">
        <v>895</v>
      </c>
      <c r="D2967" s="53" t="s">
        <v>4329</v>
      </c>
      <c r="E2967" s="54"/>
      <c r="F2967" s="52" t="str">
        <f>IF(INDEX(I.CCUS.StartRange,895)="","",INDEX(I.CCUS.StartRange,895))</f>
        <v/>
      </c>
      <c r="G2967" s="54"/>
      <c r="H2967" s="52" t="str">
        <f>IF(AND(I.Compliance.FulfilledCCUS&gt;0,I.CCUS.RangeCount&gt;=895,F2967=""),"Incomplete","Complete")</f>
        <v>Complete</v>
      </c>
      <c r="I2967" s="55" t="s">
        <v>3164</v>
      </c>
    </row>
    <row r="2968" spans="2:9" ht="15" customHeight="1" x14ac:dyDescent="0.25">
      <c r="B2968" s="51" t="s">
        <v>126</v>
      </c>
      <c r="C2968" s="52">
        <v>896</v>
      </c>
      <c r="D2968" s="53" t="s">
        <v>4329</v>
      </c>
      <c r="E2968" s="54"/>
      <c r="F2968" s="52" t="str">
        <f>IF(INDEX(I.CCUS.StartRange,896)="","",INDEX(I.CCUS.StartRange,896))</f>
        <v/>
      </c>
      <c r="G2968" s="54"/>
      <c r="H2968" s="52" t="str">
        <f>IF(AND(I.Compliance.FulfilledCCUS&gt;0,I.CCUS.RangeCount&gt;=896,F2968=""),"Incomplete","Complete")</f>
        <v>Complete</v>
      </c>
      <c r="I2968" s="55" t="s">
        <v>3165</v>
      </c>
    </row>
    <row r="2969" spans="2:9" ht="15" customHeight="1" x14ac:dyDescent="0.25">
      <c r="B2969" s="51" t="s">
        <v>126</v>
      </c>
      <c r="C2969" s="52">
        <v>897</v>
      </c>
      <c r="D2969" s="53" t="s">
        <v>4329</v>
      </c>
      <c r="E2969" s="54"/>
      <c r="F2969" s="52" t="str">
        <f>IF(INDEX(I.CCUS.StartRange,897)="","",INDEX(I.CCUS.StartRange,897))</f>
        <v/>
      </c>
      <c r="G2969" s="54"/>
      <c r="H2969" s="52" t="str">
        <f>IF(AND(I.Compliance.FulfilledCCUS&gt;0,I.CCUS.RangeCount&gt;=897,F2969=""),"Incomplete","Complete")</f>
        <v>Complete</v>
      </c>
      <c r="I2969" s="55" t="s">
        <v>3166</v>
      </c>
    </row>
    <row r="2970" spans="2:9" ht="15" customHeight="1" x14ac:dyDescent="0.25">
      <c r="B2970" s="51" t="s">
        <v>126</v>
      </c>
      <c r="C2970" s="52">
        <v>898</v>
      </c>
      <c r="D2970" s="53" t="s">
        <v>4329</v>
      </c>
      <c r="E2970" s="54"/>
      <c r="F2970" s="52" t="str">
        <f>IF(INDEX(I.CCUS.StartRange,898)="","",INDEX(I.CCUS.StartRange,898))</f>
        <v/>
      </c>
      <c r="G2970" s="54"/>
      <c r="H2970" s="52" t="str">
        <f>IF(AND(I.Compliance.FulfilledCCUS&gt;0,I.CCUS.RangeCount&gt;=898,F2970=""),"Incomplete","Complete")</f>
        <v>Complete</v>
      </c>
      <c r="I2970" s="55" t="s">
        <v>3167</v>
      </c>
    </row>
    <row r="2971" spans="2:9" ht="15" customHeight="1" x14ac:dyDescent="0.25">
      <c r="B2971" s="51" t="s">
        <v>126</v>
      </c>
      <c r="C2971" s="52">
        <v>899</v>
      </c>
      <c r="D2971" s="53" t="s">
        <v>4329</v>
      </c>
      <c r="E2971" s="54"/>
      <c r="F2971" s="52" t="str">
        <f>IF(INDEX(I.CCUS.StartRange,899)="","",INDEX(I.CCUS.StartRange,899))</f>
        <v/>
      </c>
      <c r="G2971" s="54"/>
      <c r="H2971" s="52" t="str">
        <f>IF(AND(I.Compliance.FulfilledCCUS&gt;0,I.CCUS.RangeCount&gt;=899,F2971=""),"Incomplete","Complete")</f>
        <v>Complete</v>
      </c>
      <c r="I2971" s="55" t="s">
        <v>3168</v>
      </c>
    </row>
    <row r="2972" spans="2:9" ht="15" customHeight="1" x14ac:dyDescent="0.25">
      <c r="B2972" s="51" t="s">
        <v>126</v>
      </c>
      <c r="C2972" s="52">
        <v>900</v>
      </c>
      <c r="D2972" s="53" t="s">
        <v>4329</v>
      </c>
      <c r="E2972" s="54"/>
      <c r="F2972" s="52" t="str">
        <f>IF(INDEX(I.CCUS.StartRange,900)="","",INDEX(I.CCUS.StartRange,900))</f>
        <v/>
      </c>
      <c r="G2972" s="54"/>
      <c r="H2972" s="52" t="str">
        <f>IF(AND(I.Compliance.FulfilledCCUS&gt;0,I.CCUS.RangeCount&gt;=900,F2972=""),"Incomplete","Complete")</f>
        <v>Complete</v>
      </c>
      <c r="I2972" s="55" t="s">
        <v>3169</v>
      </c>
    </row>
    <row r="2973" spans="2:9" ht="15" customHeight="1" x14ac:dyDescent="0.25">
      <c r="B2973" s="51" t="s">
        <v>126</v>
      </c>
      <c r="C2973" s="52">
        <v>901</v>
      </c>
      <c r="D2973" s="53" t="s">
        <v>4329</v>
      </c>
      <c r="E2973" s="54"/>
      <c r="F2973" s="52" t="str">
        <f>IF(INDEX(I.CCUS.StartRange,901)="","",INDEX(I.CCUS.StartRange,901))</f>
        <v/>
      </c>
      <c r="G2973" s="54"/>
      <c r="H2973" s="52" t="str">
        <f>IF(AND(I.Compliance.FulfilledCCUS&gt;0,I.CCUS.RangeCount&gt;=901,F2973=""),"Incomplete","Complete")</f>
        <v>Complete</v>
      </c>
      <c r="I2973" s="55" t="s">
        <v>3170</v>
      </c>
    </row>
    <row r="2974" spans="2:9" ht="15" customHeight="1" x14ac:dyDescent="0.25">
      <c r="B2974" s="51" t="s">
        <v>126</v>
      </c>
      <c r="C2974" s="52">
        <v>902</v>
      </c>
      <c r="D2974" s="53" t="s">
        <v>4329</v>
      </c>
      <c r="E2974" s="54"/>
      <c r="F2974" s="52" t="str">
        <f>IF(INDEX(I.CCUS.StartRange,902)="","",INDEX(I.CCUS.StartRange,902))</f>
        <v/>
      </c>
      <c r="G2974" s="54"/>
      <c r="H2974" s="52" t="str">
        <f>IF(AND(I.Compliance.FulfilledCCUS&gt;0,I.CCUS.RangeCount&gt;=902,F2974=""),"Incomplete","Complete")</f>
        <v>Complete</v>
      </c>
      <c r="I2974" s="55" t="s">
        <v>3171</v>
      </c>
    </row>
    <row r="2975" spans="2:9" ht="15" customHeight="1" x14ac:dyDescent="0.25">
      <c r="B2975" s="51" t="s">
        <v>126</v>
      </c>
      <c r="C2975" s="52">
        <v>903</v>
      </c>
      <c r="D2975" s="53" t="s">
        <v>4329</v>
      </c>
      <c r="E2975" s="54"/>
      <c r="F2975" s="52" t="str">
        <f>IF(INDEX(I.CCUS.StartRange,903)="","",INDEX(I.CCUS.StartRange,903))</f>
        <v/>
      </c>
      <c r="G2975" s="54"/>
      <c r="H2975" s="52" t="str">
        <f>IF(AND(I.Compliance.FulfilledCCUS&gt;0,I.CCUS.RangeCount&gt;=903,F2975=""),"Incomplete","Complete")</f>
        <v>Complete</v>
      </c>
      <c r="I2975" s="55" t="s">
        <v>3172</v>
      </c>
    </row>
    <row r="2976" spans="2:9" ht="15" customHeight="1" x14ac:dyDescent="0.25">
      <c r="B2976" s="51" t="s">
        <v>126</v>
      </c>
      <c r="C2976" s="52">
        <v>904</v>
      </c>
      <c r="D2976" s="53" t="s">
        <v>4329</v>
      </c>
      <c r="E2976" s="54"/>
      <c r="F2976" s="52" t="str">
        <f>IF(INDEX(I.CCUS.StartRange,904)="","",INDEX(I.CCUS.StartRange,904))</f>
        <v/>
      </c>
      <c r="G2976" s="54"/>
      <c r="H2976" s="52" t="str">
        <f>IF(AND(I.Compliance.FulfilledCCUS&gt;0,I.CCUS.RangeCount&gt;=904,F2976=""),"Incomplete","Complete")</f>
        <v>Complete</v>
      </c>
      <c r="I2976" s="55" t="s">
        <v>3173</v>
      </c>
    </row>
    <row r="2977" spans="2:9" ht="15" customHeight="1" x14ac:dyDescent="0.25">
      <c r="B2977" s="51" t="s">
        <v>126</v>
      </c>
      <c r="C2977" s="52">
        <v>905</v>
      </c>
      <c r="D2977" s="53" t="s">
        <v>4329</v>
      </c>
      <c r="E2977" s="54"/>
      <c r="F2977" s="52" t="str">
        <f>IF(INDEX(I.CCUS.StartRange,905)="","",INDEX(I.CCUS.StartRange,905))</f>
        <v/>
      </c>
      <c r="G2977" s="54"/>
      <c r="H2977" s="52" t="str">
        <f>IF(AND(I.Compliance.FulfilledCCUS&gt;0,I.CCUS.RangeCount&gt;=905,F2977=""),"Incomplete","Complete")</f>
        <v>Complete</v>
      </c>
      <c r="I2977" s="55" t="s">
        <v>3174</v>
      </c>
    </row>
    <row r="2978" spans="2:9" ht="15" customHeight="1" x14ac:dyDescent="0.25">
      <c r="B2978" s="51" t="s">
        <v>126</v>
      </c>
      <c r="C2978" s="52">
        <v>906</v>
      </c>
      <c r="D2978" s="53" t="s">
        <v>4329</v>
      </c>
      <c r="E2978" s="54"/>
      <c r="F2978" s="52" t="str">
        <f>IF(INDEX(I.CCUS.StartRange,906)="","",INDEX(I.CCUS.StartRange,906))</f>
        <v/>
      </c>
      <c r="G2978" s="54"/>
      <c r="H2978" s="52" t="str">
        <f>IF(AND(I.Compliance.FulfilledCCUS&gt;0,I.CCUS.RangeCount&gt;=906,F2978=""),"Incomplete","Complete")</f>
        <v>Complete</v>
      </c>
      <c r="I2978" s="55" t="s">
        <v>3175</v>
      </c>
    </row>
    <row r="2979" spans="2:9" ht="15" customHeight="1" x14ac:dyDescent="0.25">
      <c r="B2979" s="51" t="s">
        <v>126</v>
      </c>
      <c r="C2979" s="52">
        <v>907</v>
      </c>
      <c r="D2979" s="53" t="s">
        <v>4329</v>
      </c>
      <c r="E2979" s="54"/>
      <c r="F2979" s="52" t="str">
        <f>IF(INDEX(I.CCUS.StartRange,907)="","",INDEX(I.CCUS.StartRange,907))</f>
        <v/>
      </c>
      <c r="G2979" s="54"/>
      <c r="H2979" s="52" t="str">
        <f>IF(AND(I.Compliance.FulfilledCCUS&gt;0,I.CCUS.RangeCount&gt;=907,F2979=""),"Incomplete","Complete")</f>
        <v>Complete</v>
      </c>
      <c r="I2979" s="55" t="s">
        <v>3176</v>
      </c>
    </row>
    <row r="2980" spans="2:9" ht="15" customHeight="1" x14ac:dyDescent="0.25">
      <c r="B2980" s="51" t="s">
        <v>126</v>
      </c>
      <c r="C2980" s="52">
        <v>908</v>
      </c>
      <c r="D2980" s="53" t="s">
        <v>4329</v>
      </c>
      <c r="E2980" s="54"/>
      <c r="F2980" s="52" t="str">
        <f>IF(INDEX(I.CCUS.StartRange,908)="","",INDEX(I.CCUS.StartRange,908))</f>
        <v/>
      </c>
      <c r="G2980" s="54"/>
      <c r="H2980" s="52" t="str">
        <f>IF(AND(I.Compliance.FulfilledCCUS&gt;0,I.CCUS.RangeCount&gt;=908,F2980=""),"Incomplete","Complete")</f>
        <v>Complete</v>
      </c>
      <c r="I2980" s="55" t="s">
        <v>3177</v>
      </c>
    </row>
    <row r="2981" spans="2:9" ht="15" customHeight="1" x14ac:dyDescent="0.25">
      <c r="B2981" s="51" t="s">
        <v>126</v>
      </c>
      <c r="C2981" s="52">
        <v>909</v>
      </c>
      <c r="D2981" s="53" t="s">
        <v>4329</v>
      </c>
      <c r="E2981" s="54"/>
      <c r="F2981" s="52" t="str">
        <f>IF(INDEX(I.CCUS.StartRange,909)="","",INDEX(I.CCUS.StartRange,909))</f>
        <v/>
      </c>
      <c r="G2981" s="54"/>
      <c r="H2981" s="52" t="str">
        <f>IF(AND(I.Compliance.FulfilledCCUS&gt;0,I.CCUS.RangeCount&gt;=909,F2981=""),"Incomplete","Complete")</f>
        <v>Complete</v>
      </c>
      <c r="I2981" s="55" t="s">
        <v>3178</v>
      </c>
    </row>
    <row r="2982" spans="2:9" ht="15" customHeight="1" x14ac:dyDescent="0.25">
      <c r="B2982" s="51" t="s">
        <v>126</v>
      </c>
      <c r="C2982" s="52">
        <v>910</v>
      </c>
      <c r="D2982" s="53" t="s">
        <v>4329</v>
      </c>
      <c r="E2982" s="54"/>
      <c r="F2982" s="52" t="str">
        <f>IF(INDEX(I.CCUS.StartRange,910)="","",INDEX(I.CCUS.StartRange,910))</f>
        <v/>
      </c>
      <c r="G2982" s="54"/>
      <c r="H2982" s="52" t="str">
        <f>IF(AND(I.Compliance.FulfilledCCUS&gt;0,I.CCUS.RangeCount&gt;=910,F2982=""),"Incomplete","Complete")</f>
        <v>Complete</v>
      </c>
      <c r="I2982" s="55" t="s">
        <v>3179</v>
      </c>
    </row>
    <row r="2983" spans="2:9" ht="15" customHeight="1" x14ac:dyDescent="0.25">
      <c r="B2983" s="51" t="s">
        <v>126</v>
      </c>
      <c r="C2983" s="52">
        <v>911</v>
      </c>
      <c r="D2983" s="53" t="s">
        <v>4329</v>
      </c>
      <c r="E2983" s="54"/>
      <c r="F2983" s="52" t="str">
        <f>IF(INDEX(I.CCUS.StartRange,911)="","",INDEX(I.CCUS.StartRange,911))</f>
        <v/>
      </c>
      <c r="G2983" s="54"/>
      <c r="H2983" s="52" t="str">
        <f>IF(AND(I.Compliance.FulfilledCCUS&gt;0,I.CCUS.RangeCount&gt;=911,F2983=""),"Incomplete","Complete")</f>
        <v>Complete</v>
      </c>
      <c r="I2983" s="55" t="s">
        <v>3180</v>
      </c>
    </row>
    <row r="2984" spans="2:9" ht="15" customHeight="1" x14ac:dyDescent="0.25">
      <c r="B2984" s="51" t="s">
        <v>126</v>
      </c>
      <c r="C2984" s="52">
        <v>912</v>
      </c>
      <c r="D2984" s="53" t="s">
        <v>4329</v>
      </c>
      <c r="E2984" s="54"/>
      <c r="F2984" s="52" t="str">
        <f>IF(INDEX(I.CCUS.StartRange,912)="","",INDEX(I.CCUS.StartRange,912))</f>
        <v/>
      </c>
      <c r="G2984" s="54"/>
      <c r="H2984" s="52" t="str">
        <f>IF(AND(I.Compliance.FulfilledCCUS&gt;0,I.CCUS.RangeCount&gt;=912,F2984=""),"Incomplete","Complete")</f>
        <v>Complete</v>
      </c>
      <c r="I2984" s="55" t="s">
        <v>3181</v>
      </c>
    </row>
    <row r="2985" spans="2:9" ht="15" customHeight="1" x14ac:dyDescent="0.25">
      <c r="B2985" s="51" t="s">
        <v>126</v>
      </c>
      <c r="C2985" s="52">
        <v>913</v>
      </c>
      <c r="D2985" s="53" t="s">
        <v>4329</v>
      </c>
      <c r="E2985" s="54"/>
      <c r="F2985" s="52" t="str">
        <f>IF(INDEX(I.CCUS.StartRange,913)="","",INDEX(I.CCUS.StartRange,913))</f>
        <v/>
      </c>
      <c r="G2985" s="54"/>
      <c r="H2985" s="52" t="str">
        <f>IF(AND(I.Compliance.FulfilledCCUS&gt;0,I.CCUS.RangeCount&gt;=913,F2985=""),"Incomplete","Complete")</f>
        <v>Complete</v>
      </c>
      <c r="I2985" s="55" t="s">
        <v>3182</v>
      </c>
    </row>
    <row r="2986" spans="2:9" ht="15" customHeight="1" x14ac:dyDescent="0.25">
      <c r="B2986" s="51" t="s">
        <v>126</v>
      </c>
      <c r="C2986" s="52">
        <v>914</v>
      </c>
      <c r="D2986" s="53" t="s">
        <v>4329</v>
      </c>
      <c r="E2986" s="54"/>
      <c r="F2986" s="52" t="str">
        <f>IF(INDEX(I.CCUS.StartRange,914)="","",INDEX(I.CCUS.StartRange,914))</f>
        <v/>
      </c>
      <c r="G2986" s="54"/>
      <c r="H2986" s="52" t="str">
        <f>IF(AND(I.Compliance.FulfilledCCUS&gt;0,I.CCUS.RangeCount&gt;=914,F2986=""),"Incomplete","Complete")</f>
        <v>Complete</v>
      </c>
      <c r="I2986" s="55" t="s">
        <v>3183</v>
      </c>
    </row>
    <row r="2987" spans="2:9" ht="15" customHeight="1" x14ac:dyDescent="0.25">
      <c r="B2987" s="51" t="s">
        <v>126</v>
      </c>
      <c r="C2987" s="52">
        <v>915</v>
      </c>
      <c r="D2987" s="53" t="s">
        <v>4329</v>
      </c>
      <c r="E2987" s="54"/>
      <c r="F2987" s="52" t="str">
        <f>IF(INDEX(I.CCUS.StartRange,915)="","",INDEX(I.CCUS.StartRange,915))</f>
        <v/>
      </c>
      <c r="G2987" s="54"/>
      <c r="H2987" s="52" t="str">
        <f>IF(AND(I.Compliance.FulfilledCCUS&gt;0,I.CCUS.RangeCount&gt;=915,F2987=""),"Incomplete","Complete")</f>
        <v>Complete</v>
      </c>
      <c r="I2987" s="55" t="s">
        <v>3184</v>
      </c>
    </row>
    <row r="2988" spans="2:9" ht="15" customHeight="1" x14ac:dyDescent="0.25">
      <c r="B2988" s="51" t="s">
        <v>126</v>
      </c>
      <c r="C2988" s="52">
        <v>916</v>
      </c>
      <c r="D2988" s="53" t="s">
        <v>4329</v>
      </c>
      <c r="E2988" s="54"/>
      <c r="F2988" s="52" t="str">
        <f>IF(INDEX(I.CCUS.StartRange,916)="","",INDEX(I.CCUS.StartRange,916))</f>
        <v/>
      </c>
      <c r="G2988" s="54"/>
      <c r="H2988" s="52" t="str">
        <f>IF(AND(I.Compliance.FulfilledCCUS&gt;0,I.CCUS.RangeCount&gt;=916,F2988=""),"Incomplete","Complete")</f>
        <v>Complete</v>
      </c>
      <c r="I2988" s="55" t="s">
        <v>3185</v>
      </c>
    </row>
    <row r="2989" spans="2:9" ht="15" customHeight="1" x14ac:dyDescent="0.25">
      <c r="B2989" s="51" t="s">
        <v>126</v>
      </c>
      <c r="C2989" s="52">
        <v>917</v>
      </c>
      <c r="D2989" s="53" t="s">
        <v>4329</v>
      </c>
      <c r="E2989" s="54"/>
      <c r="F2989" s="52" t="str">
        <f>IF(INDEX(I.CCUS.StartRange,917)="","",INDEX(I.CCUS.StartRange,917))</f>
        <v/>
      </c>
      <c r="G2989" s="54"/>
      <c r="H2989" s="52" t="str">
        <f>IF(AND(I.Compliance.FulfilledCCUS&gt;0,I.CCUS.RangeCount&gt;=917,F2989=""),"Incomplete","Complete")</f>
        <v>Complete</v>
      </c>
      <c r="I2989" s="55" t="s">
        <v>3186</v>
      </c>
    </row>
    <row r="2990" spans="2:9" ht="15" customHeight="1" x14ac:dyDescent="0.25">
      <c r="B2990" s="51" t="s">
        <v>126</v>
      </c>
      <c r="C2990" s="52">
        <v>918</v>
      </c>
      <c r="D2990" s="53" t="s">
        <v>4329</v>
      </c>
      <c r="E2990" s="54"/>
      <c r="F2990" s="52" t="str">
        <f>IF(INDEX(I.CCUS.StartRange,918)="","",INDEX(I.CCUS.StartRange,918))</f>
        <v/>
      </c>
      <c r="G2990" s="54"/>
      <c r="H2990" s="52" t="str">
        <f>IF(AND(I.Compliance.FulfilledCCUS&gt;0,I.CCUS.RangeCount&gt;=918,F2990=""),"Incomplete","Complete")</f>
        <v>Complete</v>
      </c>
      <c r="I2990" s="55" t="s">
        <v>3187</v>
      </c>
    </row>
    <row r="2991" spans="2:9" ht="15" customHeight="1" x14ac:dyDescent="0.25">
      <c r="B2991" s="51" t="s">
        <v>126</v>
      </c>
      <c r="C2991" s="52">
        <v>919</v>
      </c>
      <c r="D2991" s="53" t="s">
        <v>4329</v>
      </c>
      <c r="E2991" s="54"/>
      <c r="F2991" s="52" t="str">
        <f>IF(INDEX(I.CCUS.StartRange,919)="","",INDEX(I.CCUS.StartRange,919))</f>
        <v/>
      </c>
      <c r="G2991" s="54"/>
      <c r="H2991" s="52" t="str">
        <f>IF(AND(I.Compliance.FulfilledCCUS&gt;0,I.CCUS.RangeCount&gt;=919,F2991=""),"Incomplete","Complete")</f>
        <v>Complete</v>
      </c>
      <c r="I2991" s="55" t="s">
        <v>3188</v>
      </c>
    </row>
    <row r="2992" spans="2:9" ht="15" customHeight="1" x14ac:dyDescent="0.25">
      <c r="B2992" s="51" t="s">
        <v>126</v>
      </c>
      <c r="C2992" s="52">
        <v>920</v>
      </c>
      <c r="D2992" s="53" t="s">
        <v>4329</v>
      </c>
      <c r="E2992" s="54"/>
      <c r="F2992" s="52" t="str">
        <f>IF(INDEX(I.CCUS.StartRange,920)="","",INDEX(I.CCUS.StartRange,920))</f>
        <v/>
      </c>
      <c r="G2992" s="54"/>
      <c r="H2992" s="52" t="str">
        <f>IF(AND(I.Compliance.FulfilledCCUS&gt;0,I.CCUS.RangeCount&gt;=920,F2992=""),"Incomplete","Complete")</f>
        <v>Complete</v>
      </c>
      <c r="I2992" s="55" t="s">
        <v>3189</v>
      </c>
    </row>
    <row r="2993" spans="2:9" ht="15" customHeight="1" x14ac:dyDescent="0.25">
      <c r="B2993" s="51" t="s">
        <v>126</v>
      </c>
      <c r="C2993" s="52">
        <v>921</v>
      </c>
      <c r="D2993" s="53" t="s">
        <v>4329</v>
      </c>
      <c r="E2993" s="54"/>
      <c r="F2993" s="52" t="str">
        <f>IF(INDEX(I.CCUS.StartRange,921)="","",INDEX(I.CCUS.StartRange,921))</f>
        <v/>
      </c>
      <c r="G2993" s="54"/>
      <c r="H2993" s="52" t="str">
        <f>IF(AND(I.Compliance.FulfilledCCUS&gt;0,I.CCUS.RangeCount&gt;=921,F2993=""),"Incomplete","Complete")</f>
        <v>Complete</v>
      </c>
      <c r="I2993" s="55" t="s">
        <v>3190</v>
      </c>
    </row>
    <row r="2994" spans="2:9" ht="15" customHeight="1" x14ac:dyDescent="0.25">
      <c r="B2994" s="51" t="s">
        <v>126</v>
      </c>
      <c r="C2994" s="52">
        <v>922</v>
      </c>
      <c r="D2994" s="53" t="s">
        <v>4329</v>
      </c>
      <c r="E2994" s="54"/>
      <c r="F2994" s="52" t="str">
        <f>IF(INDEX(I.CCUS.StartRange,922)="","",INDEX(I.CCUS.StartRange,922))</f>
        <v/>
      </c>
      <c r="G2994" s="54"/>
      <c r="H2994" s="52" t="str">
        <f>IF(AND(I.Compliance.FulfilledCCUS&gt;0,I.CCUS.RangeCount&gt;=922,F2994=""),"Incomplete","Complete")</f>
        <v>Complete</v>
      </c>
      <c r="I2994" s="55" t="s">
        <v>3191</v>
      </c>
    </row>
    <row r="2995" spans="2:9" ht="15" customHeight="1" x14ac:dyDescent="0.25">
      <c r="B2995" s="51" t="s">
        <v>126</v>
      </c>
      <c r="C2995" s="52">
        <v>923</v>
      </c>
      <c r="D2995" s="53" t="s">
        <v>4329</v>
      </c>
      <c r="E2995" s="54"/>
      <c r="F2995" s="52" t="str">
        <f>IF(INDEX(I.CCUS.StartRange,923)="","",INDEX(I.CCUS.StartRange,923))</f>
        <v/>
      </c>
      <c r="G2995" s="54"/>
      <c r="H2995" s="52" t="str">
        <f>IF(AND(I.Compliance.FulfilledCCUS&gt;0,I.CCUS.RangeCount&gt;=923,F2995=""),"Incomplete","Complete")</f>
        <v>Complete</v>
      </c>
      <c r="I2995" s="55" t="s">
        <v>3192</v>
      </c>
    </row>
    <row r="2996" spans="2:9" ht="15" customHeight="1" x14ac:dyDescent="0.25">
      <c r="B2996" s="51" t="s">
        <v>126</v>
      </c>
      <c r="C2996" s="52">
        <v>924</v>
      </c>
      <c r="D2996" s="53" t="s">
        <v>4329</v>
      </c>
      <c r="E2996" s="54"/>
      <c r="F2996" s="52" t="str">
        <f>IF(INDEX(I.CCUS.StartRange,924)="","",INDEX(I.CCUS.StartRange,924))</f>
        <v/>
      </c>
      <c r="G2996" s="54"/>
      <c r="H2996" s="52" t="str">
        <f>IF(AND(I.Compliance.FulfilledCCUS&gt;0,I.CCUS.RangeCount&gt;=924,F2996=""),"Incomplete","Complete")</f>
        <v>Complete</v>
      </c>
      <c r="I2996" s="55" t="s">
        <v>3193</v>
      </c>
    </row>
    <row r="2997" spans="2:9" ht="15" customHeight="1" x14ac:dyDescent="0.25">
      <c r="B2997" s="51" t="s">
        <v>126</v>
      </c>
      <c r="C2997" s="52">
        <v>925</v>
      </c>
      <c r="D2997" s="53" t="s">
        <v>4329</v>
      </c>
      <c r="E2997" s="54"/>
      <c r="F2997" s="52" t="str">
        <f>IF(INDEX(I.CCUS.StartRange,925)="","",INDEX(I.CCUS.StartRange,925))</f>
        <v/>
      </c>
      <c r="G2997" s="54"/>
      <c r="H2997" s="52" t="str">
        <f>IF(AND(I.Compliance.FulfilledCCUS&gt;0,I.CCUS.RangeCount&gt;=925,F2997=""),"Incomplete","Complete")</f>
        <v>Complete</v>
      </c>
      <c r="I2997" s="55" t="s">
        <v>3194</v>
      </c>
    </row>
    <row r="2998" spans="2:9" ht="15" customHeight="1" x14ac:dyDescent="0.25">
      <c r="B2998" s="51" t="s">
        <v>126</v>
      </c>
      <c r="C2998" s="52">
        <v>926</v>
      </c>
      <c r="D2998" s="53" t="s">
        <v>4329</v>
      </c>
      <c r="E2998" s="54"/>
      <c r="F2998" s="52" t="str">
        <f>IF(INDEX(I.CCUS.StartRange,926)="","",INDEX(I.CCUS.StartRange,926))</f>
        <v/>
      </c>
      <c r="G2998" s="54"/>
      <c r="H2998" s="52" t="str">
        <f>IF(AND(I.Compliance.FulfilledCCUS&gt;0,I.CCUS.RangeCount&gt;=926,F2998=""),"Incomplete","Complete")</f>
        <v>Complete</v>
      </c>
      <c r="I2998" s="55" t="s">
        <v>3195</v>
      </c>
    </row>
    <row r="2999" spans="2:9" ht="15" customHeight="1" x14ac:dyDescent="0.25">
      <c r="B2999" s="51" t="s">
        <v>126</v>
      </c>
      <c r="C2999" s="52">
        <v>927</v>
      </c>
      <c r="D2999" s="53" t="s">
        <v>4329</v>
      </c>
      <c r="E2999" s="54"/>
      <c r="F2999" s="52" t="str">
        <f>IF(INDEX(I.CCUS.StartRange,927)="","",INDEX(I.CCUS.StartRange,927))</f>
        <v/>
      </c>
      <c r="G2999" s="54"/>
      <c r="H2999" s="52" t="str">
        <f>IF(AND(I.Compliance.FulfilledCCUS&gt;0,I.CCUS.RangeCount&gt;=927,F2999=""),"Incomplete","Complete")</f>
        <v>Complete</v>
      </c>
      <c r="I2999" s="55" t="s">
        <v>3196</v>
      </c>
    </row>
    <row r="3000" spans="2:9" ht="15" customHeight="1" x14ac:dyDescent="0.25">
      <c r="B3000" s="51" t="s">
        <v>126</v>
      </c>
      <c r="C3000" s="52">
        <v>928</v>
      </c>
      <c r="D3000" s="53" t="s">
        <v>4329</v>
      </c>
      <c r="E3000" s="54"/>
      <c r="F3000" s="52" t="str">
        <f>IF(INDEX(I.CCUS.StartRange,928)="","",INDEX(I.CCUS.StartRange,928))</f>
        <v/>
      </c>
      <c r="G3000" s="54"/>
      <c r="H3000" s="52" t="str">
        <f>IF(AND(I.Compliance.FulfilledCCUS&gt;0,I.CCUS.RangeCount&gt;=928,F3000=""),"Incomplete","Complete")</f>
        <v>Complete</v>
      </c>
      <c r="I3000" s="55" t="s">
        <v>3197</v>
      </c>
    </row>
    <row r="3001" spans="2:9" ht="15" customHeight="1" x14ac:dyDescent="0.25">
      <c r="B3001" s="51" t="s">
        <v>126</v>
      </c>
      <c r="C3001" s="52">
        <v>929</v>
      </c>
      <c r="D3001" s="53" t="s">
        <v>4329</v>
      </c>
      <c r="E3001" s="54"/>
      <c r="F3001" s="52" t="str">
        <f>IF(INDEX(I.CCUS.StartRange,929)="","",INDEX(I.CCUS.StartRange,929))</f>
        <v/>
      </c>
      <c r="G3001" s="54"/>
      <c r="H3001" s="52" t="str">
        <f>IF(AND(I.Compliance.FulfilledCCUS&gt;0,I.CCUS.RangeCount&gt;=929,F3001=""),"Incomplete","Complete")</f>
        <v>Complete</v>
      </c>
      <c r="I3001" s="55" t="s">
        <v>3198</v>
      </c>
    </row>
    <row r="3002" spans="2:9" ht="15" customHeight="1" x14ac:dyDescent="0.25">
      <c r="B3002" s="51" t="s">
        <v>126</v>
      </c>
      <c r="C3002" s="52">
        <v>930</v>
      </c>
      <c r="D3002" s="53" t="s">
        <v>4329</v>
      </c>
      <c r="E3002" s="54"/>
      <c r="F3002" s="52" t="str">
        <f>IF(INDEX(I.CCUS.StartRange,930)="","",INDEX(I.CCUS.StartRange,930))</f>
        <v/>
      </c>
      <c r="G3002" s="54"/>
      <c r="H3002" s="52" t="str">
        <f>IF(AND(I.Compliance.FulfilledCCUS&gt;0,I.CCUS.RangeCount&gt;=930,F3002=""),"Incomplete","Complete")</f>
        <v>Complete</v>
      </c>
      <c r="I3002" s="55" t="s">
        <v>3199</v>
      </c>
    </row>
    <row r="3003" spans="2:9" ht="15" customHeight="1" x14ac:dyDescent="0.25">
      <c r="B3003" s="51" t="s">
        <v>126</v>
      </c>
      <c r="C3003" s="52">
        <v>931</v>
      </c>
      <c r="D3003" s="53" t="s">
        <v>4329</v>
      </c>
      <c r="E3003" s="54"/>
      <c r="F3003" s="52" t="str">
        <f>IF(INDEX(I.CCUS.StartRange,931)="","",INDEX(I.CCUS.StartRange,931))</f>
        <v/>
      </c>
      <c r="G3003" s="54"/>
      <c r="H3003" s="52" t="str">
        <f>IF(AND(I.Compliance.FulfilledCCUS&gt;0,I.CCUS.RangeCount&gt;=931,F3003=""),"Incomplete","Complete")</f>
        <v>Complete</v>
      </c>
      <c r="I3003" s="55" t="s">
        <v>3200</v>
      </c>
    </row>
    <row r="3004" spans="2:9" ht="15" customHeight="1" x14ac:dyDescent="0.25">
      <c r="B3004" s="51" t="s">
        <v>126</v>
      </c>
      <c r="C3004" s="52">
        <v>932</v>
      </c>
      <c r="D3004" s="53" t="s">
        <v>4329</v>
      </c>
      <c r="E3004" s="54"/>
      <c r="F3004" s="52" t="str">
        <f>IF(INDEX(I.CCUS.StartRange,932)="","",INDEX(I.CCUS.StartRange,932))</f>
        <v/>
      </c>
      <c r="G3004" s="54"/>
      <c r="H3004" s="52" t="str">
        <f>IF(AND(I.Compliance.FulfilledCCUS&gt;0,I.CCUS.RangeCount&gt;=932,F3004=""),"Incomplete","Complete")</f>
        <v>Complete</v>
      </c>
      <c r="I3004" s="55" t="s">
        <v>3201</v>
      </c>
    </row>
    <row r="3005" spans="2:9" ht="15" customHeight="1" x14ac:dyDescent="0.25">
      <c r="B3005" s="51" t="s">
        <v>126</v>
      </c>
      <c r="C3005" s="52">
        <v>933</v>
      </c>
      <c r="D3005" s="53" t="s">
        <v>4329</v>
      </c>
      <c r="E3005" s="54"/>
      <c r="F3005" s="52" t="str">
        <f>IF(INDEX(I.CCUS.StartRange,933)="","",INDEX(I.CCUS.StartRange,933))</f>
        <v/>
      </c>
      <c r="G3005" s="54"/>
      <c r="H3005" s="52" t="str">
        <f>IF(AND(I.Compliance.FulfilledCCUS&gt;0,I.CCUS.RangeCount&gt;=933,F3005=""),"Incomplete","Complete")</f>
        <v>Complete</v>
      </c>
      <c r="I3005" s="55" t="s">
        <v>3202</v>
      </c>
    </row>
    <row r="3006" spans="2:9" ht="15" customHeight="1" x14ac:dyDescent="0.25">
      <c r="B3006" s="51" t="s">
        <v>126</v>
      </c>
      <c r="C3006" s="52">
        <v>934</v>
      </c>
      <c r="D3006" s="53" t="s">
        <v>4329</v>
      </c>
      <c r="E3006" s="54"/>
      <c r="F3006" s="52" t="str">
        <f>IF(INDEX(I.CCUS.StartRange,934)="","",INDEX(I.CCUS.StartRange,934))</f>
        <v/>
      </c>
      <c r="G3006" s="54"/>
      <c r="H3006" s="52" t="str">
        <f>IF(AND(I.Compliance.FulfilledCCUS&gt;0,I.CCUS.RangeCount&gt;=934,F3006=""),"Incomplete","Complete")</f>
        <v>Complete</v>
      </c>
      <c r="I3006" s="55" t="s">
        <v>3203</v>
      </c>
    </row>
    <row r="3007" spans="2:9" ht="15" customHeight="1" x14ac:dyDescent="0.25">
      <c r="B3007" s="51" t="s">
        <v>126</v>
      </c>
      <c r="C3007" s="52">
        <v>935</v>
      </c>
      <c r="D3007" s="53" t="s">
        <v>4329</v>
      </c>
      <c r="E3007" s="54"/>
      <c r="F3007" s="52" t="str">
        <f>IF(INDEX(I.CCUS.StartRange,935)="","",INDEX(I.CCUS.StartRange,935))</f>
        <v/>
      </c>
      <c r="G3007" s="54"/>
      <c r="H3007" s="52" t="str">
        <f>IF(AND(I.Compliance.FulfilledCCUS&gt;0,I.CCUS.RangeCount&gt;=935,F3007=""),"Incomplete","Complete")</f>
        <v>Complete</v>
      </c>
      <c r="I3007" s="55" t="s">
        <v>3204</v>
      </c>
    </row>
    <row r="3008" spans="2:9" ht="15" customHeight="1" x14ac:dyDescent="0.25">
      <c r="B3008" s="51" t="s">
        <v>126</v>
      </c>
      <c r="C3008" s="52">
        <v>936</v>
      </c>
      <c r="D3008" s="53" t="s">
        <v>4329</v>
      </c>
      <c r="E3008" s="54"/>
      <c r="F3008" s="52" t="str">
        <f>IF(INDEX(I.CCUS.StartRange,936)="","",INDEX(I.CCUS.StartRange,936))</f>
        <v/>
      </c>
      <c r="G3008" s="54"/>
      <c r="H3008" s="52" t="str">
        <f>IF(AND(I.Compliance.FulfilledCCUS&gt;0,I.CCUS.RangeCount&gt;=936,F3008=""),"Incomplete","Complete")</f>
        <v>Complete</v>
      </c>
      <c r="I3008" s="55" t="s">
        <v>3205</v>
      </c>
    </row>
    <row r="3009" spans="2:9" ht="15" customHeight="1" x14ac:dyDescent="0.25">
      <c r="B3009" s="51" t="s">
        <v>126</v>
      </c>
      <c r="C3009" s="52">
        <v>937</v>
      </c>
      <c r="D3009" s="53" t="s">
        <v>4329</v>
      </c>
      <c r="E3009" s="54"/>
      <c r="F3009" s="52" t="str">
        <f>IF(INDEX(I.CCUS.StartRange,937)="","",INDEX(I.CCUS.StartRange,937))</f>
        <v/>
      </c>
      <c r="G3009" s="54"/>
      <c r="H3009" s="52" t="str">
        <f>IF(AND(I.Compliance.FulfilledCCUS&gt;0,I.CCUS.RangeCount&gt;=937,F3009=""),"Incomplete","Complete")</f>
        <v>Complete</v>
      </c>
      <c r="I3009" s="55" t="s">
        <v>3206</v>
      </c>
    </row>
    <row r="3010" spans="2:9" ht="15" customHeight="1" x14ac:dyDescent="0.25">
      <c r="B3010" s="51" t="s">
        <v>126</v>
      </c>
      <c r="C3010" s="52">
        <v>938</v>
      </c>
      <c r="D3010" s="53" t="s">
        <v>4329</v>
      </c>
      <c r="E3010" s="54"/>
      <c r="F3010" s="52" t="str">
        <f>IF(INDEX(I.CCUS.StartRange,938)="","",INDEX(I.CCUS.StartRange,938))</f>
        <v/>
      </c>
      <c r="G3010" s="54"/>
      <c r="H3010" s="52" t="str">
        <f>IF(AND(I.Compliance.FulfilledCCUS&gt;0,I.CCUS.RangeCount&gt;=938,F3010=""),"Incomplete","Complete")</f>
        <v>Complete</v>
      </c>
      <c r="I3010" s="55" t="s">
        <v>3207</v>
      </c>
    </row>
    <row r="3011" spans="2:9" ht="15" customHeight="1" x14ac:dyDescent="0.25">
      <c r="B3011" s="51" t="s">
        <v>126</v>
      </c>
      <c r="C3011" s="52">
        <v>939</v>
      </c>
      <c r="D3011" s="53" t="s">
        <v>4329</v>
      </c>
      <c r="E3011" s="54"/>
      <c r="F3011" s="52" t="str">
        <f>IF(INDEX(I.CCUS.StartRange,939)="","",INDEX(I.CCUS.StartRange,939))</f>
        <v/>
      </c>
      <c r="G3011" s="54"/>
      <c r="H3011" s="52" t="str">
        <f>IF(AND(I.Compliance.FulfilledCCUS&gt;0,I.CCUS.RangeCount&gt;=939,F3011=""),"Incomplete","Complete")</f>
        <v>Complete</v>
      </c>
      <c r="I3011" s="55" t="s">
        <v>3208</v>
      </c>
    </row>
    <row r="3012" spans="2:9" ht="15" customHeight="1" x14ac:dyDescent="0.25">
      <c r="B3012" s="51" t="s">
        <v>126</v>
      </c>
      <c r="C3012" s="52">
        <v>940</v>
      </c>
      <c r="D3012" s="53" t="s">
        <v>4329</v>
      </c>
      <c r="E3012" s="54"/>
      <c r="F3012" s="52" t="str">
        <f>IF(INDEX(I.CCUS.StartRange,940)="","",INDEX(I.CCUS.StartRange,940))</f>
        <v/>
      </c>
      <c r="G3012" s="54"/>
      <c r="H3012" s="52" t="str">
        <f>IF(AND(I.Compliance.FulfilledCCUS&gt;0,I.CCUS.RangeCount&gt;=940,F3012=""),"Incomplete","Complete")</f>
        <v>Complete</v>
      </c>
      <c r="I3012" s="55" t="s">
        <v>3209</v>
      </c>
    </row>
    <row r="3013" spans="2:9" ht="15" customHeight="1" x14ac:dyDescent="0.25">
      <c r="B3013" s="51" t="s">
        <v>126</v>
      </c>
      <c r="C3013" s="52">
        <v>941</v>
      </c>
      <c r="D3013" s="53" t="s">
        <v>4329</v>
      </c>
      <c r="E3013" s="54"/>
      <c r="F3013" s="52" t="str">
        <f>IF(INDEX(I.CCUS.StartRange,941)="","",INDEX(I.CCUS.StartRange,941))</f>
        <v/>
      </c>
      <c r="G3013" s="54"/>
      <c r="H3013" s="52" t="str">
        <f>IF(AND(I.Compliance.FulfilledCCUS&gt;0,I.CCUS.RangeCount&gt;=941,F3013=""),"Incomplete","Complete")</f>
        <v>Complete</v>
      </c>
      <c r="I3013" s="55" t="s">
        <v>3210</v>
      </c>
    </row>
    <row r="3014" spans="2:9" ht="15" customHeight="1" x14ac:dyDescent="0.25">
      <c r="B3014" s="51" t="s">
        <v>126</v>
      </c>
      <c r="C3014" s="52">
        <v>942</v>
      </c>
      <c r="D3014" s="53" t="s">
        <v>4329</v>
      </c>
      <c r="E3014" s="54"/>
      <c r="F3014" s="52" t="str">
        <f>IF(INDEX(I.CCUS.StartRange,942)="","",INDEX(I.CCUS.StartRange,942))</f>
        <v/>
      </c>
      <c r="G3014" s="54"/>
      <c r="H3014" s="52" t="str">
        <f>IF(AND(I.Compliance.FulfilledCCUS&gt;0,I.CCUS.RangeCount&gt;=942,F3014=""),"Incomplete","Complete")</f>
        <v>Complete</v>
      </c>
      <c r="I3014" s="55" t="s">
        <v>3211</v>
      </c>
    </row>
    <row r="3015" spans="2:9" ht="15" customHeight="1" x14ac:dyDescent="0.25">
      <c r="B3015" s="51" t="s">
        <v>126</v>
      </c>
      <c r="C3015" s="52">
        <v>943</v>
      </c>
      <c r="D3015" s="53" t="s">
        <v>4329</v>
      </c>
      <c r="E3015" s="54"/>
      <c r="F3015" s="52" t="str">
        <f>IF(INDEX(I.CCUS.StartRange,943)="","",INDEX(I.CCUS.StartRange,943))</f>
        <v/>
      </c>
      <c r="G3015" s="54"/>
      <c r="H3015" s="52" t="str">
        <f>IF(AND(I.Compliance.FulfilledCCUS&gt;0,I.CCUS.RangeCount&gt;=943,F3015=""),"Incomplete","Complete")</f>
        <v>Complete</v>
      </c>
      <c r="I3015" s="55" t="s">
        <v>3212</v>
      </c>
    </row>
    <row r="3016" spans="2:9" ht="15" customHeight="1" x14ac:dyDescent="0.25">
      <c r="B3016" s="51" t="s">
        <v>126</v>
      </c>
      <c r="C3016" s="52">
        <v>944</v>
      </c>
      <c r="D3016" s="53" t="s">
        <v>4329</v>
      </c>
      <c r="E3016" s="54"/>
      <c r="F3016" s="52" t="str">
        <f>IF(INDEX(I.CCUS.StartRange,944)="","",INDEX(I.CCUS.StartRange,944))</f>
        <v/>
      </c>
      <c r="G3016" s="54"/>
      <c r="H3016" s="52" t="str">
        <f>IF(AND(I.Compliance.FulfilledCCUS&gt;0,I.CCUS.RangeCount&gt;=944,F3016=""),"Incomplete","Complete")</f>
        <v>Complete</v>
      </c>
      <c r="I3016" s="55" t="s">
        <v>3213</v>
      </c>
    </row>
    <row r="3017" spans="2:9" ht="15" customHeight="1" x14ac:dyDescent="0.25">
      <c r="B3017" s="51" t="s">
        <v>126</v>
      </c>
      <c r="C3017" s="52">
        <v>945</v>
      </c>
      <c r="D3017" s="53" t="s">
        <v>4329</v>
      </c>
      <c r="E3017" s="54"/>
      <c r="F3017" s="52" t="str">
        <f>IF(INDEX(I.CCUS.StartRange,945)="","",INDEX(I.CCUS.StartRange,945))</f>
        <v/>
      </c>
      <c r="G3017" s="54"/>
      <c r="H3017" s="52" t="str">
        <f>IF(AND(I.Compliance.FulfilledCCUS&gt;0,I.CCUS.RangeCount&gt;=945,F3017=""),"Incomplete","Complete")</f>
        <v>Complete</v>
      </c>
      <c r="I3017" s="55" t="s">
        <v>3214</v>
      </c>
    </row>
    <row r="3018" spans="2:9" ht="15" customHeight="1" x14ac:dyDescent="0.25">
      <c r="B3018" s="51" t="s">
        <v>126</v>
      </c>
      <c r="C3018" s="52">
        <v>946</v>
      </c>
      <c r="D3018" s="53" t="s">
        <v>4329</v>
      </c>
      <c r="E3018" s="54"/>
      <c r="F3018" s="52" t="str">
        <f>IF(INDEX(I.CCUS.StartRange,946)="","",INDEX(I.CCUS.StartRange,946))</f>
        <v/>
      </c>
      <c r="G3018" s="54"/>
      <c r="H3018" s="52" t="str">
        <f>IF(AND(I.Compliance.FulfilledCCUS&gt;0,I.CCUS.RangeCount&gt;=946,F3018=""),"Incomplete","Complete")</f>
        <v>Complete</v>
      </c>
      <c r="I3018" s="55" t="s">
        <v>3215</v>
      </c>
    </row>
    <row r="3019" spans="2:9" ht="15" customHeight="1" x14ac:dyDescent="0.25">
      <c r="B3019" s="51" t="s">
        <v>126</v>
      </c>
      <c r="C3019" s="52">
        <v>947</v>
      </c>
      <c r="D3019" s="53" t="s">
        <v>4329</v>
      </c>
      <c r="E3019" s="54"/>
      <c r="F3019" s="52" t="str">
        <f>IF(INDEX(I.CCUS.StartRange,947)="","",INDEX(I.CCUS.StartRange,947))</f>
        <v/>
      </c>
      <c r="G3019" s="54"/>
      <c r="H3019" s="52" t="str">
        <f>IF(AND(I.Compliance.FulfilledCCUS&gt;0,I.CCUS.RangeCount&gt;=947,F3019=""),"Incomplete","Complete")</f>
        <v>Complete</v>
      </c>
      <c r="I3019" s="55" t="s">
        <v>3216</v>
      </c>
    </row>
    <row r="3020" spans="2:9" ht="15" customHeight="1" x14ac:dyDescent="0.25">
      <c r="B3020" s="51" t="s">
        <v>126</v>
      </c>
      <c r="C3020" s="52">
        <v>948</v>
      </c>
      <c r="D3020" s="53" t="s">
        <v>4329</v>
      </c>
      <c r="E3020" s="54"/>
      <c r="F3020" s="52" t="str">
        <f>IF(INDEX(I.CCUS.StartRange,948)="","",INDEX(I.CCUS.StartRange,948))</f>
        <v/>
      </c>
      <c r="G3020" s="54"/>
      <c r="H3020" s="52" t="str">
        <f>IF(AND(I.Compliance.FulfilledCCUS&gt;0,I.CCUS.RangeCount&gt;=948,F3020=""),"Incomplete","Complete")</f>
        <v>Complete</v>
      </c>
      <c r="I3020" s="55" t="s">
        <v>3217</v>
      </c>
    </row>
    <row r="3021" spans="2:9" ht="15" customHeight="1" x14ac:dyDescent="0.25">
      <c r="B3021" s="51" t="s">
        <v>126</v>
      </c>
      <c r="C3021" s="52">
        <v>949</v>
      </c>
      <c r="D3021" s="53" t="s">
        <v>4329</v>
      </c>
      <c r="E3021" s="54"/>
      <c r="F3021" s="52" t="str">
        <f>IF(INDEX(I.CCUS.StartRange,949)="","",INDEX(I.CCUS.StartRange,949))</f>
        <v/>
      </c>
      <c r="G3021" s="54"/>
      <c r="H3021" s="52" t="str">
        <f>IF(AND(I.Compliance.FulfilledCCUS&gt;0,I.CCUS.RangeCount&gt;=949,F3021=""),"Incomplete","Complete")</f>
        <v>Complete</v>
      </c>
      <c r="I3021" s="55" t="s">
        <v>3218</v>
      </c>
    </row>
    <row r="3022" spans="2:9" ht="15" customHeight="1" x14ac:dyDescent="0.25">
      <c r="B3022" s="51" t="s">
        <v>126</v>
      </c>
      <c r="C3022" s="52">
        <v>950</v>
      </c>
      <c r="D3022" s="53" t="s">
        <v>4329</v>
      </c>
      <c r="E3022" s="54"/>
      <c r="F3022" s="52" t="str">
        <f>IF(INDEX(I.CCUS.StartRange,950)="","",INDEX(I.CCUS.StartRange,950))</f>
        <v/>
      </c>
      <c r="G3022" s="54"/>
      <c r="H3022" s="52" t="str">
        <f>IF(AND(I.Compliance.FulfilledCCUS&gt;0,I.CCUS.RangeCount&gt;=950,F3022=""),"Incomplete","Complete")</f>
        <v>Complete</v>
      </c>
      <c r="I3022" s="55" t="s">
        <v>3219</v>
      </c>
    </row>
    <row r="3023" spans="2:9" ht="15" customHeight="1" x14ac:dyDescent="0.25">
      <c r="B3023" s="51" t="s">
        <v>126</v>
      </c>
      <c r="C3023" s="52">
        <v>951</v>
      </c>
      <c r="D3023" s="53" t="s">
        <v>4329</v>
      </c>
      <c r="E3023" s="54"/>
      <c r="F3023" s="52" t="str">
        <f>IF(INDEX(I.CCUS.StartRange,951)="","",INDEX(I.CCUS.StartRange,951))</f>
        <v/>
      </c>
      <c r="G3023" s="54"/>
      <c r="H3023" s="52" t="str">
        <f>IF(AND(I.Compliance.FulfilledCCUS&gt;0,I.CCUS.RangeCount&gt;=951,F3023=""),"Incomplete","Complete")</f>
        <v>Complete</v>
      </c>
      <c r="I3023" s="55" t="s">
        <v>3220</v>
      </c>
    </row>
    <row r="3024" spans="2:9" ht="15" customHeight="1" x14ac:dyDescent="0.25">
      <c r="B3024" s="51" t="s">
        <v>126</v>
      </c>
      <c r="C3024" s="52">
        <v>952</v>
      </c>
      <c r="D3024" s="53" t="s">
        <v>4329</v>
      </c>
      <c r="E3024" s="54"/>
      <c r="F3024" s="52" t="str">
        <f>IF(INDEX(I.CCUS.StartRange,952)="","",INDEX(I.CCUS.StartRange,952))</f>
        <v/>
      </c>
      <c r="G3024" s="54"/>
      <c r="H3024" s="52" t="str">
        <f>IF(AND(I.Compliance.FulfilledCCUS&gt;0,I.CCUS.RangeCount&gt;=952,F3024=""),"Incomplete","Complete")</f>
        <v>Complete</v>
      </c>
      <c r="I3024" s="55" t="s">
        <v>3221</v>
      </c>
    </row>
    <row r="3025" spans="2:9" ht="15" customHeight="1" x14ac:dyDescent="0.25">
      <c r="B3025" s="51" t="s">
        <v>126</v>
      </c>
      <c r="C3025" s="52">
        <v>953</v>
      </c>
      <c r="D3025" s="53" t="s">
        <v>4329</v>
      </c>
      <c r="E3025" s="54"/>
      <c r="F3025" s="52" t="str">
        <f>IF(INDEX(I.CCUS.StartRange,953)="","",INDEX(I.CCUS.StartRange,953))</f>
        <v/>
      </c>
      <c r="G3025" s="54"/>
      <c r="H3025" s="52" t="str">
        <f>IF(AND(I.Compliance.FulfilledCCUS&gt;0,I.CCUS.RangeCount&gt;=953,F3025=""),"Incomplete","Complete")</f>
        <v>Complete</v>
      </c>
      <c r="I3025" s="55" t="s">
        <v>3222</v>
      </c>
    </row>
    <row r="3026" spans="2:9" ht="15" customHeight="1" x14ac:dyDescent="0.25">
      <c r="B3026" s="51" t="s">
        <v>126</v>
      </c>
      <c r="C3026" s="52">
        <v>954</v>
      </c>
      <c r="D3026" s="53" t="s">
        <v>4329</v>
      </c>
      <c r="E3026" s="54"/>
      <c r="F3026" s="52" t="str">
        <f>IF(INDEX(I.CCUS.StartRange,954)="","",INDEX(I.CCUS.StartRange,954))</f>
        <v/>
      </c>
      <c r="G3026" s="54"/>
      <c r="H3026" s="52" t="str">
        <f>IF(AND(I.Compliance.FulfilledCCUS&gt;0,I.CCUS.RangeCount&gt;=954,F3026=""),"Incomplete","Complete")</f>
        <v>Complete</v>
      </c>
      <c r="I3026" s="55" t="s">
        <v>3223</v>
      </c>
    </row>
    <row r="3027" spans="2:9" ht="15" customHeight="1" x14ac:dyDescent="0.25">
      <c r="B3027" s="51" t="s">
        <v>126</v>
      </c>
      <c r="C3027" s="52">
        <v>955</v>
      </c>
      <c r="D3027" s="53" t="s">
        <v>4329</v>
      </c>
      <c r="E3027" s="54"/>
      <c r="F3027" s="52" t="str">
        <f>IF(INDEX(I.CCUS.StartRange,955)="","",INDEX(I.CCUS.StartRange,955))</f>
        <v/>
      </c>
      <c r="G3027" s="54"/>
      <c r="H3027" s="52" t="str">
        <f>IF(AND(I.Compliance.FulfilledCCUS&gt;0,I.CCUS.RangeCount&gt;=955,F3027=""),"Incomplete","Complete")</f>
        <v>Complete</v>
      </c>
      <c r="I3027" s="55" t="s">
        <v>3224</v>
      </c>
    </row>
    <row r="3028" spans="2:9" ht="15" customHeight="1" x14ac:dyDescent="0.25">
      <c r="B3028" s="51" t="s">
        <v>126</v>
      </c>
      <c r="C3028" s="52">
        <v>956</v>
      </c>
      <c r="D3028" s="53" t="s">
        <v>4329</v>
      </c>
      <c r="E3028" s="54"/>
      <c r="F3028" s="52" t="str">
        <f>IF(INDEX(I.CCUS.StartRange,956)="","",INDEX(I.CCUS.StartRange,956))</f>
        <v/>
      </c>
      <c r="G3028" s="54"/>
      <c r="H3028" s="52" t="str">
        <f>IF(AND(I.Compliance.FulfilledCCUS&gt;0,I.CCUS.RangeCount&gt;=956,F3028=""),"Incomplete","Complete")</f>
        <v>Complete</v>
      </c>
      <c r="I3028" s="55" t="s">
        <v>3225</v>
      </c>
    </row>
    <row r="3029" spans="2:9" ht="15" customHeight="1" x14ac:dyDescent="0.25">
      <c r="B3029" s="51" t="s">
        <v>126</v>
      </c>
      <c r="C3029" s="52">
        <v>957</v>
      </c>
      <c r="D3029" s="53" t="s">
        <v>4329</v>
      </c>
      <c r="E3029" s="54"/>
      <c r="F3029" s="52" t="str">
        <f>IF(INDEX(I.CCUS.StartRange,957)="","",INDEX(I.CCUS.StartRange,957))</f>
        <v/>
      </c>
      <c r="G3029" s="54"/>
      <c r="H3029" s="52" t="str">
        <f>IF(AND(I.Compliance.FulfilledCCUS&gt;0,I.CCUS.RangeCount&gt;=957,F3029=""),"Incomplete","Complete")</f>
        <v>Complete</v>
      </c>
      <c r="I3029" s="55" t="s">
        <v>3226</v>
      </c>
    </row>
    <row r="3030" spans="2:9" ht="15" customHeight="1" x14ac:dyDescent="0.25">
      <c r="B3030" s="51" t="s">
        <v>126</v>
      </c>
      <c r="C3030" s="52">
        <v>958</v>
      </c>
      <c r="D3030" s="53" t="s">
        <v>4329</v>
      </c>
      <c r="E3030" s="54"/>
      <c r="F3030" s="52" t="str">
        <f>IF(INDEX(I.CCUS.StartRange,958)="","",INDEX(I.CCUS.StartRange,958))</f>
        <v/>
      </c>
      <c r="G3030" s="54"/>
      <c r="H3030" s="52" t="str">
        <f>IF(AND(I.Compliance.FulfilledCCUS&gt;0,I.CCUS.RangeCount&gt;=958,F3030=""),"Incomplete","Complete")</f>
        <v>Complete</v>
      </c>
      <c r="I3030" s="55" t="s">
        <v>3227</v>
      </c>
    </row>
    <row r="3031" spans="2:9" ht="15" customHeight="1" x14ac:dyDescent="0.25">
      <c r="B3031" s="51" t="s">
        <v>126</v>
      </c>
      <c r="C3031" s="52">
        <v>959</v>
      </c>
      <c r="D3031" s="53" t="s">
        <v>4329</v>
      </c>
      <c r="E3031" s="54"/>
      <c r="F3031" s="52" t="str">
        <f>IF(INDEX(I.CCUS.StartRange,959)="","",INDEX(I.CCUS.StartRange,959))</f>
        <v/>
      </c>
      <c r="G3031" s="54"/>
      <c r="H3031" s="52" t="str">
        <f>IF(AND(I.Compliance.FulfilledCCUS&gt;0,I.CCUS.RangeCount&gt;=959,F3031=""),"Incomplete","Complete")</f>
        <v>Complete</v>
      </c>
      <c r="I3031" s="55" t="s">
        <v>3228</v>
      </c>
    </row>
    <row r="3032" spans="2:9" ht="15" customHeight="1" x14ac:dyDescent="0.25">
      <c r="B3032" s="51" t="s">
        <v>126</v>
      </c>
      <c r="C3032" s="52">
        <v>960</v>
      </c>
      <c r="D3032" s="53" t="s">
        <v>4329</v>
      </c>
      <c r="E3032" s="54"/>
      <c r="F3032" s="52" t="str">
        <f>IF(INDEX(I.CCUS.StartRange,960)="","",INDEX(I.CCUS.StartRange,960))</f>
        <v/>
      </c>
      <c r="G3032" s="54"/>
      <c r="H3032" s="52" t="str">
        <f>IF(AND(I.Compliance.FulfilledCCUS&gt;0,I.CCUS.RangeCount&gt;=960,F3032=""),"Incomplete","Complete")</f>
        <v>Complete</v>
      </c>
      <c r="I3032" s="55" t="s">
        <v>3229</v>
      </c>
    </row>
    <row r="3033" spans="2:9" ht="15" customHeight="1" x14ac:dyDescent="0.25">
      <c r="B3033" s="51" t="s">
        <v>126</v>
      </c>
      <c r="C3033" s="52">
        <v>961</v>
      </c>
      <c r="D3033" s="53" t="s">
        <v>4329</v>
      </c>
      <c r="E3033" s="54"/>
      <c r="F3033" s="52" t="str">
        <f>IF(INDEX(I.CCUS.StartRange,961)="","",INDEX(I.CCUS.StartRange,961))</f>
        <v/>
      </c>
      <c r="G3033" s="54"/>
      <c r="H3033" s="52" t="str">
        <f>IF(AND(I.Compliance.FulfilledCCUS&gt;0,I.CCUS.RangeCount&gt;=961,F3033=""),"Incomplete","Complete")</f>
        <v>Complete</v>
      </c>
      <c r="I3033" s="55" t="s">
        <v>3230</v>
      </c>
    </row>
    <row r="3034" spans="2:9" ht="15" customHeight="1" x14ac:dyDescent="0.25">
      <c r="B3034" s="51" t="s">
        <v>126</v>
      </c>
      <c r="C3034" s="52">
        <v>962</v>
      </c>
      <c r="D3034" s="53" t="s">
        <v>4329</v>
      </c>
      <c r="E3034" s="54"/>
      <c r="F3034" s="52" t="str">
        <f>IF(INDEX(I.CCUS.StartRange,962)="","",INDEX(I.CCUS.StartRange,962))</f>
        <v/>
      </c>
      <c r="G3034" s="54"/>
      <c r="H3034" s="52" t="str">
        <f>IF(AND(I.Compliance.FulfilledCCUS&gt;0,I.CCUS.RangeCount&gt;=962,F3034=""),"Incomplete","Complete")</f>
        <v>Complete</v>
      </c>
      <c r="I3034" s="55" t="s">
        <v>3231</v>
      </c>
    </row>
    <row r="3035" spans="2:9" ht="15" customHeight="1" x14ac:dyDescent="0.25">
      <c r="B3035" s="51" t="s">
        <v>126</v>
      </c>
      <c r="C3035" s="52">
        <v>963</v>
      </c>
      <c r="D3035" s="53" t="s">
        <v>4329</v>
      </c>
      <c r="E3035" s="54"/>
      <c r="F3035" s="52" t="str">
        <f>IF(INDEX(I.CCUS.StartRange,963)="","",INDEX(I.CCUS.StartRange,963))</f>
        <v/>
      </c>
      <c r="G3035" s="54"/>
      <c r="H3035" s="52" t="str">
        <f>IF(AND(I.Compliance.FulfilledCCUS&gt;0,I.CCUS.RangeCount&gt;=963,F3035=""),"Incomplete","Complete")</f>
        <v>Complete</v>
      </c>
      <c r="I3035" s="55" t="s">
        <v>3232</v>
      </c>
    </row>
    <row r="3036" spans="2:9" ht="15" customHeight="1" x14ac:dyDescent="0.25">
      <c r="B3036" s="51" t="s">
        <v>126</v>
      </c>
      <c r="C3036" s="52">
        <v>964</v>
      </c>
      <c r="D3036" s="53" t="s">
        <v>4329</v>
      </c>
      <c r="E3036" s="54"/>
      <c r="F3036" s="52" t="str">
        <f>IF(INDEX(I.CCUS.StartRange,964)="","",INDEX(I.CCUS.StartRange,964))</f>
        <v/>
      </c>
      <c r="G3036" s="54"/>
      <c r="H3036" s="52" t="str">
        <f>IF(AND(I.Compliance.FulfilledCCUS&gt;0,I.CCUS.RangeCount&gt;=964,F3036=""),"Incomplete","Complete")</f>
        <v>Complete</v>
      </c>
      <c r="I3036" s="55" t="s">
        <v>3233</v>
      </c>
    </row>
    <row r="3037" spans="2:9" ht="15" customHeight="1" x14ac:dyDescent="0.25">
      <c r="B3037" s="51" t="s">
        <v>126</v>
      </c>
      <c r="C3037" s="52">
        <v>965</v>
      </c>
      <c r="D3037" s="53" t="s">
        <v>4329</v>
      </c>
      <c r="E3037" s="54"/>
      <c r="F3037" s="52" t="str">
        <f>IF(INDEX(I.CCUS.StartRange,965)="","",INDEX(I.CCUS.StartRange,965))</f>
        <v/>
      </c>
      <c r="G3037" s="54"/>
      <c r="H3037" s="52" t="str">
        <f>IF(AND(I.Compliance.FulfilledCCUS&gt;0,I.CCUS.RangeCount&gt;=965,F3037=""),"Incomplete","Complete")</f>
        <v>Complete</v>
      </c>
      <c r="I3037" s="55" t="s">
        <v>3234</v>
      </c>
    </row>
    <row r="3038" spans="2:9" ht="15" customHeight="1" x14ac:dyDescent="0.25">
      <c r="B3038" s="51" t="s">
        <v>126</v>
      </c>
      <c r="C3038" s="52">
        <v>966</v>
      </c>
      <c r="D3038" s="53" t="s">
        <v>4329</v>
      </c>
      <c r="E3038" s="54"/>
      <c r="F3038" s="52" t="str">
        <f>IF(INDEX(I.CCUS.StartRange,966)="","",INDEX(I.CCUS.StartRange,966))</f>
        <v/>
      </c>
      <c r="G3038" s="54"/>
      <c r="H3038" s="52" t="str">
        <f>IF(AND(I.Compliance.FulfilledCCUS&gt;0,I.CCUS.RangeCount&gt;=966,F3038=""),"Incomplete","Complete")</f>
        <v>Complete</v>
      </c>
      <c r="I3038" s="55" t="s">
        <v>3235</v>
      </c>
    </row>
    <row r="3039" spans="2:9" ht="15" customHeight="1" x14ac:dyDescent="0.25">
      <c r="B3039" s="51" t="s">
        <v>126</v>
      </c>
      <c r="C3039" s="52">
        <v>967</v>
      </c>
      <c r="D3039" s="53" t="s">
        <v>4329</v>
      </c>
      <c r="E3039" s="54"/>
      <c r="F3039" s="52" t="str">
        <f>IF(INDEX(I.CCUS.StartRange,967)="","",INDEX(I.CCUS.StartRange,967))</f>
        <v/>
      </c>
      <c r="G3039" s="54"/>
      <c r="H3039" s="52" t="str">
        <f>IF(AND(I.Compliance.FulfilledCCUS&gt;0,I.CCUS.RangeCount&gt;=967,F3039=""),"Incomplete","Complete")</f>
        <v>Complete</v>
      </c>
      <c r="I3039" s="55" t="s">
        <v>3236</v>
      </c>
    </row>
    <row r="3040" spans="2:9" ht="15" customHeight="1" x14ac:dyDescent="0.25">
      <c r="B3040" s="51" t="s">
        <v>126</v>
      </c>
      <c r="C3040" s="52">
        <v>968</v>
      </c>
      <c r="D3040" s="53" t="s">
        <v>4329</v>
      </c>
      <c r="E3040" s="54"/>
      <c r="F3040" s="52" t="str">
        <f>IF(INDEX(I.CCUS.StartRange,968)="","",INDEX(I.CCUS.StartRange,968))</f>
        <v/>
      </c>
      <c r="G3040" s="54"/>
      <c r="H3040" s="52" t="str">
        <f>IF(AND(I.Compliance.FulfilledCCUS&gt;0,I.CCUS.RangeCount&gt;=968,F3040=""),"Incomplete","Complete")</f>
        <v>Complete</v>
      </c>
      <c r="I3040" s="55" t="s">
        <v>3237</v>
      </c>
    </row>
    <row r="3041" spans="2:9" ht="15" customHeight="1" x14ac:dyDescent="0.25">
      <c r="B3041" s="51" t="s">
        <v>126</v>
      </c>
      <c r="C3041" s="52">
        <v>969</v>
      </c>
      <c r="D3041" s="53" t="s">
        <v>4329</v>
      </c>
      <c r="E3041" s="54"/>
      <c r="F3041" s="52" t="str">
        <f>IF(INDEX(I.CCUS.StartRange,969)="","",INDEX(I.CCUS.StartRange,969))</f>
        <v/>
      </c>
      <c r="G3041" s="54"/>
      <c r="H3041" s="52" t="str">
        <f>IF(AND(I.Compliance.FulfilledCCUS&gt;0,I.CCUS.RangeCount&gt;=969,F3041=""),"Incomplete","Complete")</f>
        <v>Complete</v>
      </c>
      <c r="I3041" s="55" t="s">
        <v>3238</v>
      </c>
    </row>
    <row r="3042" spans="2:9" ht="15" customHeight="1" x14ac:dyDescent="0.25">
      <c r="B3042" s="51" t="s">
        <v>126</v>
      </c>
      <c r="C3042" s="52">
        <v>970</v>
      </c>
      <c r="D3042" s="53" t="s">
        <v>4329</v>
      </c>
      <c r="E3042" s="54"/>
      <c r="F3042" s="52" t="str">
        <f>IF(INDEX(I.CCUS.StartRange,970)="","",INDEX(I.CCUS.StartRange,970))</f>
        <v/>
      </c>
      <c r="G3042" s="54"/>
      <c r="H3042" s="52" t="str">
        <f>IF(AND(I.Compliance.FulfilledCCUS&gt;0,I.CCUS.RangeCount&gt;=970,F3042=""),"Incomplete","Complete")</f>
        <v>Complete</v>
      </c>
      <c r="I3042" s="55" t="s">
        <v>3239</v>
      </c>
    </row>
    <row r="3043" spans="2:9" ht="15" customHeight="1" x14ac:dyDescent="0.25">
      <c r="B3043" s="51" t="s">
        <v>126</v>
      </c>
      <c r="C3043" s="52">
        <v>971</v>
      </c>
      <c r="D3043" s="53" t="s">
        <v>4329</v>
      </c>
      <c r="E3043" s="54"/>
      <c r="F3043" s="52" t="str">
        <f>IF(INDEX(I.CCUS.StartRange,971)="","",INDEX(I.CCUS.StartRange,971))</f>
        <v/>
      </c>
      <c r="G3043" s="54"/>
      <c r="H3043" s="52" t="str">
        <f>IF(AND(I.Compliance.FulfilledCCUS&gt;0,I.CCUS.RangeCount&gt;=971,F3043=""),"Incomplete","Complete")</f>
        <v>Complete</v>
      </c>
      <c r="I3043" s="55" t="s">
        <v>3240</v>
      </c>
    </row>
    <row r="3044" spans="2:9" ht="15" customHeight="1" x14ac:dyDescent="0.25">
      <c r="B3044" s="51" t="s">
        <v>126</v>
      </c>
      <c r="C3044" s="52">
        <v>972</v>
      </c>
      <c r="D3044" s="53" t="s">
        <v>4329</v>
      </c>
      <c r="E3044" s="54"/>
      <c r="F3044" s="52" t="str">
        <f>IF(INDEX(I.CCUS.StartRange,972)="","",INDEX(I.CCUS.StartRange,972))</f>
        <v/>
      </c>
      <c r="G3044" s="54"/>
      <c r="H3044" s="52" t="str">
        <f>IF(AND(I.Compliance.FulfilledCCUS&gt;0,I.CCUS.RangeCount&gt;=972,F3044=""),"Incomplete","Complete")</f>
        <v>Complete</v>
      </c>
      <c r="I3044" s="55" t="s">
        <v>3241</v>
      </c>
    </row>
    <row r="3045" spans="2:9" ht="15" customHeight="1" x14ac:dyDescent="0.25">
      <c r="B3045" s="51" t="s">
        <v>126</v>
      </c>
      <c r="C3045" s="52">
        <v>973</v>
      </c>
      <c r="D3045" s="53" t="s">
        <v>4329</v>
      </c>
      <c r="E3045" s="54"/>
      <c r="F3045" s="52" t="str">
        <f>IF(INDEX(I.CCUS.StartRange,973)="","",INDEX(I.CCUS.StartRange,973))</f>
        <v/>
      </c>
      <c r="G3045" s="54"/>
      <c r="H3045" s="52" t="str">
        <f>IF(AND(I.Compliance.FulfilledCCUS&gt;0,I.CCUS.RangeCount&gt;=973,F3045=""),"Incomplete","Complete")</f>
        <v>Complete</v>
      </c>
      <c r="I3045" s="55" t="s">
        <v>3242</v>
      </c>
    </row>
    <row r="3046" spans="2:9" ht="15" customHeight="1" x14ac:dyDescent="0.25">
      <c r="B3046" s="51" t="s">
        <v>126</v>
      </c>
      <c r="C3046" s="52">
        <v>974</v>
      </c>
      <c r="D3046" s="53" t="s">
        <v>4329</v>
      </c>
      <c r="E3046" s="54"/>
      <c r="F3046" s="52" t="str">
        <f>IF(INDEX(I.CCUS.StartRange,974)="","",INDEX(I.CCUS.StartRange,974))</f>
        <v/>
      </c>
      <c r="G3046" s="54"/>
      <c r="H3046" s="52" t="str">
        <f>IF(AND(I.Compliance.FulfilledCCUS&gt;0,I.CCUS.RangeCount&gt;=974,F3046=""),"Incomplete","Complete")</f>
        <v>Complete</v>
      </c>
      <c r="I3046" s="55" t="s">
        <v>3243</v>
      </c>
    </row>
    <row r="3047" spans="2:9" ht="15" customHeight="1" x14ac:dyDescent="0.25">
      <c r="B3047" s="51" t="s">
        <v>126</v>
      </c>
      <c r="C3047" s="52">
        <v>975</v>
      </c>
      <c r="D3047" s="53" t="s">
        <v>4329</v>
      </c>
      <c r="E3047" s="54"/>
      <c r="F3047" s="52" t="str">
        <f>IF(INDEX(I.CCUS.StartRange,975)="","",INDEX(I.CCUS.StartRange,975))</f>
        <v/>
      </c>
      <c r="G3047" s="54"/>
      <c r="H3047" s="52" t="str">
        <f>IF(AND(I.Compliance.FulfilledCCUS&gt;0,I.CCUS.RangeCount&gt;=975,F3047=""),"Incomplete","Complete")</f>
        <v>Complete</v>
      </c>
      <c r="I3047" s="55" t="s">
        <v>3244</v>
      </c>
    </row>
    <row r="3048" spans="2:9" ht="15" customHeight="1" x14ac:dyDescent="0.25">
      <c r="B3048" s="51" t="s">
        <v>126</v>
      </c>
      <c r="C3048" s="52">
        <v>976</v>
      </c>
      <c r="D3048" s="53" t="s">
        <v>4329</v>
      </c>
      <c r="E3048" s="54"/>
      <c r="F3048" s="52" t="str">
        <f>IF(INDEX(I.CCUS.StartRange,976)="","",INDEX(I.CCUS.StartRange,976))</f>
        <v/>
      </c>
      <c r="G3048" s="54"/>
      <c r="H3048" s="52" t="str">
        <f>IF(AND(I.Compliance.FulfilledCCUS&gt;0,I.CCUS.RangeCount&gt;=976,F3048=""),"Incomplete","Complete")</f>
        <v>Complete</v>
      </c>
      <c r="I3048" s="55" t="s">
        <v>3245</v>
      </c>
    </row>
    <row r="3049" spans="2:9" ht="15" customHeight="1" x14ac:dyDescent="0.25">
      <c r="B3049" s="51" t="s">
        <v>126</v>
      </c>
      <c r="C3049" s="52">
        <v>977</v>
      </c>
      <c r="D3049" s="53" t="s">
        <v>4329</v>
      </c>
      <c r="E3049" s="54"/>
      <c r="F3049" s="52" t="str">
        <f>IF(INDEX(I.CCUS.StartRange,977)="","",INDEX(I.CCUS.StartRange,977))</f>
        <v/>
      </c>
      <c r="G3049" s="54"/>
      <c r="H3049" s="52" t="str">
        <f>IF(AND(I.Compliance.FulfilledCCUS&gt;0,I.CCUS.RangeCount&gt;=977,F3049=""),"Incomplete","Complete")</f>
        <v>Complete</v>
      </c>
      <c r="I3049" s="55" t="s">
        <v>3246</v>
      </c>
    </row>
    <row r="3050" spans="2:9" ht="15" customHeight="1" x14ac:dyDescent="0.25">
      <c r="B3050" s="51" t="s">
        <v>126</v>
      </c>
      <c r="C3050" s="52">
        <v>978</v>
      </c>
      <c r="D3050" s="53" t="s">
        <v>4329</v>
      </c>
      <c r="E3050" s="54"/>
      <c r="F3050" s="52" t="str">
        <f>IF(INDEX(I.CCUS.StartRange,978)="","",INDEX(I.CCUS.StartRange,978))</f>
        <v/>
      </c>
      <c r="G3050" s="54"/>
      <c r="H3050" s="52" t="str">
        <f>IF(AND(I.Compliance.FulfilledCCUS&gt;0,I.CCUS.RangeCount&gt;=978,F3050=""),"Incomplete","Complete")</f>
        <v>Complete</v>
      </c>
      <c r="I3050" s="55" t="s">
        <v>3247</v>
      </c>
    </row>
    <row r="3051" spans="2:9" ht="15" customHeight="1" x14ac:dyDescent="0.25">
      <c r="B3051" s="51" t="s">
        <v>126</v>
      </c>
      <c r="C3051" s="52">
        <v>979</v>
      </c>
      <c r="D3051" s="53" t="s">
        <v>4329</v>
      </c>
      <c r="E3051" s="54"/>
      <c r="F3051" s="52" t="str">
        <f>IF(INDEX(I.CCUS.StartRange,979)="","",INDEX(I.CCUS.StartRange,979))</f>
        <v/>
      </c>
      <c r="G3051" s="54"/>
      <c r="H3051" s="52" t="str">
        <f>IF(AND(I.Compliance.FulfilledCCUS&gt;0,I.CCUS.RangeCount&gt;=979,F3051=""),"Incomplete","Complete")</f>
        <v>Complete</v>
      </c>
      <c r="I3051" s="55" t="s">
        <v>3248</v>
      </c>
    </row>
    <row r="3052" spans="2:9" ht="15" customHeight="1" x14ac:dyDescent="0.25">
      <c r="B3052" s="51" t="s">
        <v>126</v>
      </c>
      <c r="C3052" s="52">
        <v>980</v>
      </c>
      <c r="D3052" s="53" t="s">
        <v>4329</v>
      </c>
      <c r="E3052" s="54"/>
      <c r="F3052" s="52" t="str">
        <f>IF(INDEX(I.CCUS.StartRange,980)="","",INDEX(I.CCUS.StartRange,980))</f>
        <v/>
      </c>
      <c r="G3052" s="54"/>
      <c r="H3052" s="52" t="str">
        <f>IF(AND(I.Compliance.FulfilledCCUS&gt;0,I.CCUS.RangeCount&gt;=980,F3052=""),"Incomplete","Complete")</f>
        <v>Complete</v>
      </c>
      <c r="I3052" s="55" t="s">
        <v>3249</v>
      </c>
    </row>
    <row r="3053" spans="2:9" ht="15" customHeight="1" x14ac:dyDescent="0.25">
      <c r="B3053" s="51" t="s">
        <v>126</v>
      </c>
      <c r="C3053" s="52">
        <v>981</v>
      </c>
      <c r="D3053" s="53" t="s">
        <v>4329</v>
      </c>
      <c r="E3053" s="54"/>
      <c r="F3053" s="52" t="str">
        <f>IF(INDEX(I.CCUS.StartRange,981)="","",INDEX(I.CCUS.StartRange,981))</f>
        <v/>
      </c>
      <c r="G3053" s="54"/>
      <c r="H3053" s="52" t="str">
        <f>IF(AND(I.Compliance.FulfilledCCUS&gt;0,I.CCUS.RangeCount&gt;=981,F3053=""),"Incomplete","Complete")</f>
        <v>Complete</v>
      </c>
      <c r="I3053" s="55" t="s">
        <v>3250</v>
      </c>
    </row>
    <row r="3054" spans="2:9" ht="15" customHeight="1" x14ac:dyDescent="0.25">
      <c r="B3054" s="51" t="s">
        <v>126</v>
      </c>
      <c r="C3054" s="52">
        <v>982</v>
      </c>
      <c r="D3054" s="53" t="s">
        <v>4329</v>
      </c>
      <c r="E3054" s="54"/>
      <c r="F3054" s="52" t="str">
        <f>IF(INDEX(I.CCUS.StartRange,982)="","",INDEX(I.CCUS.StartRange,982))</f>
        <v/>
      </c>
      <c r="G3054" s="54"/>
      <c r="H3054" s="52" t="str">
        <f>IF(AND(I.Compliance.FulfilledCCUS&gt;0,I.CCUS.RangeCount&gt;=982,F3054=""),"Incomplete","Complete")</f>
        <v>Complete</v>
      </c>
      <c r="I3054" s="55" t="s">
        <v>3251</v>
      </c>
    </row>
    <row r="3055" spans="2:9" ht="15" customHeight="1" x14ac:dyDescent="0.25">
      <c r="B3055" s="51" t="s">
        <v>126</v>
      </c>
      <c r="C3055" s="52">
        <v>983</v>
      </c>
      <c r="D3055" s="53" t="s">
        <v>4329</v>
      </c>
      <c r="E3055" s="54"/>
      <c r="F3055" s="52" t="str">
        <f>IF(INDEX(I.CCUS.StartRange,983)="","",INDEX(I.CCUS.StartRange,983))</f>
        <v/>
      </c>
      <c r="G3055" s="54"/>
      <c r="H3055" s="52" t="str">
        <f>IF(AND(I.Compliance.FulfilledCCUS&gt;0,I.CCUS.RangeCount&gt;=983,F3055=""),"Incomplete","Complete")</f>
        <v>Complete</v>
      </c>
      <c r="I3055" s="55" t="s">
        <v>3252</v>
      </c>
    </row>
    <row r="3056" spans="2:9" ht="15" customHeight="1" x14ac:dyDescent="0.25">
      <c r="B3056" s="51" t="s">
        <v>126</v>
      </c>
      <c r="C3056" s="52">
        <v>984</v>
      </c>
      <c r="D3056" s="53" t="s">
        <v>4329</v>
      </c>
      <c r="E3056" s="54"/>
      <c r="F3056" s="52" t="str">
        <f>IF(INDEX(I.CCUS.StartRange,984)="","",INDEX(I.CCUS.StartRange,984))</f>
        <v/>
      </c>
      <c r="G3056" s="54"/>
      <c r="H3056" s="52" t="str">
        <f>IF(AND(I.Compliance.FulfilledCCUS&gt;0,I.CCUS.RangeCount&gt;=984,F3056=""),"Incomplete","Complete")</f>
        <v>Complete</v>
      </c>
      <c r="I3056" s="55" t="s">
        <v>3253</v>
      </c>
    </row>
    <row r="3057" spans="2:9" ht="15" customHeight="1" x14ac:dyDescent="0.25">
      <c r="B3057" s="51" t="s">
        <v>126</v>
      </c>
      <c r="C3057" s="52">
        <v>985</v>
      </c>
      <c r="D3057" s="53" t="s">
        <v>4329</v>
      </c>
      <c r="E3057" s="54"/>
      <c r="F3057" s="52" t="str">
        <f>IF(INDEX(I.CCUS.StartRange,985)="","",INDEX(I.CCUS.StartRange,985))</f>
        <v/>
      </c>
      <c r="G3057" s="54"/>
      <c r="H3057" s="52" t="str">
        <f>IF(AND(I.Compliance.FulfilledCCUS&gt;0,I.CCUS.RangeCount&gt;=985,F3057=""),"Incomplete","Complete")</f>
        <v>Complete</v>
      </c>
      <c r="I3057" s="55" t="s">
        <v>3254</v>
      </c>
    </row>
    <row r="3058" spans="2:9" ht="15" customHeight="1" x14ac:dyDescent="0.25">
      <c r="B3058" s="51" t="s">
        <v>126</v>
      </c>
      <c r="C3058" s="52">
        <v>986</v>
      </c>
      <c r="D3058" s="53" t="s">
        <v>4329</v>
      </c>
      <c r="E3058" s="54"/>
      <c r="F3058" s="52" t="str">
        <f>IF(INDEX(I.CCUS.StartRange,986)="","",INDEX(I.CCUS.StartRange,986))</f>
        <v/>
      </c>
      <c r="G3058" s="54"/>
      <c r="H3058" s="52" t="str">
        <f>IF(AND(I.Compliance.FulfilledCCUS&gt;0,I.CCUS.RangeCount&gt;=986,F3058=""),"Incomplete","Complete")</f>
        <v>Complete</v>
      </c>
      <c r="I3058" s="55" t="s">
        <v>3255</v>
      </c>
    </row>
    <row r="3059" spans="2:9" ht="15" customHeight="1" x14ac:dyDescent="0.25">
      <c r="B3059" s="51" t="s">
        <v>126</v>
      </c>
      <c r="C3059" s="52">
        <v>987</v>
      </c>
      <c r="D3059" s="53" t="s">
        <v>4329</v>
      </c>
      <c r="E3059" s="54"/>
      <c r="F3059" s="52" t="str">
        <f>IF(INDEX(I.CCUS.StartRange,987)="","",INDEX(I.CCUS.StartRange,987))</f>
        <v/>
      </c>
      <c r="G3059" s="54"/>
      <c r="H3059" s="52" t="str">
        <f>IF(AND(I.Compliance.FulfilledCCUS&gt;0,I.CCUS.RangeCount&gt;=987,F3059=""),"Incomplete","Complete")</f>
        <v>Complete</v>
      </c>
      <c r="I3059" s="55" t="s">
        <v>3256</v>
      </c>
    </row>
    <row r="3060" spans="2:9" ht="15" customHeight="1" x14ac:dyDescent="0.25">
      <c r="B3060" s="51" t="s">
        <v>126</v>
      </c>
      <c r="C3060" s="52">
        <v>988</v>
      </c>
      <c r="D3060" s="53" t="s">
        <v>4329</v>
      </c>
      <c r="E3060" s="54"/>
      <c r="F3060" s="52" t="str">
        <f>IF(INDEX(I.CCUS.StartRange,988)="","",INDEX(I.CCUS.StartRange,988))</f>
        <v/>
      </c>
      <c r="G3060" s="54"/>
      <c r="H3060" s="52" t="str">
        <f>IF(AND(I.Compliance.FulfilledCCUS&gt;0,I.CCUS.RangeCount&gt;=988,F3060=""),"Incomplete","Complete")</f>
        <v>Complete</v>
      </c>
      <c r="I3060" s="55" t="s">
        <v>3257</v>
      </c>
    </row>
    <row r="3061" spans="2:9" ht="15" customHeight="1" x14ac:dyDescent="0.25">
      <c r="B3061" s="51" t="s">
        <v>126</v>
      </c>
      <c r="C3061" s="52">
        <v>989</v>
      </c>
      <c r="D3061" s="53" t="s">
        <v>4329</v>
      </c>
      <c r="E3061" s="54"/>
      <c r="F3061" s="52" t="str">
        <f>IF(INDEX(I.CCUS.StartRange,989)="","",INDEX(I.CCUS.StartRange,989))</f>
        <v/>
      </c>
      <c r="G3061" s="54"/>
      <c r="H3061" s="52" t="str">
        <f>IF(AND(I.Compliance.FulfilledCCUS&gt;0,I.CCUS.RangeCount&gt;=989,F3061=""),"Incomplete","Complete")</f>
        <v>Complete</v>
      </c>
      <c r="I3061" s="55" t="s">
        <v>3258</v>
      </c>
    </row>
    <row r="3062" spans="2:9" ht="15" customHeight="1" x14ac:dyDescent="0.25">
      <c r="B3062" s="51" t="s">
        <v>126</v>
      </c>
      <c r="C3062" s="52">
        <v>990</v>
      </c>
      <c r="D3062" s="53" t="s">
        <v>4329</v>
      </c>
      <c r="E3062" s="54"/>
      <c r="F3062" s="52" t="str">
        <f>IF(INDEX(I.CCUS.StartRange,990)="","",INDEX(I.CCUS.StartRange,990))</f>
        <v/>
      </c>
      <c r="G3062" s="54"/>
      <c r="H3062" s="52" t="str">
        <f>IF(AND(I.Compliance.FulfilledCCUS&gt;0,I.CCUS.RangeCount&gt;=990,F3062=""),"Incomplete","Complete")</f>
        <v>Complete</v>
      </c>
      <c r="I3062" s="55" t="s">
        <v>3259</v>
      </c>
    </row>
    <row r="3063" spans="2:9" ht="15" customHeight="1" x14ac:dyDescent="0.25">
      <c r="B3063" s="51" t="s">
        <v>126</v>
      </c>
      <c r="C3063" s="52">
        <v>991</v>
      </c>
      <c r="D3063" s="53" t="s">
        <v>4329</v>
      </c>
      <c r="E3063" s="54"/>
      <c r="F3063" s="52" t="str">
        <f>IF(INDEX(I.CCUS.StartRange,991)="","",INDEX(I.CCUS.StartRange,991))</f>
        <v/>
      </c>
      <c r="G3063" s="54"/>
      <c r="H3063" s="52" t="str">
        <f>IF(AND(I.Compliance.FulfilledCCUS&gt;0,I.CCUS.RangeCount&gt;=991,F3063=""),"Incomplete","Complete")</f>
        <v>Complete</v>
      </c>
      <c r="I3063" s="55" t="s">
        <v>3260</v>
      </c>
    </row>
    <row r="3064" spans="2:9" ht="15" customHeight="1" x14ac:dyDescent="0.25">
      <c r="B3064" s="51" t="s">
        <v>126</v>
      </c>
      <c r="C3064" s="52">
        <v>992</v>
      </c>
      <c r="D3064" s="53" t="s">
        <v>4329</v>
      </c>
      <c r="E3064" s="54"/>
      <c r="F3064" s="52" t="str">
        <f>IF(INDEX(I.CCUS.StartRange,992)="","",INDEX(I.CCUS.StartRange,992))</f>
        <v/>
      </c>
      <c r="G3064" s="54"/>
      <c r="H3064" s="52" t="str">
        <f>IF(AND(I.Compliance.FulfilledCCUS&gt;0,I.CCUS.RangeCount&gt;=992,F3064=""),"Incomplete","Complete")</f>
        <v>Complete</v>
      </c>
      <c r="I3064" s="55" t="s">
        <v>3261</v>
      </c>
    </row>
    <row r="3065" spans="2:9" ht="15" customHeight="1" x14ac:dyDescent="0.25">
      <c r="B3065" s="51" t="s">
        <v>126</v>
      </c>
      <c r="C3065" s="52">
        <v>993</v>
      </c>
      <c r="D3065" s="53" t="s">
        <v>4329</v>
      </c>
      <c r="E3065" s="54"/>
      <c r="F3065" s="52" t="str">
        <f>IF(INDEX(I.CCUS.StartRange,993)="","",INDEX(I.CCUS.StartRange,993))</f>
        <v/>
      </c>
      <c r="G3065" s="54"/>
      <c r="H3065" s="52" t="str">
        <f>IF(AND(I.Compliance.FulfilledCCUS&gt;0,I.CCUS.RangeCount&gt;=993,F3065=""),"Incomplete","Complete")</f>
        <v>Complete</v>
      </c>
      <c r="I3065" s="55" t="s">
        <v>3262</v>
      </c>
    </row>
    <row r="3066" spans="2:9" ht="15" customHeight="1" x14ac:dyDescent="0.25">
      <c r="B3066" s="51" t="s">
        <v>126</v>
      </c>
      <c r="C3066" s="52">
        <v>994</v>
      </c>
      <c r="D3066" s="53" t="s">
        <v>4329</v>
      </c>
      <c r="E3066" s="54"/>
      <c r="F3066" s="52" t="str">
        <f>IF(INDEX(I.CCUS.StartRange,994)="","",INDEX(I.CCUS.StartRange,994))</f>
        <v/>
      </c>
      <c r="G3066" s="54"/>
      <c r="H3066" s="52" t="str">
        <f>IF(AND(I.Compliance.FulfilledCCUS&gt;0,I.CCUS.RangeCount&gt;=994,F3066=""),"Incomplete","Complete")</f>
        <v>Complete</v>
      </c>
      <c r="I3066" s="55" t="s">
        <v>3263</v>
      </c>
    </row>
    <row r="3067" spans="2:9" ht="15" customHeight="1" x14ac:dyDescent="0.25">
      <c r="B3067" s="51" t="s">
        <v>126</v>
      </c>
      <c r="C3067" s="52">
        <v>995</v>
      </c>
      <c r="D3067" s="53" t="s">
        <v>4329</v>
      </c>
      <c r="E3067" s="54"/>
      <c r="F3067" s="52" t="str">
        <f>IF(INDEX(I.CCUS.StartRange,995)="","",INDEX(I.CCUS.StartRange,995))</f>
        <v/>
      </c>
      <c r="G3067" s="54"/>
      <c r="H3067" s="52" t="str">
        <f>IF(AND(I.Compliance.FulfilledCCUS&gt;0,I.CCUS.RangeCount&gt;=995,F3067=""),"Incomplete","Complete")</f>
        <v>Complete</v>
      </c>
      <c r="I3067" s="55" t="s">
        <v>3264</v>
      </c>
    </row>
    <row r="3068" spans="2:9" ht="15" customHeight="1" x14ac:dyDescent="0.25">
      <c r="B3068" s="51" t="s">
        <v>126</v>
      </c>
      <c r="C3068" s="52">
        <v>996</v>
      </c>
      <c r="D3068" s="53" t="s">
        <v>4329</v>
      </c>
      <c r="E3068" s="54"/>
      <c r="F3068" s="52" t="str">
        <f>IF(INDEX(I.CCUS.StartRange,996)="","",INDEX(I.CCUS.StartRange,996))</f>
        <v/>
      </c>
      <c r="G3068" s="54"/>
      <c r="H3068" s="52" t="str">
        <f>IF(AND(I.Compliance.FulfilledCCUS&gt;0,I.CCUS.RangeCount&gt;=996,F3068=""),"Incomplete","Complete")</f>
        <v>Complete</v>
      </c>
      <c r="I3068" s="55" t="s">
        <v>3265</v>
      </c>
    </row>
    <row r="3069" spans="2:9" ht="15" customHeight="1" x14ac:dyDescent="0.25">
      <c r="B3069" s="51" t="s">
        <v>126</v>
      </c>
      <c r="C3069" s="52">
        <v>997</v>
      </c>
      <c r="D3069" s="53" t="s">
        <v>4329</v>
      </c>
      <c r="E3069" s="54"/>
      <c r="F3069" s="52" t="str">
        <f>IF(INDEX(I.CCUS.StartRange,997)="","",INDEX(I.CCUS.StartRange,997))</f>
        <v/>
      </c>
      <c r="G3069" s="54"/>
      <c r="H3069" s="52" t="str">
        <f>IF(AND(I.Compliance.FulfilledCCUS&gt;0,I.CCUS.RangeCount&gt;=997,F3069=""),"Incomplete","Complete")</f>
        <v>Complete</v>
      </c>
      <c r="I3069" s="55" t="s">
        <v>3266</v>
      </c>
    </row>
    <row r="3070" spans="2:9" ht="15" customHeight="1" x14ac:dyDescent="0.25">
      <c r="B3070" s="51" t="s">
        <v>126</v>
      </c>
      <c r="C3070" s="52">
        <v>998</v>
      </c>
      <c r="D3070" s="53" t="s">
        <v>4329</v>
      </c>
      <c r="E3070" s="54"/>
      <c r="F3070" s="52" t="str">
        <f>IF(INDEX(I.CCUS.StartRange,998)="","",INDEX(I.CCUS.StartRange,998))</f>
        <v/>
      </c>
      <c r="G3070" s="54"/>
      <c r="H3070" s="52" t="str">
        <f>IF(AND(I.Compliance.FulfilledCCUS&gt;0,I.CCUS.RangeCount&gt;=998,F3070=""),"Incomplete","Complete")</f>
        <v>Complete</v>
      </c>
      <c r="I3070" s="55" t="s">
        <v>3267</v>
      </c>
    </row>
    <row r="3071" spans="2:9" ht="15" customHeight="1" x14ac:dyDescent="0.25">
      <c r="B3071" s="51" t="s">
        <v>126</v>
      </c>
      <c r="C3071" s="52">
        <v>999</v>
      </c>
      <c r="D3071" s="53" t="s">
        <v>4329</v>
      </c>
      <c r="E3071" s="54"/>
      <c r="F3071" s="52" t="str">
        <f>IF(INDEX(I.CCUS.StartRange,999)="","",INDEX(I.CCUS.StartRange,999))</f>
        <v/>
      </c>
      <c r="G3071" s="54"/>
      <c r="H3071" s="52" t="str">
        <f>IF(AND(I.Compliance.FulfilledCCUS&gt;0,I.CCUS.RangeCount&gt;=999,F3071=""),"Incomplete","Complete")</f>
        <v>Complete</v>
      </c>
      <c r="I3071" s="55" t="s">
        <v>3268</v>
      </c>
    </row>
    <row r="3072" spans="2:9" ht="15" customHeight="1" x14ac:dyDescent="0.25">
      <c r="B3072" s="67" t="s">
        <v>126</v>
      </c>
      <c r="C3072" s="68">
        <v>1000</v>
      </c>
      <c r="D3072" s="69" t="s">
        <v>4329</v>
      </c>
      <c r="E3072" s="70"/>
      <c r="F3072" s="68" t="str">
        <f>IF(INDEX(I.CCUS.StartRange,1000)="","",INDEX(I.CCUS.StartRange,1000))</f>
        <v/>
      </c>
      <c r="G3072" s="70"/>
      <c r="H3072" s="68" t="str">
        <f>IF(AND(I.Compliance.FulfilledCCUS&gt;0,I.CCUS.RangeCount&gt;=1000,F3072=""),"Incomplete","Complete")</f>
        <v>Complete</v>
      </c>
      <c r="I3072" s="71" t="s">
        <v>3269</v>
      </c>
    </row>
    <row r="3073" spans="2:9" ht="15" customHeight="1" x14ac:dyDescent="0.25">
      <c r="B3073" s="72" t="s">
        <v>127</v>
      </c>
      <c r="C3073" s="73">
        <v>1</v>
      </c>
      <c r="D3073" s="74" t="s">
        <v>4330</v>
      </c>
      <c r="E3073" s="76"/>
      <c r="F3073" s="73" t="str">
        <f>IF(INDEX(I.CCUS.EndRange,1)="","",INDEX(I.CCUS.EndRange,1))</f>
        <v/>
      </c>
      <c r="G3073" s="76"/>
      <c r="H3073" s="73" t="str">
        <f>IF(AND(I.Compliance.FulfilledCCUS&gt;0,I.CCUS.RangeCount&gt;=1,F3073=""),"Incomplete","Complete")</f>
        <v>Complete</v>
      </c>
      <c r="I3073" s="75" t="s">
        <v>3270</v>
      </c>
    </row>
    <row r="3074" spans="2:9" ht="15" customHeight="1" x14ac:dyDescent="0.25">
      <c r="B3074" s="51" t="s">
        <v>127</v>
      </c>
      <c r="C3074" s="52">
        <v>2</v>
      </c>
      <c r="D3074" s="53" t="s">
        <v>4330</v>
      </c>
      <c r="E3074" s="54"/>
      <c r="F3074" s="52" t="str">
        <f>IF(INDEX(I.CCUS.EndRange,2)="","",INDEX(I.CCUS.EndRange,2))</f>
        <v/>
      </c>
      <c r="G3074" s="54"/>
      <c r="H3074" s="52" t="str">
        <f>IF(AND(I.Compliance.FulfilledCCUS&gt;0,I.CCUS.RangeCount&gt;=2,F3074=""),"Incomplete","Complete")</f>
        <v>Complete</v>
      </c>
      <c r="I3074" s="55" t="s">
        <v>3271</v>
      </c>
    </row>
    <row r="3075" spans="2:9" ht="15" customHeight="1" x14ac:dyDescent="0.25">
      <c r="B3075" s="51" t="s">
        <v>127</v>
      </c>
      <c r="C3075" s="52">
        <v>3</v>
      </c>
      <c r="D3075" s="53" t="s">
        <v>4330</v>
      </c>
      <c r="E3075" s="54"/>
      <c r="F3075" s="52" t="str">
        <f>IF(INDEX(I.CCUS.EndRange,3)="","",INDEX(I.CCUS.EndRange,3))</f>
        <v/>
      </c>
      <c r="G3075" s="54"/>
      <c r="H3075" s="52" t="str">
        <f>IF(AND(I.Compliance.FulfilledCCUS&gt;0,I.CCUS.RangeCount&gt;=3,F3075=""),"Incomplete","Complete")</f>
        <v>Complete</v>
      </c>
      <c r="I3075" s="55" t="s">
        <v>3272</v>
      </c>
    </row>
    <row r="3076" spans="2:9" ht="15" customHeight="1" x14ac:dyDescent="0.25">
      <c r="B3076" s="51" t="s">
        <v>127</v>
      </c>
      <c r="C3076" s="52">
        <v>4</v>
      </c>
      <c r="D3076" s="53" t="s">
        <v>4330</v>
      </c>
      <c r="E3076" s="54"/>
      <c r="F3076" s="52" t="str">
        <f>IF(INDEX(I.CCUS.EndRange,4)="","",INDEX(I.CCUS.EndRange,4))</f>
        <v/>
      </c>
      <c r="G3076" s="54"/>
      <c r="H3076" s="52" t="str">
        <f>IF(AND(I.Compliance.FulfilledCCUS&gt;0,I.CCUS.RangeCount&gt;=4,F3076=""),"Incomplete","Complete")</f>
        <v>Complete</v>
      </c>
      <c r="I3076" s="55" t="s">
        <v>3273</v>
      </c>
    </row>
    <row r="3077" spans="2:9" ht="15" customHeight="1" x14ac:dyDescent="0.25">
      <c r="B3077" s="51" t="s">
        <v>127</v>
      </c>
      <c r="C3077" s="52">
        <v>5</v>
      </c>
      <c r="D3077" s="53" t="s">
        <v>4330</v>
      </c>
      <c r="E3077" s="54"/>
      <c r="F3077" s="52" t="str">
        <f>IF(INDEX(I.CCUS.EndRange,5)="","",INDEX(I.CCUS.EndRange,5))</f>
        <v/>
      </c>
      <c r="G3077" s="54"/>
      <c r="H3077" s="52" t="str">
        <f>IF(AND(I.Compliance.FulfilledCCUS&gt;0,I.CCUS.RangeCount&gt;=5,F3077=""),"Incomplete","Complete")</f>
        <v>Complete</v>
      </c>
      <c r="I3077" s="55" t="s">
        <v>3274</v>
      </c>
    </row>
    <row r="3078" spans="2:9" ht="15" customHeight="1" x14ac:dyDescent="0.25">
      <c r="B3078" s="51" t="s">
        <v>127</v>
      </c>
      <c r="C3078" s="52">
        <v>6</v>
      </c>
      <c r="D3078" s="53" t="s">
        <v>4330</v>
      </c>
      <c r="E3078" s="54"/>
      <c r="F3078" s="52" t="str">
        <f>IF(INDEX(I.CCUS.EndRange,6)="","",INDEX(I.CCUS.EndRange,6))</f>
        <v/>
      </c>
      <c r="G3078" s="54"/>
      <c r="H3078" s="52" t="str">
        <f>IF(AND(I.Compliance.FulfilledCCUS&gt;0,I.CCUS.RangeCount&gt;=6,F3078=""),"Incomplete","Complete")</f>
        <v>Complete</v>
      </c>
      <c r="I3078" s="55" t="s">
        <v>3275</v>
      </c>
    </row>
    <row r="3079" spans="2:9" ht="15" customHeight="1" x14ac:dyDescent="0.25">
      <c r="B3079" s="51" t="s">
        <v>127</v>
      </c>
      <c r="C3079" s="52">
        <v>7</v>
      </c>
      <c r="D3079" s="53" t="s">
        <v>4330</v>
      </c>
      <c r="E3079" s="54"/>
      <c r="F3079" s="52" t="str">
        <f>IF(INDEX(I.CCUS.EndRange,7)="","",INDEX(I.CCUS.EndRange,7))</f>
        <v/>
      </c>
      <c r="G3079" s="54"/>
      <c r="H3079" s="52" t="str">
        <f>IF(AND(I.Compliance.FulfilledCCUS&gt;0,I.CCUS.RangeCount&gt;=7,F3079=""),"Incomplete","Complete")</f>
        <v>Complete</v>
      </c>
      <c r="I3079" s="55" t="s">
        <v>3276</v>
      </c>
    </row>
    <row r="3080" spans="2:9" ht="15" customHeight="1" x14ac:dyDescent="0.25">
      <c r="B3080" s="51" t="s">
        <v>127</v>
      </c>
      <c r="C3080" s="52">
        <v>8</v>
      </c>
      <c r="D3080" s="53" t="s">
        <v>4330</v>
      </c>
      <c r="E3080" s="54"/>
      <c r="F3080" s="52" t="str">
        <f>IF(INDEX(I.CCUS.EndRange,8)="","",INDEX(I.CCUS.EndRange,8))</f>
        <v/>
      </c>
      <c r="G3080" s="54"/>
      <c r="H3080" s="52" t="str">
        <f>IF(AND(I.Compliance.FulfilledCCUS&gt;0,I.CCUS.RangeCount&gt;=8,F3080=""),"Incomplete","Complete")</f>
        <v>Complete</v>
      </c>
      <c r="I3080" s="55" t="s">
        <v>3277</v>
      </c>
    </row>
    <row r="3081" spans="2:9" ht="15" customHeight="1" x14ac:dyDescent="0.25">
      <c r="B3081" s="51" t="s">
        <v>127</v>
      </c>
      <c r="C3081" s="52">
        <v>9</v>
      </c>
      <c r="D3081" s="53" t="s">
        <v>4330</v>
      </c>
      <c r="E3081" s="54"/>
      <c r="F3081" s="52" t="str">
        <f>IF(INDEX(I.CCUS.EndRange,9)="","",INDEX(I.CCUS.EndRange,9))</f>
        <v/>
      </c>
      <c r="G3081" s="54"/>
      <c r="H3081" s="52" t="str">
        <f>IF(AND(I.Compliance.FulfilledCCUS&gt;0,I.CCUS.RangeCount&gt;=9,F3081=""),"Incomplete","Complete")</f>
        <v>Complete</v>
      </c>
      <c r="I3081" s="55" t="s">
        <v>3278</v>
      </c>
    </row>
    <row r="3082" spans="2:9" ht="15" customHeight="1" x14ac:dyDescent="0.25">
      <c r="B3082" s="51" t="s">
        <v>127</v>
      </c>
      <c r="C3082" s="52">
        <v>10</v>
      </c>
      <c r="D3082" s="53" t="s">
        <v>4330</v>
      </c>
      <c r="E3082" s="54"/>
      <c r="F3082" s="52" t="str">
        <f>IF(INDEX(I.CCUS.EndRange,10)="","",INDEX(I.CCUS.EndRange,10))</f>
        <v/>
      </c>
      <c r="G3082" s="54"/>
      <c r="H3082" s="52" t="str">
        <f>IF(AND(I.Compliance.FulfilledCCUS&gt;0,I.CCUS.RangeCount&gt;=10,F3082=""),"Incomplete","Complete")</f>
        <v>Complete</v>
      </c>
      <c r="I3082" s="55" t="s">
        <v>3279</v>
      </c>
    </row>
    <row r="3083" spans="2:9" ht="15" customHeight="1" x14ac:dyDescent="0.25">
      <c r="B3083" s="36" t="s">
        <v>127</v>
      </c>
      <c r="C3083" s="24">
        <v>11</v>
      </c>
      <c r="D3083" s="37" t="s">
        <v>4330</v>
      </c>
      <c r="E3083" s="47"/>
      <c r="F3083" s="24" t="str">
        <f>IF(INDEX(I.CCUS.EndRange,11)="","",INDEX(I.CCUS.EndRange,11))</f>
        <v/>
      </c>
      <c r="G3083" s="47"/>
      <c r="H3083" s="24" t="str">
        <f>IF(AND(I.Compliance.FulfilledCCUS&gt;0,I.CCUS.RangeCount&gt;=11,F3083=""),"Incomplete","Complete")</f>
        <v>Complete</v>
      </c>
      <c r="I3083" s="39" t="s">
        <v>3280</v>
      </c>
    </row>
    <row r="3084" spans="2:9" ht="15" customHeight="1" x14ac:dyDescent="0.25">
      <c r="B3084" s="51" t="s">
        <v>127</v>
      </c>
      <c r="C3084" s="52">
        <v>12</v>
      </c>
      <c r="D3084" s="53" t="s">
        <v>4330</v>
      </c>
      <c r="E3084" s="54"/>
      <c r="F3084" s="52" t="str">
        <f>IF(INDEX(I.CCUS.EndRange,12)="","",INDEX(I.CCUS.EndRange,12))</f>
        <v/>
      </c>
      <c r="G3084" s="54"/>
      <c r="H3084" s="52" t="str">
        <f>IF(AND(I.Compliance.FulfilledCCUS&gt;0,I.CCUS.RangeCount&gt;=12,F3084=""),"Incomplete","Complete")</f>
        <v>Complete</v>
      </c>
      <c r="I3084" s="55" t="s">
        <v>3281</v>
      </c>
    </row>
    <row r="3085" spans="2:9" ht="15" customHeight="1" x14ac:dyDescent="0.25">
      <c r="B3085" s="36" t="s">
        <v>127</v>
      </c>
      <c r="C3085" s="24">
        <v>13</v>
      </c>
      <c r="D3085" s="37" t="s">
        <v>4330</v>
      </c>
      <c r="E3085" s="47"/>
      <c r="F3085" s="24" t="str">
        <f>IF(INDEX(I.CCUS.EndRange,13)="","",INDEX(I.CCUS.EndRange,13))</f>
        <v/>
      </c>
      <c r="G3085" s="47"/>
      <c r="H3085" s="24" t="str">
        <f>IF(AND(I.Compliance.FulfilledCCUS&gt;0,I.CCUS.RangeCount&gt;=13,F3085=""),"Incomplete","Complete")</f>
        <v>Complete</v>
      </c>
      <c r="I3085" s="39" t="s">
        <v>3282</v>
      </c>
    </row>
    <row r="3086" spans="2:9" ht="15" customHeight="1" x14ac:dyDescent="0.25">
      <c r="B3086" s="51" t="s">
        <v>127</v>
      </c>
      <c r="C3086" s="52">
        <v>14</v>
      </c>
      <c r="D3086" s="53" t="s">
        <v>4330</v>
      </c>
      <c r="E3086" s="54"/>
      <c r="F3086" s="52" t="str">
        <f>IF(INDEX(I.CCUS.EndRange,14)="","",INDEX(I.CCUS.EndRange,14))</f>
        <v/>
      </c>
      <c r="G3086" s="54"/>
      <c r="H3086" s="52" t="str">
        <f>IF(AND(I.Compliance.FulfilledCCUS&gt;0,I.CCUS.RangeCount&gt;=14,F3086=""),"Incomplete","Complete")</f>
        <v>Complete</v>
      </c>
      <c r="I3086" s="55" t="s">
        <v>3283</v>
      </c>
    </row>
    <row r="3087" spans="2:9" ht="15" customHeight="1" x14ac:dyDescent="0.25">
      <c r="B3087" s="51" t="s">
        <v>127</v>
      </c>
      <c r="C3087" s="52">
        <v>15</v>
      </c>
      <c r="D3087" s="53" t="s">
        <v>4330</v>
      </c>
      <c r="E3087" s="54"/>
      <c r="F3087" s="52" t="str">
        <f>IF(INDEX(I.CCUS.EndRange,15)="","",INDEX(I.CCUS.EndRange,15))</f>
        <v/>
      </c>
      <c r="G3087" s="54"/>
      <c r="H3087" s="52" t="str">
        <f>IF(AND(I.Compliance.FulfilledCCUS&gt;0,I.CCUS.RangeCount&gt;=15,F3087=""),"Incomplete","Complete")</f>
        <v>Complete</v>
      </c>
      <c r="I3087" s="55" t="s">
        <v>3284</v>
      </c>
    </row>
    <row r="3088" spans="2:9" ht="15" customHeight="1" x14ac:dyDescent="0.25">
      <c r="B3088" s="51" t="s">
        <v>127</v>
      </c>
      <c r="C3088" s="52">
        <v>16</v>
      </c>
      <c r="D3088" s="53" t="s">
        <v>4330</v>
      </c>
      <c r="E3088" s="54"/>
      <c r="F3088" s="52" t="str">
        <f>IF(INDEX(I.CCUS.EndRange,16)="","",INDEX(I.CCUS.EndRange,16))</f>
        <v/>
      </c>
      <c r="G3088" s="54"/>
      <c r="H3088" s="52" t="str">
        <f>IF(AND(I.Compliance.FulfilledCCUS&gt;0,I.CCUS.RangeCount&gt;=16,F3088=""),"Incomplete","Complete")</f>
        <v>Complete</v>
      </c>
      <c r="I3088" s="55" t="s">
        <v>3285</v>
      </c>
    </row>
    <row r="3089" spans="2:9" ht="15" customHeight="1" x14ac:dyDescent="0.25">
      <c r="B3089" s="51" t="s">
        <v>127</v>
      </c>
      <c r="C3089" s="52">
        <v>17</v>
      </c>
      <c r="D3089" s="53" t="s">
        <v>4330</v>
      </c>
      <c r="E3089" s="54"/>
      <c r="F3089" s="52" t="str">
        <f>IF(INDEX(I.CCUS.EndRange,17)="","",INDEX(I.CCUS.EndRange,17))</f>
        <v/>
      </c>
      <c r="G3089" s="54"/>
      <c r="H3089" s="52" t="str">
        <f>IF(AND(I.Compliance.FulfilledCCUS&gt;0,I.CCUS.RangeCount&gt;=17,F3089=""),"Incomplete","Complete")</f>
        <v>Complete</v>
      </c>
      <c r="I3089" s="55" t="s">
        <v>3286</v>
      </c>
    </row>
    <row r="3090" spans="2:9" ht="15" customHeight="1" x14ac:dyDescent="0.25">
      <c r="B3090" s="51" t="s">
        <v>127</v>
      </c>
      <c r="C3090" s="52">
        <v>18</v>
      </c>
      <c r="D3090" s="53" t="s">
        <v>4330</v>
      </c>
      <c r="E3090" s="54"/>
      <c r="F3090" s="52" t="str">
        <f>IF(INDEX(I.CCUS.EndRange,18)="","",INDEX(I.CCUS.EndRange,18))</f>
        <v/>
      </c>
      <c r="G3090" s="54"/>
      <c r="H3090" s="52" t="str">
        <f>IF(AND(I.Compliance.FulfilledCCUS&gt;0,I.CCUS.RangeCount&gt;=18,F3090=""),"Incomplete","Complete")</f>
        <v>Complete</v>
      </c>
      <c r="I3090" s="55" t="s">
        <v>3287</v>
      </c>
    </row>
    <row r="3091" spans="2:9" ht="15" customHeight="1" x14ac:dyDescent="0.25">
      <c r="B3091" s="51" t="s">
        <v>127</v>
      </c>
      <c r="C3091" s="52">
        <v>19</v>
      </c>
      <c r="D3091" s="53" t="s">
        <v>4330</v>
      </c>
      <c r="E3091" s="54"/>
      <c r="F3091" s="52" t="str">
        <f>IF(INDEX(I.CCUS.EndRange,19)="","",INDEX(I.CCUS.EndRange,19))</f>
        <v/>
      </c>
      <c r="G3091" s="54"/>
      <c r="H3091" s="52" t="str">
        <f>IF(AND(I.Compliance.FulfilledCCUS&gt;0,I.CCUS.RangeCount&gt;=19,F3091=""),"Incomplete","Complete")</f>
        <v>Complete</v>
      </c>
      <c r="I3091" s="55" t="s">
        <v>3288</v>
      </c>
    </row>
    <row r="3092" spans="2:9" ht="15" customHeight="1" x14ac:dyDescent="0.25">
      <c r="B3092" s="51" t="s">
        <v>127</v>
      </c>
      <c r="C3092" s="52">
        <v>20</v>
      </c>
      <c r="D3092" s="53" t="s">
        <v>4330</v>
      </c>
      <c r="E3092" s="54"/>
      <c r="F3092" s="52" t="str">
        <f>IF(INDEX(I.CCUS.EndRange,20)="","",INDEX(I.CCUS.EndRange,20))</f>
        <v/>
      </c>
      <c r="G3092" s="54"/>
      <c r="H3092" s="52" t="str">
        <f>IF(AND(I.Compliance.FulfilledCCUS&gt;0,I.CCUS.RangeCount&gt;=20,F3092=""),"Incomplete","Complete")</f>
        <v>Complete</v>
      </c>
      <c r="I3092" s="55" t="s">
        <v>3289</v>
      </c>
    </row>
    <row r="3093" spans="2:9" ht="15" customHeight="1" x14ac:dyDescent="0.25">
      <c r="B3093" s="51" t="s">
        <v>127</v>
      </c>
      <c r="C3093" s="52">
        <v>21</v>
      </c>
      <c r="D3093" s="53" t="s">
        <v>4330</v>
      </c>
      <c r="E3093" s="54"/>
      <c r="F3093" s="52" t="str">
        <f>IF(INDEX(I.CCUS.EndRange,21)="","",INDEX(I.CCUS.EndRange,21))</f>
        <v/>
      </c>
      <c r="G3093" s="54"/>
      <c r="H3093" s="52" t="str">
        <f>IF(AND(I.Compliance.FulfilledCCUS&gt;0,I.CCUS.RangeCount&gt;=21,F3093=""),"Incomplete","Complete")</f>
        <v>Complete</v>
      </c>
      <c r="I3093" s="55" t="s">
        <v>3290</v>
      </c>
    </row>
    <row r="3094" spans="2:9" ht="15" customHeight="1" x14ac:dyDescent="0.25">
      <c r="B3094" s="51" t="s">
        <v>127</v>
      </c>
      <c r="C3094" s="52">
        <v>22</v>
      </c>
      <c r="D3094" s="53" t="s">
        <v>4330</v>
      </c>
      <c r="E3094" s="54"/>
      <c r="F3094" s="52" t="str">
        <f>IF(INDEX(I.CCUS.EndRange,22)="","",INDEX(I.CCUS.EndRange,22))</f>
        <v/>
      </c>
      <c r="G3094" s="54"/>
      <c r="H3094" s="52" t="str">
        <f>IF(AND(I.Compliance.FulfilledCCUS&gt;0,I.CCUS.RangeCount&gt;=22,F3094=""),"Incomplete","Complete")</f>
        <v>Complete</v>
      </c>
      <c r="I3094" s="55" t="s">
        <v>3291</v>
      </c>
    </row>
    <row r="3095" spans="2:9" ht="15" customHeight="1" x14ac:dyDescent="0.25">
      <c r="B3095" s="51" t="s">
        <v>127</v>
      </c>
      <c r="C3095" s="52">
        <v>23</v>
      </c>
      <c r="D3095" s="53" t="s">
        <v>4330</v>
      </c>
      <c r="E3095" s="54"/>
      <c r="F3095" s="52" t="str">
        <f>IF(INDEX(I.CCUS.EndRange,23)="","",INDEX(I.CCUS.EndRange,23))</f>
        <v/>
      </c>
      <c r="G3095" s="54"/>
      <c r="H3095" s="52" t="str">
        <f>IF(AND(I.Compliance.FulfilledCCUS&gt;0,I.CCUS.RangeCount&gt;=23,F3095=""),"Incomplete","Complete")</f>
        <v>Complete</v>
      </c>
      <c r="I3095" s="55" t="s">
        <v>3292</v>
      </c>
    </row>
    <row r="3096" spans="2:9" ht="15" customHeight="1" x14ac:dyDescent="0.25">
      <c r="B3096" s="51" t="s">
        <v>127</v>
      </c>
      <c r="C3096" s="52">
        <v>24</v>
      </c>
      <c r="D3096" s="53" t="s">
        <v>4330</v>
      </c>
      <c r="E3096" s="54"/>
      <c r="F3096" s="52" t="str">
        <f>IF(INDEX(I.CCUS.EndRange,24)="","",INDEX(I.CCUS.EndRange,24))</f>
        <v/>
      </c>
      <c r="G3096" s="54"/>
      <c r="H3096" s="52" t="str">
        <f>IF(AND(I.Compliance.FulfilledCCUS&gt;0,I.CCUS.RangeCount&gt;=24,F3096=""),"Incomplete","Complete")</f>
        <v>Complete</v>
      </c>
      <c r="I3096" s="55" t="s">
        <v>3293</v>
      </c>
    </row>
    <row r="3097" spans="2:9" ht="15" customHeight="1" x14ac:dyDescent="0.25">
      <c r="B3097" s="51" t="s">
        <v>127</v>
      </c>
      <c r="C3097" s="52">
        <v>25</v>
      </c>
      <c r="D3097" s="53" t="s">
        <v>4330</v>
      </c>
      <c r="E3097" s="54"/>
      <c r="F3097" s="52" t="str">
        <f>IF(INDEX(I.CCUS.EndRange,25)="","",INDEX(I.CCUS.EndRange,25))</f>
        <v/>
      </c>
      <c r="G3097" s="54"/>
      <c r="H3097" s="52" t="str">
        <f>IF(AND(I.Compliance.FulfilledCCUS&gt;0,I.CCUS.RangeCount&gt;=25,F3097=""),"Incomplete","Complete")</f>
        <v>Complete</v>
      </c>
      <c r="I3097" s="55" t="s">
        <v>3294</v>
      </c>
    </row>
    <row r="3098" spans="2:9" ht="15" customHeight="1" x14ac:dyDescent="0.25">
      <c r="B3098" s="51" t="s">
        <v>127</v>
      </c>
      <c r="C3098" s="52">
        <v>26</v>
      </c>
      <c r="D3098" s="53" t="s">
        <v>4330</v>
      </c>
      <c r="E3098" s="54"/>
      <c r="F3098" s="52" t="str">
        <f>IF(INDEX(I.CCUS.EndRange,26)="","",INDEX(I.CCUS.EndRange,26))</f>
        <v/>
      </c>
      <c r="G3098" s="54"/>
      <c r="H3098" s="52" t="str">
        <f>IF(AND(I.Compliance.FulfilledCCUS&gt;0,I.CCUS.RangeCount&gt;=26,F3098=""),"Incomplete","Complete")</f>
        <v>Complete</v>
      </c>
      <c r="I3098" s="55" t="s">
        <v>3295</v>
      </c>
    </row>
    <row r="3099" spans="2:9" ht="15" customHeight="1" x14ac:dyDescent="0.25">
      <c r="B3099" s="51" t="s">
        <v>127</v>
      </c>
      <c r="C3099" s="52">
        <v>27</v>
      </c>
      <c r="D3099" s="53" t="s">
        <v>4330</v>
      </c>
      <c r="E3099" s="54"/>
      <c r="F3099" s="52" t="str">
        <f>IF(INDEX(I.CCUS.EndRange,27)="","",INDEX(I.CCUS.EndRange,27))</f>
        <v/>
      </c>
      <c r="G3099" s="54"/>
      <c r="H3099" s="52" t="str">
        <f>IF(AND(I.Compliance.FulfilledCCUS&gt;0,I.CCUS.RangeCount&gt;=27,F3099=""),"Incomplete","Complete")</f>
        <v>Complete</v>
      </c>
      <c r="I3099" s="55" t="s">
        <v>3296</v>
      </c>
    </row>
    <row r="3100" spans="2:9" ht="15" customHeight="1" x14ac:dyDescent="0.25">
      <c r="B3100" s="51" t="s">
        <v>127</v>
      </c>
      <c r="C3100" s="52">
        <v>28</v>
      </c>
      <c r="D3100" s="53" t="s">
        <v>4330</v>
      </c>
      <c r="E3100" s="54"/>
      <c r="F3100" s="52" t="str">
        <f>IF(INDEX(I.CCUS.EndRange,28)="","",INDEX(I.CCUS.EndRange,28))</f>
        <v/>
      </c>
      <c r="G3100" s="54"/>
      <c r="H3100" s="52" t="str">
        <f>IF(AND(I.Compliance.FulfilledCCUS&gt;0,I.CCUS.RangeCount&gt;=28,F3100=""),"Incomplete","Complete")</f>
        <v>Complete</v>
      </c>
      <c r="I3100" s="55" t="s">
        <v>3297</v>
      </c>
    </row>
    <row r="3101" spans="2:9" ht="15" customHeight="1" x14ac:dyDescent="0.25">
      <c r="B3101" s="51" t="s">
        <v>127</v>
      </c>
      <c r="C3101" s="52">
        <v>29</v>
      </c>
      <c r="D3101" s="53" t="s">
        <v>4330</v>
      </c>
      <c r="E3101" s="54"/>
      <c r="F3101" s="52" t="str">
        <f>IF(INDEX(I.CCUS.EndRange,29)="","",INDEX(I.CCUS.EndRange,29))</f>
        <v/>
      </c>
      <c r="G3101" s="54"/>
      <c r="H3101" s="52" t="str">
        <f>IF(AND(I.Compliance.FulfilledCCUS&gt;0,I.CCUS.RangeCount&gt;=29,F3101=""),"Incomplete","Complete")</f>
        <v>Complete</v>
      </c>
      <c r="I3101" s="55" t="s">
        <v>3298</v>
      </c>
    </row>
    <row r="3102" spans="2:9" ht="15" customHeight="1" x14ac:dyDescent="0.25">
      <c r="B3102" s="51" t="s">
        <v>127</v>
      </c>
      <c r="C3102" s="52">
        <v>30</v>
      </c>
      <c r="D3102" s="53" t="s">
        <v>4330</v>
      </c>
      <c r="E3102" s="54"/>
      <c r="F3102" s="52" t="str">
        <f>IF(INDEX(I.CCUS.EndRange,30)="","",INDEX(I.CCUS.EndRange,30))</f>
        <v/>
      </c>
      <c r="G3102" s="54"/>
      <c r="H3102" s="52" t="str">
        <f>IF(AND(I.Compliance.FulfilledCCUS&gt;0,I.CCUS.RangeCount&gt;=30,F3102=""),"Incomplete","Complete")</f>
        <v>Complete</v>
      </c>
      <c r="I3102" s="55" t="s">
        <v>3299</v>
      </c>
    </row>
    <row r="3103" spans="2:9" ht="15" customHeight="1" x14ac:dyDescent="0.25">
      <c r="B3103" s="51" t="s">
        <v>127</v>
      </c>
      <c r="C3103" s="52">
        <v>31</v>
      </c>
      <c r="D3103" s="53" t="s">
        <v>4330</v>
      </c>
      <c r="E3103" s="54"/>
      <c r="F3103" s="52" t="str">
        <f>IF(INDEX(I.CCUS.EndRange,31)="","",INDEX(I.CCUS.EndRange,31))</f>
        <v/>
      </c>
      <c r="G3103" s="54"/>
      <c r="H3103" s="52" t="str">
        <f>IF(AND(I.Compliance.FulfilledCCUS&gt;0,I.CCUS.RangeCount&gt;=31,F3103=""),"Incomplete","Complete")</f>
        <v>Complete</v>
      </c>
      <c r="I3103" s="55" t="s">
        <v>3300</v>
      </c>
    </row>
    <row r="3104" spans="2:9" ht="15" customHeight="1" x14ac:dyDescent="0.25">
      <c r="B3104" s="51" t="s">
        <v>127</v>
      </c>
      <c r="C3104" s="52">
        <v>32</v>
      </c>
      <c r="D3104" s="53" t="s">
        <v>4330</v>
      </c>
      <c r="E3104" s="54"/>
      <c r="F3104" s="52" t="str">
        <f>IF(INDEX(I.CCUS.EndRange,32)="","",INDEX(I.CCUS.EndRange,32))</f>
        <v/>
      </c>
      <c r="G3104" s="54"/>
      <c r="H3104" s="52" t="str">
        <f>IF(AND(I.Compliance.FulfilledCCUS&gt;0,I.CCUS.RangeCount&gt;=32,F3104=""),"Incomplete","Complete")</f>
        <v>Complete</v>
      </c>
      <c r="I3104" s="55" t="s">
        <v>3301</v>
      </c>
    </row>
    <row r="3105" spans="2:9" ht="15" customHeight="1" x14ac:dyDescent="0.25">
      <c r="B3105" s="51" t="s">
        <v>127</v>
      </c>
      <c r="C3105" s="52">
        <v>33</v>
      </c>
      <c r="D3105" s="53" t="s">
        <v>4330</v>
      </c>
      <c r="E3105" s="54"/>
      <c r="F3105" s="52" t="str">
        <f>IF(INDEX(I.CCUS.EndRange,33)="","",INDEX(I.CCUS.EndRange,33))</f>
        <v/>
      </c>
      <c r="G3105" s="54"/>
      <c r="H3105" s="52" t="str">
        <f>IF(AND(I.Compliance.FulfilledCCUS&gt;0,I.CCUS.RangeCount&gt;=33,F3105=""),"Incomplete","Complete")</f>
        <v>Complete</v>
      </c>
      <c r="I3105" s="55" t="s">
        <v>3302</v>
      </c>
    </row>
    <row r="3106" spans="2:9" ht="15" customHeight="1" x14ac:dyDescent="0.25">
      <c r="B3106" s="51" t="s">
        <v>127</v>
      </c>
      <c r="C3106" s="52">
        <v>34</v>
      </c>
      <c r="D3106" s="53" t="s">
        <v>4330</v>
      </c>
      <c r="E3106" s="54"/>
      <c r="F3106" s="52" t="str">
        <f>IF(INDEX(I.CCUS.EndRange,34)="","",INDEX(I.CCUS.EndRange,34))</f>
        <v/>
      </c>
      <c r="G3106" s="54"/>
      <c r="H3106" s="52" t="str">
        <f>IF(AND(I.Compliance.FulfilledCCUS&gt;0,I.CCUS.RangeCount&gt;=34,F3106=""),"Incomplete","Complete")</f>
        <v>Complete</v>
      </c>
      <c r="I3106" s="55" t="s">
        <v>3303</v>
      </c>
    </row>
    <row r="3107" spans="2:9" ht="15" customHeight="1" x14ac:dyDescent="0.25">
      <c r="B3107" s="51" t="s">
        <v>127</v>
      </c>
      <c r="C3107" s="52">
        <v>35</v>
      </c>
      <c r="D3107" s="53" t="s">
        <v>4330</v>
      </c>
      <c r="E3107" s="54"/>
      <c r="F3107" s="52" t="str">
        <f>IF(INDEX(I.CCUS.EndRange,35)="","",INDEX(I.CCUS.EndRange,35))</f>
        <v/>
      </c>
      <c r="G3107" s="54"/>
      <c r="H3107" s="52" t="str">
        <f>IF(AND(I.Compliance.FulfilledCCUS&gt;0,I.CCUS.RangeCount&gt;=35,F3107=""),"Incomplete","Complete")</f>
        <v>Complete</v>
      </c>
      <c r="I3107" s="55" t="s">
        <v>3304</v>
      </c>
    </row>
    <row r="3108" spans="2:9" ht="15" customHeight="1" x14ac:dyDescent="0.25">
      <c r="B3108" s="51" t="s">
        <v>127</v>
      </c>
      <c r="C3108" s="52">
        <v>36</v>
      </c>
      <c r="D3108" s="53" t="s">
        <v>4330</v>
      </c>
      <c r="E3108" s="54"/>
      <c r="F3108" s="52" t="str">
        <f>IF(INDEX(I.CCUS.EndRange,36)="","",INDEX(I.CCUS.EndRange,36))</f>
        <v/>
      </c>
      <c r="G3108" s="54"/>
      <c r="H3108" s="52" t="str">
        <f>IF(AND(I.Compliance.FulfilledCCUS&gt;0,I.CCUS.RangeCount&gt;=36,F3108=""),"Incomplete","Complete")</f>
        <v>Complete</v>
      </c>
      <c r="I3108" s="55" t="s">
        <v>3305</v>
      </c>
    </row>
    <row r="3109" spans="2:9" ht="15" customHeight="1" x14ac:dyDescent="0.25">
      <c r="B3109" s="51" t="s">
        <v>127</v>
      </c>
      <c r="C3109" s="52">
        <v>37</v>
      </c>
      <c r="D3109" s="53" t="s">
        <v>4330</v>
      </c>
      <c r="E3109" s="54"/>
      <c r="F3109" s="52" t="str">
        <f>IF(INDEX(I.CCUS.EndRange,37)="","",INDEX(I.CCUS.EndRange,37))</f>
        <v/>
      </c>
      <c r="G3109" s="54"/>
      <c r="H3109" s="52" t="str">
        <f>IF(AND(I.Compliance.FulfilledCCUS&gt;0,I.CCUS.RangeCount&gt;=37,F3109=""),"Incomplete","Complete")</f>
        <v>Complete</v>
      </c>
      <c r="I3109" s="55" t="s">
        <v>3306</v>
      </c>
    </row>
    <row r="3110" spans="2:9" ht="15" customHeight="1" x14ac:dyDescent="0.25">
      <c r="B3110" s="51" t="s">
        <v>127</v>
      </c>
      <c r="C3110" s="52">
        <v>38</v>
      </c>
      <c r="D3110" s="53" t="s">
        <v>4330</v>
      </c>
      <c r="E3110" s="54"/>
      <c r="F3110" s="52" t="str">
        <f>IF(INDEX(I.CCUS.EndRange,38)="","",INDEX(I.CCUS.EndRange,38))</f>
        <v/>
      </c>
      <c r="G3110" s="54"/>
      <c r="H3110" s="52" t="str">
        <f>IF(AND(I.Compliance.FulfilledCCUS&gt;0,I.CCUS.RangeCount&gt;=38,F3110=""),"Incomplete","Complete")</f>
        <v>Complete</v>
      </c>
      <c r="I3110" s="55" t="s">
        <v>3307</v>
      </c>
    </row>
    <row r="3111" spans="2:9" ht="15" customHeight="1" x14ac:dyDescent="0.25">
      <c r="B3111" s="51" t="s">
        <v>127</v>
      </c>
      <c r="C3111" s="52">
        <v>39</v>
      </c>
      <c r="D3111" s="53" t="s">
        <v>4330</v>
      </c>
      <c r="E3111" s="54"/>
      <c r="F3111" s="52" t="str">
        <f>IF(INDEX(I.CCUS.EndRange,39)="","",INDEX(I.CCUS.EndRange,39))</f>
        <v/>
      </c>
      <c r="G3111" s="54"/>
      <c r="H3111" s="52" t="str">
        <f>IF(AND(I.Compliance.FulfilledCCUS&gt;0,I.CCUS.RangeCount&gt;=39,F3111=""),"Incomplete","Complete")</f>
        <v>Complete</v>
      </c>
      <c r="I3111" s="55" t="s">
        <v>3308</v>
      </c>
    </row>
    <row r="3112" spans="2:9" ht="15" customHeight="1" x14ac:dyDescent="0.25">
      <c r="B3112" s="51" t="s">
        <v>127</v>
      </c>
      <c r="C3112" s="52">
        <v>40</v>
      </c>
      <c r="D3112" s="53" t="s">
        <v>4330</v>
      </c>
      <c r="E3112" s="54"/>
      <c r="F3112" s="52" t="str">
        <f>IF(INDEX(I.CCUS.EndRange,40)="","",INDEX(I.CCUS.EndRange,40))</f>
        <v/>
      </c>
      <c r="G3112" s="54"/>
      <c r="H3112" s="52" t="str">
        <f>IF(AND(I.Compliance.FulfilledCCUS&gt;0,I.CCUS.RangeCount&gt;=40,F3112=""),"Incomplete","Complete")</f>
        <v>Complete</v>
      </c>
      <c r="I3112" s="55" t="s">
        <v>3309</v>
      </c>
    </row>
    <row r="3113" spans="2:9" ht="15" customHeight="1" x14ac:dyDescent="0.25">
      <c r="B3113" s="51" t="s">
        <v>127</v>
      </c>
      <c r="C3113" s="52">
        <v>41</v>
      </c>
      <c r="D3113" s="53" t="s">
        <v>4330</v>
      </c>
      <c r="E3113" s="54"/>
      <c r="F3113" s="52" t="str">
        <f>IF(INDEX(I.CCUS.EndRange,41)="","",INDEX(I.CCUS.EndRange,41))</f>
        <v/>
      </c>
      <c r="G3113" s="54"/>
      <c r="H3113" s="52" t="str">
        <f>IF(AND(I.Compliance.FulfilledCCUS&gt;0,I.CCUS.RangeCount&gt;=41,F3113=""),"Incomplete","Complete")</f>
        <v>Complete</v>
      </c>
      <c r="I3113" s="55" t="s">
        <v>3310</v>
      </c>
    </row>
    <row r="3114" spans="2:9" ht="15" customHeight="1" x14ac:dyDescent="0.25">
      <c r="B3114" s="51" t="s">
        <v>127</v>
      </c>
      <c r="C3114" s="52">
        <v>42</v>
      </c>
      <c r="D3114" s="53" t="s">
        <v>4330</v>
      </c>
      <c r="E3114" s="54"/>
      <c r="F3114" s="52" t="str">
        <f>IF(INDEX(I.CCUS.EndRange,42)="","",INDEX(I.CCUS.EndRange,42))</f>
        <v/>
      </c>
      <c r="G3114" s="54"/>
      <c r="H3114" s="52" t="str">
        <f>IF(AND(I.Compliance.FulfilledCCUS&gt;0,I.CCUS.RangeCount&gt;=42,F3114=""),"Incomplete","Complete")</f>
        <v>Complete</v>
      </c>
      <c r="I3114" s="55" t="s">
        <v>3311</v>
      </c>
    </row>
    <row r="3115" spans="2:9" ht="15" customHeight="1" x14ac:dyDescent="0.25">
      <c r="B3115" s="51" t="s">
        <v>127</v>
      </c>
      <c r="C3115" s="52">
        <v>43</v>
      </c>
      <c r="D3115" s="53" t="s">
        <v>4330</v>
      </c>
      <c r="E3115" s="54"/>
      <c r="F3115" s="52" t="str">
        <f>IF(INDEX(I.CCUS.EndRange,43)="","",INDEX(I.CCUS.EndRange,43))</f>
        <v/>
      </c>
      <c r="G3115" s="54"/>
      <c r="H3115" s="52" t="str">
        <f>IF(AND(I.Compliance.FulfilledCCUS&gt;0,I.CCUS.RangeCount&gt;=43,F3115=""),"Incomplete","Complete")</f>
        <v>Complete</v>
      </c>
      <c r="I3115" s="55" t="s">
        <v>3312</v>
      </c>
    </row>
    <row r="3116" spans="2:9" ht="15" customHeight="1" x14ac:dyDescent="0.25">
      <c r="B3116" s="51" t="s">
        <v>127</v>
      </c>
      <c r="C3116" s="52">
        <v>44</v>
      </c>
      <c r="D3116" s="53" t="s">
        <v>4330</v>
      </c>
      <c r="E3116" s="54"/>
      <c r="F3116" s="52" t="str">
        <f>IF(INDEX(I.CCUS.EndRange,44)="","",INDEX(I.CCUS.EndRange,44))</f>
        <v/>
      </c>
      <c r="G3116" s="54"/>
      <c r="H3116" s="52" t="str">
        <f>IF(AND(I.Compliance.FulfilledCCUS&gt;0,I.CCUS.RangeCount&gt;=44,F3116=""),"Incomplete","Complete")</f>
        <v>Complete</v>
      </c>
      <c r="I3116" s="55" t="s">
        <v>3313</v>
      </c>
    </row>
    <row r="3117" spans="2:9" ht="15" customHeight="1" x14ac:dyDescent="0.25">
      <c r="B3117" s="51" t="s">
        <v>127</v>
      </c>
      <c r="C3117" s="52">
        <v>45</v>
      </c>
      <c r="D3117" s="53" t="s">
        <v>4330</v>
      </c>
      <c r="E3117" s="54"/>
      <c r="F3117" s="52" t="str">
        <f>IF(INDEX(I.CCUS.EndRange,45)="","",INDEX(I.CCUS.EndRange,45))</f>
        <v/>
      </c>
      <c r="G3117" s="54"/>
      <c r="H3117" s="52" t="str">
        <f>IF(AND(I.Compliance.FulfilledCCUS&gt;0,I.CCUS.RangeCount&gt;=45,F3117=""),"Incomplete","Complete")</f>
        <v>Complete</v>
      </c>
      <c r="I3117" s="55" t="s">
        <v>3314</v>
      </c>
    </row>
    <row r="3118" spans="2:9" ht="15" customHeight="1" x14ac:dyDescent="0.25">
      <c r="B3118" s="51" t="s">
        <v>127</v>
      </c>
      <c r="C3118" s="52">
        <v>46</v>
      </c>
      <c r="D3118" s="53" t="s">
        <v>4330</v>
      </c>
      <c r="E3118" s="54"/>
      <c r="F3118" s="52" t="str">
        <f>IF(INDEX(I.CCUS.EndRange,46)="","",INDEX(I.CCUS.EndRange,46))</f>
        <v/>
      </c>
      <c r="G3118" s="54"/>
      <c r="H3118" s="52" t="str">
        <f>IF(AND(I.Compliance.FulfilledCCUS&gt;0,I.CCUS.RangeCount&gt;=46,F3118=""),"Incomplete","Complete")</f>
        <v>Complete</v>
      </c>
      <c r="I3118" s="55" t="s">
        <v>3315</v>
      </c>
    </row>
    <row r="3119" spans="2:9" ht="15" customHeight="1" x14ac:dyDescent="0.25">
      <c r="B3119" s="51" t="s">
        <v>127</v>
      </c>
      <c r="C3119" s="52">
        <v>47</v>
      </c>
      <c r="D3119" s="53" t="s">
        <v>4330</v>
      </c>
      <c r="E3119" s="54"/>
      <c r="F3119" s="52" t="str">
        <f>IF(INDEX(I.CCUS.EndRange,47)="","",INDEX(I.CCUS.EndRange,47))</f>
        <v/>
      </c>
      <c r="G3119" s="54"/>
      <c r="H3119" s="52" t="str">
        <f>IF(AND(I.Compliance.FulfilledCCUS&gt;0,I.CCUS.RangeCount&gt;=47,F3119=""),"Incomplete","Complete")</f>
        <v>Complete</v>
      </c>
      <c r="I3119" s="55" t="s">
        <v>3316</v>
      </c>
    </row>
    <row r="3120" spans="2:9" ht="15" customHeight="1" x14ac:dyDescent="0.25">
      <c r="B3120" s="51" t="s">
        <v>127</v>
      </c>
      <c r="C3120" s="52">
        <v>48</v>
      </c>
      <c r="D3120" s="53" t="s">
        <v>4330</v>
      </c>
      <c r="E3120" s="54"/>
      <c r="F3120" s="52" t="str">
        <f>IF(INDEX(I.CCUS.EndRange,48)="","",INDEX(I.CCUS.EndRange,48))</f>
        <v/>
      </c>
      <c r="G3120" s="54"/>
      <c r="H3120" s="52" t="str">
        <f>IF(AND(I.Compliance.FulfilledCCUS&gt;0,I.CCUS.RangeCount&gt;=48,F3120=""),"Incomplete","Complete")</f>
        <v>Complete</v>
      </c>
      <c r="I3120" s="55" t="s">
        <v>3317</v>
      </c>
    </row>
    <row r="3121" spans="2:9" ht="15" customHeight="1" x14ac:dyDescent="0.25">
      <c r="B3121" s="51" t="s">
        <v>127</v>
      </c>
      <c r="C3121" s="52">
        <v>49</v>
      </c>
      <c r="D3121" s="53" t="s">
        <v>4330</v>
      </c>
      <c r="E3121" s="54"/>
      <c r="F3121" s="52" t="str">
        <f>IF(INDEX(I.CCUS.EndRange,49)="","",INDEX(I.CCUS.EndRange,49))</f>
        <v/>
      </c>
      <c r="G3121" s="54"/>
      <c r="H3121" s="52" t="str">
        <f>IF(AND(I.Compliance.FulfilledCCUS&gt;0,I.CCUS.RangeCount&gt;=49,F3121=""),"Incomplete","Complete")</f>
        <v>Complete</v>
      </c>
      <c r="I3121" s="55" t="s">
        <v>3318</v>
      </c>
    </row>
    <row r="3122" spans="2:9" ht="15" customHeight="1" x14ac:dyDescent="0.25">
      <c r="B3122" s="51" t="s">
        <v>127</v>
      </c>
      <c r="C3122" s="52">
        <v>50</v>
      </c>
      <c r="D3122" s="53" t="s">
        <v>4330</v>
      </c>
      <c r="E3122" s="54"/>
      <c r="F3122" s="52" t="str">
        <f>IF(INDEX(I.CCUS.EndRange,50)="","",INDEX(I.CCUS.EndRange,50))</f>
        <v/>
      </c>
      <c r="G3122" s="54"/>
      <c r="H3122" s="52" t="str">
        <f>IF(AND(I.Compliance.FulfilledCCUS&gt;0,I.CCUS.RangeCount&gt;=50,F3122=""),"Incomplete","Complete")</f>
        <v>Complete</v>
      </c>
      <c r="I3122" s="55" t="s">
        <v>3319</v>
      </c>
    </row>
    <row r="3123" spans="2:9" ht="15" customHeight="1" x14ac:dyDescent="0.25">
      <c r="B3123" s="51" t="s">
        <v>127</v>
      </c>
      <c r="C3123" s="52">
        <v>51</v>
      </c>
      <c r="D3123" s="53" t="s">
        <v>4330</v>
      </c>
      <c r="E3123" s="54"/>
      <c r="F3123" s="52" t="str">
        <f>IF(INDEX(I.CCUS.EndRange,51)="","",INDEX(I.CCUS.EndRange,51))</f>
        <v/>
      </c>
      <c r="G3123" s="54"/>
      <c r="H3123" s="52" t="str">
        <f>IF(AND(I.Compliance.FulfilledCCUS&gt;0,I.CCUS.RangeCount&gt;=51,F3123=""),"Incomplete","Complete")</f>
        <v>Complete</v>
      </c>
      <c r="I3123" s="55" t="s">
        <v>3320</v>
      </c>
    </row>
    <row r="3124" spans="2:9" ht="15" customHeight="1" x14ac:dyDescent="0.25">
      <c r="B3124" s="51" t="s">
        <v>127</v>
      </c>
      <c r="C3124" s="52">
        <v>52</v>
      </c>
      <c r="D3124" s="53" t="s">
        <v>4330</v>
      </c>
      <c r="E3124" s="54"/>
      <c r="F3124" s="52" t="str">
        <f>IF(INDEX(I.CCUS.EndRange,52)="","",INDEX(I.CCUS.EndRange,52))</f>
        <v/>
      </c>
      <c r="G3124" s="54"/>
      <c r="H3124" s="52" t="str">
        <f>IF(AND(I.Compliance.FulfilledCCUS&gt;0,I.CCUS.RangeCount&gt;=52,F3124=""),"Incomplete","Complete")</f>
        <v>Complete</v>
      </c>
      <c r="I3124" s="55" t="s">
        <v>3321</v>
      </c>
    </row>
    <row r="3125" spans="2:9" ht="15" customHeight="1" x14ac:dyDescent="0.25">
      <c r="B3125" s="51" t="s">
        <v>127</v>
      </c>
      <c r="C3125" s="52">
        <v>53</v>
      </c>
      <c r="D3125" s="53" t="s">
        <v>4330</v>
      </c>
      <c r="E3125" s="54"/>
      <c r="F3125" s="52" t="str">
        <f>IF(INDEX(I.CCUS.EndRange,53)="","",INDEX(I.CCUS.EndRange,53))</f>
        <v/>
      </c>
      <c r="G3125" s="54"/>
      <c r="H3125" s="52" t="str">
        <f>IF(AND(I.Compliance.FulfilledCCUS&gt;0,I.CCUS.RangeCount&gt;=53,F3125=""),"Incomplete","Complete")</f>
        <v>Complete</v>
      </c>
      <c r="I3125" s="55" t="s">
        <v>3322</v>
      </c>
    </row>
    <row r="3126" spans="2:9" ht="15" customHeight="1" x14ac:dyDescent="0.25">
      <c r="B3126" s="51" t="s">
        <v>127</v>
      </c>
      <c r="C3126" s="52">
        <v>54</v>
      </c>
      <c r="D3126" s="53" t="s">
        <v>4330</v>
      </c>
      <c r="E3126" s="54"/>
      <c r="F3126" s="52" t="str">
        <f>IF(INDEX(I.CCUS.EndRange,54)="","",INDEX(I.CCUS.EndRange,54))</f>
        <v/>
      </c>
      <c r="G3126" s="54"/>
      <c r="H3126" s="52" t="str">
        <f>IF(AND(I.Compliance.FulfilledCCUS&gt;0,I.CCUS.RangeCount&gt;=54,F3126=""),"Incomplete","Complete")</f>
        <v>Complete</v>
      </c>
      <c r="I3126" s="55" t="s">
        <v>3323</v>
      </c>
    </row>
    <row r="3127" spans="2:9" ht="15" customHeight="1" x14ac:dyDescent="0.25">
      <c r="B3127" s="51" t="s">
        <v>127</v>
      </c>
      <c r="C3127" s="52">
        <v>55</v>
      </c>
      <c r="D3127" s="53" t="s">
        <v>4330</v>
      </c>
      <c r="E3127" s="54"/>
      <c r="F3127" s="52" t="str">
        <f>IF(INDEX(I.CCUS.EndRange,55)="","",INDEX(I.CCUS.EndRange,55))</f>
        <v/>
      </c>
      <c r="G3127" s="54"/>
      <c r="H3127" s="52" t="str">
        <f>IF(AND(I.Compliance.FulfilledCCUS&gt;0,I.CCUS.RangeCount&gt;=55,F3127=""),"Incomplete","Complete")</f>
        <v>Complete</v>
      </c>
      <c r="I3127" s="55" t="s">
        <v>3324</v>
      </c>
    </row>
    <row r="3128" spans="2:9" ht="15" customHeight="1" x14ac:dyDescent="0.25">
      <c r="B3128" s="51" t="s">
        <v>127</v>
      </c>
      <c r="C3128" s="52">
        <v>56</v>
      </c>
      <c r="D3128" s="53" t="s">
        <v>4330</v>
      </c>
      <c r="E3128" s="54"/>
      <c r="F3128" s="52" t="str">
        <f>IF(INDEX(I.CCUS.EndRange,56)="","",INDEX(I.CCUS.EndRange,56))</f>
        <v/>
      </c>
      <c r="G3128" s="54"/>
      <c r="H3128" s="52" t="str">
        <f>IF(AND(I.Compliance.FulfilledCCUS&gt;0,I.CCUS.RangeCount&gt;=56,F3128=""),"Incomplete","Complete")</f>
        <v>Complete</v>
      </c>
      <c r="I3128" s="55" t="s">
        <v>3325</v>
      </c>
    </row>
    <row r="3129" spans="2:9" ht="15" customHeight="1" x14ac:dyDescent="0.25">
      <c r="B3129" s="51" t="s">
        <v>127</v>
      </c>
      <c r="C3129" s="52">
        <v>57</v>
      </c>
      <c r="D3129" s="53" t="s">
        <v>4330</v>
      </c>
      <c r="E3129" s="54"/>
      <c r="F3129" s="52" t="str">
        <f>IF(INDEX(I.CCUS.EndRange,57)="","",INDEX(I.CCUS.EndRange,57))</f>
        <v/>
      </c>
      <c r="G3129" s="54"/>
      <c r="H3129" s="52" t="str">
        <f>IF(AND(I.Compliance.FulfilledCCUS&gt;0,I.CCUS.RangeCount&gt;=57,F3129=""),"Incomplete","Complete")</f>
        <v>Complete</v>
      </c>
      <c r="I3129" s="55" t="s">
        <v>3326</v>
      </c>
    </row>
    <row r="3130" spans="2:9" ht="15" customHeight="1" x14ac:dyDescent="0.25">
      <c r="B3130" s="51" t="s">
        <v>127</v>
      </c>
      <c r="C3130" s="52">
        <v>58</v>
      </c>
      <c r="D3130" s="53" t="s">
        <v>4330</v>
      </c>
      <c r="E3130" s="54"/>
      <c r="F3130" s="52" t="str">
        <f>IF(INDEX(I.CCUS.EndRange,58)="","",INDEX(I.CCUS.EndRange,58))</f>
        <v/>
      </c>
      <c r="G3130" s="54"/>
      <c r="H3130" s="52" t="str">
        <f>IF(AND(I.Compliance.FulfilledCCUS&gt;0,I.CCUS.RangeCount&gt;=58,F3130=""),"Incomplete","Complete")</f>
        <v>Complete</v>
      </c>
      <c r="I3130" s="55" t="s">
        <v>3327</v>
      </c>
    </row>
    <row r="3131" spans="2:9" ht="15" customHeight="1" x14ac:dyDescent="0.25">
      <c r="B3131" s="51" t="s">
        <v>127</v>
      </c>
      <c r="C3131" s="52">
        <v>59</v>
      </c>
      <c r="D3131" s="53" t="s">
        <v>4330</v>
      </c>
      <c r="E3131" s="54"/>
      <c r="F3131" s="52" t="str">
        <f>IF(INDEX(I.CCUS.EndRange,59)="","",INDEX(I.CCUS.EndRange,59))</f>
        <v/>
      </c>
      <c r="G3131" s="54"/>
      <c r="H3131" s="52" t="str">
        <f>IF(AND(I.Compliance.FulfilledCCUS&gt;0,I.CCUS.RangeCount&gt;=59,F3131=""),"Incomplete","Complete")</f>
        <v>Complete</v>
      </c>
      <c r="I3131" s="55" t="s">
        <v>3328</v>
      </c>
    </row>
    <row r="3132" spans="2:9" ht="15" customHeight="1" x14ac:dyDescent="0.25">
      <c r="B3132" s="51" t="s">
        <v>127</v>
      </c>
      <c r="C3132" s="52">
        <v>60</v>
      </c>
      <c r="D3132" s="53" t="s">
        <v>4330</v>
      </c>
      <c r="E3132" s="54"/>
      <c r="F3132" s="52" t="str">
        <f>IF(INDEX(I.CCUS.EndRange,60)="","",INDEX(I.CCUS.EndRange,60))</f>
        <v/>
      </c>
      <c r="G3132" s="54"/>
      <c r="H3132" s="52" t="str">
        <f>IF(AND(I.Compliance.FulfilledCCUS&gt;0,I.CCUS.RangeCount&gt;=60,F3132=""),"Incomplete","Complete")</f>
        <v>Complete</v>
      </c>
      <c r="I3132" s="55" t="s">
        <v>3329</v>
      </c>
    </row>
    <row r="3133" spans="2:9" ht="15" customHeight="1" x14ac:dyDescent="0.25">
      <c r="B3133" s="51" t="s">
        <v>127</v>
      </c>
      <c r="C3133" s="52">
        <v>61</v>
      </c>
      <c r="D3133" s="53" t="s">
        <v>4330</v>
      </c>
      <c r="E3133" s="54"/>
      <c r="F3133" s="52" t="str">
        <f>IF(INDEX(I.CCUS.EndRange,61)="","",INDEX(I.CCUS.EndRange,61))</f>
        <v/>
      </c>
      <c r="G3133" s="54"/>
      <c r="H3133" s="52" t="str">
        <f>IF(AND(I.Compliance.FulfilledCCUS&gt;0,I.CCUS.RangeCount&gt;=61,F3133=""),"Incomplete","Complete")</f>
        <v>Complete</v>
      </c>
      <c r="I3133" s="55" t="s">
        <v>3330</v>
      </c>
    </row>
    <row r="3134" spans="2:9" ht="15" customHeight="1" x14ac:dyDescent="0.25">
      <c r="B3134" s="51" t="s">
        <v>127</v>
      </c>
      <c r="C3134" s="52">
        <v>62</v>
      </c>
      <c r="D3134" s="53" t="s">
        <v>4330</v>
      </c>
      <c r="E3134" s="54"/>
      <c r="F3134" s="52" t="str">
        <f>IF(INDEX(I.CCUS.EndRange,62)="","",INDEX(I.CCUS.EndRange,62))</f>
        <v/>
      </c>
      <c r="G3134" s="54"/>
      <c r="H3134" s="52" t="str">
        <f>IF(AND(I.Compliance.FulfilledCCUS&gt;0,I.CCUS.RangeCount&gt;=62,F3134=""),"Incomplete","Complete")</f>
        <v>Complete</v>
      </c>
      <c r="I3134" s="55" t="s">
        <v>3331</v>
      </c>
    </row>
    <row r="3135" spans="2:9" ht="15" customHeight="1" x14ac:dyDescent="0.25">
      <c r="B3135" s="51" t="s">
        <v>127</v>
      </c>
      <c r="C3135" s="52">
        <v>63</v>
      </c>
      <c r="D3135" s="53" t="s">
        <v>4330</v>
      </c>
      <c r="E3135" s="54"/>
      <c r="F3135" s="52" t="str">
        <f>IF(INDEX(I.CCUS.EndRange,63)="","",INDEX(I.CCUS.EndRange,63))</f>
        <v/>
      </c>
      <c r="G3135" s="54"/>
      <c r="H3135" s="52" t="str">
        <f>IF(AND(I.Compliance.FulfilledCCUS&gt;0,I.CCUS.RangeCount&gt;=63,F3135=""),"Incomplete","Complete")</f>
        <v>Complete</v>
      </c>
      <c r="I3135" s="55" t="s">
        <v>3332</v>
      </c>
    </row>
    <row r="3136" spans="2:9" ht="15" customHeight="1" x14ac:dyDescent="0.25">
      <c r="B3136" s="51" t="s">
        <v>127</v>
      </c>
      <c r="C3136" s="52">
        <v>64</v>
      </c>
      <c r="D3136" s="53" t="s">
        <v>4330</v>
      </c>
      <c r="E3136" s="54"/>
      <c r="F3136" s="52" t="str">
        <f>IF(INDEX(I.CCUS.EndRange,64)="","",INDEX(I.CCUS.EndRange,64))</f>
        <v/>
      </c>
      <c r="G3136" s="54"/>
      <c r="H3136" s="52" t="str">
        <f>IF(AND(I.Compliance.FulfilledCCUS&gt;0,I.CCUS.RangeCount&gt;=64,F3136=""),"Incomplete","Complete")</f>
        <v>Complete</v>
      </c>
      <c r="I3136" s="55" t="s">
        <v>3333</v>
      </c>
    </row>
    <row r="3137" spans="2:9" ht="15" customHeight="1" x14ac:dyDescent="0.25">
      <c r="B3137" s="51" t="s">
        <v>127</v>
      </c>
      <c r="C3137" s="52">
        <v>65</v>
      </c>
      <c r="D3137" s="53" t="s">
        <v>4330</v>
      </c>
      <c r="E3137" s="54"/>
      <c r="F3137" s="52" t="str">
        <f>IF(INDEX(I.CCUS.EndRange,65)="","",INDEX(I.CCUS.EndRange,65))</f>
        <v/>
      </c>
      <c r="G3137" s="54"/>
      <c r="H3137" s="52" t="str">
        <f>IF(AND(I.Compliance.FulfilledCCUS&gt;0,I.CCUS.RangeCount&gt;=65,F3137=""),"Incomplete","Complete")</f>
        <v>Complete</v>
      </c>
      <c r="I3137" s="55" t="s">
        <v>3334</v>
      </c>
    </row>
    <row r="3138" spans="2:9" ht="15" customHeight="1" x14ac:dyDescent="0.25">
      <c r="B3138" s="51" t="s">
        <v>127</v>
      </c>
      <c r="C3138" s="52">
        <v>66</v>
      </c>
      <c r="D3138" s="53" t="s">
        <v>4330</v>
      </c>
      <c r="E3138" s="54"/>
      <c r="F3138" s="52" t="str">
        <f>IF(INDEX(I.CCUS.EndRange,66)="","",INDEX(I.CCUS.EndRange,66))</f>
        <v/>
      </c>
      <c r="G3138" s="54"/>
      <c r="H3138" s="52" t="str">
        <f>IF(AND(I.Compliance.FulfilledCCUS&gt;0,I.CCUS.RangeCount&gt;=66,F3138=""),"Incomplete","Complete")</f>
        <v>Complete</v>
      </c>
      <c r="I3138" s="55" t="s">
        <v>3335</v>
      </c>
    </row>
    <row r="3139" spans="2:9" ht="15" customHeight="1" x14ac:dyDescent="0.25">
      <c r="B3139" s="51" t="s">
        <v>127</v>
      </c>
      <c r="C3139" s="52">
        <v>67</v>
      </c>
      <c r="D3139" s="53" t="s">
        <v>4330</v>
      </c>
      <c r="E3139" s="54"/>
      <c r="F3139" s="52" t="str">
        <f>IF(INDEX(I.CCUS.EndRange,67)="","",INDEX(I.CCUS.EndRange,67))</f>
        <v/>
      </c>
      <c r="G3139" s="54"/>
      <c r="H3139" s="52" t="str">
        <f>IF(AND(I.Compliance.FulfilledCCUS&gt;0,I.CCUS.RangeCount&gt;=67,F3139=""),"Incomplete","Complete")</f>
        <v>Complete</v>
      </c>
      <c r="I3139" s="55" t="s">
        <v>3336</v>
      </c>
    </row>
    <row r="3140" spans="2:9" ht="15" customHeight="1" x14ac:dyDescent="0.25">
      <c r="B3140" s="51" t="s">
        <v>127</v>
      </c>
      <c r="C3140" s="52">
        <v>68</v>
      </c>
      <c r="D3140" s="53" t="s">
        <v>4330</v>
      </c>
      <c r="E3140" s="54"/>
      <c r="F3140" s="52" t="str">
        <f>IF(INDEX(I.CCUS.EndRange,68)="","",INDEX(I.CCUS.EndRange,68))</f>
        <v/>
      </c>
      <c r="G3140" s="54"/>
      <c r="H3140" s="52" t="str">
        <f>IF(AND(I.Compliance.FulfilledCCUS&gt;0,I.CCUS.RangeCount&gt;=68,F3140=""),"Incomplete","Complete")</f>
        <v>Complete</v>
      </c>
      <c r="I3140" s="55" t="s">
        <v>3337</v>
      </c>
    </row>
    <row r="3141" spans="2:9" ht="15" customHeight="1" x14ac:dyDescent="0.25">
      <c r="B3141" s="51" t="s">
        <v>127</v>
      </c>
      <c r="C3141" s="52">
        <v>69</v>
      </c>
      <c r="D3141" s="53" t="s">
        <v>4330</v>
      </c>
      <c r="E3141" s="54"/>
      <c r="F3141" s="52" t="str">
        <f>IF(INDEX(I.CCUS.EndRange,69)="","",INDEX(I.CCUS.EndRange,69))</f>
        <v/>
      </c>
      <c r="G3141" s="54"/>
      <c r="H3141" s="52" t="str">
        <f>IF(AND(I.Compliance.FulfilledCCUS&gt;0,I.CCUS.RangeCount&gt;=69,F3141=""),"Incomplete","Complete")</f>
        <v>Complete</v>
      </c>
      <c r="I3141" s="55" t="s">
        <v>3338</v>
      </c>
    </row>
    <row r="3142" spans="2:9" ht="15" customHeight="1" x14ac:dyDescent="0.25">
      <c r="B3142" s="51" t="s">
        <v>127</v>
      </c>
      <c r="C3142" s="52">
        <v>70</v>
      </c>
      <c r="D3142" s="53" t="s">
        <v>4330</v>
      </c>
      <c r="E3142" s="54"/>
      <c r="F3142" s="52" t="str">
        <f>IF(INDEX(I.CCUS.EndRange,70)="","",INDEX(I.CCUS.EndRange,70))</f>
        <v/>
      </c>
      <c r="G3142" s="54"/>
      <c r="H3142" s="52" t="str">
        <f>IF(AND(I.Compliance.FulfilledCCUS&gt;0,I.CCUS.RangeCount&gt;=70,F3142=""),"Incomplete","Complete")</f>
        <v>Complete</v>
      </c>
      <c r="I3142" s="55" t="s">
        <v>3339</v>
      </c>
    </row>
    <row r="3143" spans="2:9" ht="15" customHeight="1" x14ac:dyDescent="0.25">
      <c r="B3143" s="51" t="s">
        <v>127</v>
      </c>
      <c r="C3143" s="52">
        <v>71</v>
      </c>
      <c r="D3143" s="53" t="s">
        <v>4330</v>
      </c>
      <c r="E3143" s="54"/>
      <c r="F3143" s="52" t="str">
        <f>IF(INDEX(I.CCUS.EndRange,71)="","",INDEX(I.CCUS.EndRange,71))</f>
        <v/>
      </c>
      <c r="G3143" s="54"/>
      <c r="H3143" s="52" t="str">
        <f>IF(AND(I.Compliance.FulfilledCCUS&gt;0,I.CCUS.RangeCount&gt;=71,F3143=""),"Incomplete","Complete")</f>
        <v>Complete</v>
      </c>
      <c r="I3143" s="55" t="s">
        <v>3340</v>
      </c>
    </row>
    <row r="3144" spans="2:9" ht="15" customHeight="1" x14ac:dyDescent="0.25">
      <c r="B3144" s="51" t="s">
        <v>127</v>
      </c>
      <c r="C3144" s="52">
        <v>72</v>
      </c>
      <c r="D3144" s="53" t="s">
        <v>4330</v>
      </c>
      <c r="E3144" s="54"/>
      <c r="F3144" s="52" t="str">
        <f>IF(INDEX(I.CCUS.EndRange,72)="","",INDEX(I.CCUS.EndRange,72))</f>
        <v/>
      </c>
      <c r="G3144" s="54"/>
      <c r="H3144" s="52" t="str">
        <f>IF(AND(I.Compliance.FulfilledCCUS&gt;0,I.CCUS.RangeCount&gt;=72,F3144=""),"Incomplete","Complete")</f>
        <v>Complete</v>
      </c>
      <c r="I3144" s="55" t="s">
        <v>3341</v>
      </c>
    </row>
    <row r="3145" spans="2:9" ht="15" customHeight="1" x14ac:dyDescent="0.25">
      <c r="B3145" s="51" t="s">
        <v>127</v>
      </c>
      <c r="C3145" s="52">
        <v>73</v>
      </c>
      <c r="D3145" s="53" t="s">
        <v>4330</v>
      </c>
      <c r="E3145" s="54"/>
      <c r="F3145" s="52" t="str">
        <f>IF(INDEX(I.CCUS.EndRange,73)="","",INDEX(I.CCUS.EndRange,73))</f>
        <v/>
      </c>
      <c r="G3145" s="54"/>
      <c r="H3145" s="52" t="str">
        <f>IF(AND(I.Compliance.FulfilledCCUS&gt;0,I.CCUS.RangeCount&gt;=73,F3145=""),"Incomplete","Complete")</f>
        <v>Complete</v>
      </c>
      <c r="I3145" s="55" t="s">
        <v>3342</v>
      </c>
    </row>
    <row r="3146" spans="2:9" ht="15" customHeight="1" x14ac:dyDescent="0.25">
      <c r="B3146" s="51" t="s">
        <v>127</v>
      </c>
      <c r="C3146" s="52">
        <v>74</v>
      </c>
      <c r="D3146" s="53" t="s">
        <v>4330</v>
      </c>
      <c r="E3146" s="54"/>
      <c r="F3146" s="52" t="str">
        <f>IF(INDEX(I.CCUS.EndRange,74)="","",INDEX(I.CCUS.EndRange,74))</f>
        <v/>
      </c>
      <c r="G3146" s="54"/>
      <c r="H3146" s="52" t="str">
        <f>IF(AND(I.Compliance.FulfilledCCUS&gt;0,I.CCUS.RangeCount&gt;=74,F3146=""),"Incomplete","Complete")</f>
        <v>Complete</v>
      </c>
      <c r="I3146" s="55" t="s">
        <v>3343</v>
      </c>
    </row>
    <row r="3147" spans="2:9" ht="15" customHeight="1" x14ac:dyDescent="0.25">
      <c r="B3147" s="51" t="s">
        <v>127</v>
      </c>
      <c r="C3147" s="52">
        <v>75</v>
      </c>
      <c r="D3147" s="53" t="s">
        <v>4330</v>
      </c>
      <c r="E3147" s="54"/>
      <c r="F3147" s="52" t="str">
        <f>IF(INDEX(I.CCUS.EndRange,75)="","",INDEX(I.CCUS.EndRange,75))</f>
        <v/>
      </c>
      <c r="G3147" s="54"/>
      <c r="H3147" s="52" t="str">
        <f>IF(AND(I.Compliance.FulfilledCCUS&gt;0,I.CCUS.RangeCount&gt;=75,F3147=""),"Incomplete","Complete")</f>
        <v>Complete</v>
      </c>
      <c r="I3147" s="55" t="s">
        <v>3344</v>
      </c>
    </row>
    <row r="3148" spans="2:9" ht="15" customHeight="1" x14ac:dyDescent="0.25">
      <c r="B3148" s="51" t="s">
        <v>127</v>
      </c>
      <c r="C3148" s="52">
        <v>76</v>
      </c>
      <c r="D3148" s="53" t="s">
        <v>4330</v>
      </c>
      <c r="E3148" s="54"/>
      <c r="F3148" s="52" t="str">
        <f>IF(INDEX(I.CCUS.EndRange,76)="","",INDEX(I.CCUS.EndRange,76))</f>
        <v/>
      </c>
      <c r="G3148" s="54"/>
      <c r="H3148" s="52" t="str">
        <f>IF(AND(I.Compliance.FulfilledCCUS&gt;0,I.CCUS.RangeCount&gt;=76,F3148=""),"Incomplete","Complete")</f>
        <v>Complete</v>
      </c>
      <c r="I3148" s="55" t="s">
        <v>3345</v>
      </c>
    </row>
    <row r="3149" spans="2:9" ht="15" customHeight="1" x14ac:dyDescent="0.25">
      <c r="B3149" s="51" t="s">
        <v>127</v>
      </c>
      <c r="C3149" s="52">
        <v>77</v>
      </c>
      <c r="D3149" s="53" t="s">
        <v>4330</v>
      </c>
      <c r="E3149" s="54"/>
      <c r="F3149" s="52" t="str">
        <f>IF(INDEX(I.CCUS.EndRange,77)="","",INDEX(I.CCUS.EndRange,77))</f>
        <v/>
      </c>
      <c r="G3149" s="54"/>
      <c r="H3149" s="52" t="str">
        <f>IF(AND(I.Compliance.FulfilledCCUS&gt;0,I.CCUS.RangeCount&gt;=77,F3149=""),"Incomplete","Complete")</f>
        <v>Complete</v>
      </c>
      <c r="I3149" s="55" t="s">
        <v>3346</v>
      </c>
    </row>
    <row r="3150" spans="2:9" ht="15" customHeight="1" x14ac:dyDescent="0.25">
      <c r="B3150" s="51" t="s">
        <v>127</v>
      </c>
      <c r="C3150" s="52">
        <v>78</v>
      </c>
      <c r="D3150" s="53" t="s">
        <v>4330</v>
      </c>
      <c r="E3150" s="54"/>
      <c r="F3150" s="52" t="str">
        <f>IF(INDEX(I.CCUS.EndRange,78)="","",INDEX(I.CCUS.EndRange,78))</f>
        <v/>
      </c>
      <c r="G3150" s="54"/>
      <c r="H3150" s="52" t="str">
        <f>IF(AND(I.Compliance.FulfilledCCUS&gt;0,I.CCUS.RangeCount&gt;=78,F3150=""),"Incomplete","Complete")</f>
        <v>Complete</v>
      </c>
      <c r="I3150" s="55" t="s">
        <v>3347</v>
      </c>
    </row>
    <row r="3151" spans="2:9" ht="15" customHeight="1" x14ac:dyDescent="0.25">
      <c r="B3151" s="51" t="s">
        <v>127</v>
      </c>
      <c r="C3151" s="52">
        <v>79</v>
      </c>
      <c r="D3151" s="53" t="s">
        <v>4330</v>
      </c>
      <c r="E3151" s="54"/>
      <c r="F3151" s="52" t="str">
        <f>IF(INDEX(I.CCUS.EndRange,79)="","",INDEX(I.CCUS.EndRange,79))</f>
        <v/>
      </c>
      <c r="G3151" s="54"/>
      <c r="H3151" s="52" t="str">
        <f>IF(AND(I.Compliance.FulfilledCCUS&gt;0,I.CCUS.RangeCount&gt;=79,F3151=""),"Incomplete","Complete")</f>
        <v>Complete</v>
      </c>
      <c r="I3151" s="55" t="s">
        <v>3348</v>
      </c>
    </row>
    <row r="3152" spans="2:9" ht="15" customHeight="1" x14ac:dyDescent="0.25">
      <c r="B3152" s="51" t="s">
        <v>127</v>
      </c>
      <c r="C3152" s="52">
        <v>80</v>
      </c>
      <c r="D3152" s="53" t="s">
        <v>4330</v>
      </c>
      <c r="E3152" s="54"/>
      <c r="F3152" s="52" t="str">
        <f>IF(INDEX(I.CCUS.EndRange,80)="","",INDEX(I.CCUS.EndRange,80))</f>
        <v/>
      </c>
      <c r="G3152" s="54"/>
      <c r="H3152" s="52" t="str">
        <f>IF(AND(I.Compliance.FulfilledCCUS&gt;0,I.CCUS.RangeCount&gt;=80,F3152=""),"Incomplete","Complete")</f>
        <v>Complete</v>
      </c>
      <c r="I3152" s="55" t="s">
        <v>3349</v>
      </c>
    </row>
    <row r="3153" spans="2:9" ht="15" customHeight="1" x14ac:dyDescent="0.25">
      <c r="B3153" s="51" t="s">
        <v>127</v>
      </c>
      <c r="C3153" s="52">
        <v>81</v>
      </c>
      <c r="D3153" s="53" t="s">
        <v>4330</v>
      </c>
      <c r="E3153" s="54"/>
      <c r="F3153" s="52" t="str">
        <f>IF(INDEX(I.CCUS.EndRange,81)="","",INDEX(I.CCUS.EndRange,81))</f>
        <v/>
      </c>
      <c r="G3153" s="54"/>
      <c r="H3153" s="52" t="str">
        <f>IF(AND(I.Compliance.FulfilledCCUS&gt;0,I.CCUS.RangeCount&gt;=81,F3153=""),"Incomplete","Complete")</f>
        <v>Complete</v>
      </c>
      <c r="I3153" s="55" t="s">
        <v>3350</v>
      </c>
    </row>
    <row r="3154" spans="2:9" ht="15" customHeight="1" x14ac:dyDescent="0.25">
      <c r="B3154" s="51" t="s">
        <v>127</v>
      </c>
      <c r="C3154" s="52">
        <v>82</v>
      </c>
      <c r="D3154" s="53" t="s">
        <v>4330</v>
      </c>
      <c r="E3154" s="54"/>
      <c r="F3154" s="52" t="str">
        <f>IF(INDEX(I.CCUS.EndRange,82)="","",INDEX(I.CCUS.EndRange,82))</f>
        <v/>
      </c>
      <c r="G3154" s="54"/>
      <c r="H3154" s="52" t="str">
        <f>IF(AND(I.Compliance.FulfilledCCUS&gt;0,I.CCUS.RangeCount&gt;=82,F3154=""),"Incomplete","Complete")</f>
        <v>Complete</v>
      </c>
      <c r="I3154" s="55" t="s">
        <v>3351</v>
      </c>
    </row>
    <row r="3155" spans="2:9" ht="15" customHeight="1" x14ac:dyDescent="0.25">
      <c r="B3155" s="51" t="s">
        <v>127</v>
      </c>
      <c r="C3155" s="52">
        <v>83</v>
      </c>
      <c r="D3155" s="53" t="s">
        <v>4330</v>
      </c>
      <c r="E3155" s="54"/>
      <c r="F3155" s="52" t="str">
        <f>IF(INDEX(I.CCUS.EndRange,83)="","",INDEX(I.CCUS.EndRange,83))</f>
        <v/>
      </c>
      <c r="G3155" s="54"/>
      <c r="H3155" s="52" t="str">
        <f>IF(AND(I.Compliance.FulfilledCCUS&gt;0,I.CCUS.RangeCount&gt;=83,F3155=""),"Incomplete","Complete")</f>
        <v>Complete</v>
      </c>
      <c r="I3155" s="55" t="s">
        <v>3352</v>
      </c>
    </row>
    <row r="3156" spans="2:9" ht="15" customHeight="1" x14ac:dyDescent="0.25">
      <c r="B3156" s="51" t="s">
        <v>127</v>
      </c>
      <c r="C3156" s="52">
        <v>84</v>
      </c>
      <c r="D3156" s="53" t="s">
        <v>4330</v>
      </c>
      <c r="E3156" s="54"/>
      <c r="F3156" s="52" t="str">
        <f>IF(INDEX(I.CCUS.EndRange,84)="","",INDEX(I.CCUS.EndRange,84))</f>
        <v/>
      </c>
      <c r="G3156" s="54"/>
      <c r="H3156" s="52" t="str">
        <f>IF(AND(I.Compliance.FulfilledCCUS&gt;0,I.CCUS.RangeCount&gt;=84,F3156=""),"Incomplete","Complete")</f>
        <v>Complete</v>
      </c>
      <c r="I3156" s="55" t="s">
        <v>3353</v>
      </c>
    </row>
    <row r="3157" spans="2:9" ht="15" customHeight="1" x14ac:dyDescent="0.25">
      <c r="B3157" s="51" t="s">
        <v>127</v>
      </c>
      <c r="C3157" s="52">
        <v>85</v>
      </c>
      <c r="D3157" s="53" t="s">
        <v>4330</v>
      </c>
      <c r="E3157" s="54"/>
      <c r="F3157" s="52" t="str">
        <f>IF(INDEX(I.CCUS.EndRange,85)="","",INDEX(I.CCUS.EndRange,85))</f>
        <v/>
      </c>
      <c r="G3157" s="54"/>
      <c r="H3157" s="52" t="str">
        <f>IF(AND(I.Compliance.FulfilledCCUS&gt;0,I.CCUS.RangeCount&gt;=85,F3157=""),"Incomplete","Complete")</f>
        <v>Complete</v>
      </c>
      <c r="I3157" s="55" t="s">
        <v>3354</v>
      </c>
    </row>
    <row r="3158" spans="2:9" ht="15" customHeight="1" x14ac:dyDescent="0.25">
      <c r="B3158" s="51" t="s">
        <v>127</v>
      </c>
      <c r="C3158" s="52">
        <v>86</v>
      </c>
      <c r="D3158" s="53" t="s">
        <v>4330</v>
      </c>
      <c r="E3158" s="54"/>
      <c r="F3158" s="52" t="str">
        <f>IF(INDEX(I.CCUS.EndRange,86)="","",INDEX(I.CCUS.EndRange,86))</f>
        <v/>
      </c>
      <c r="G3158" s="54"/>
      <c r="H3158" s="52" t="str">
        <f>IF(AND(I.Compliance.FulfilledCCUS&gt;0,I.CCUS.RangeCount&gt;=86,F3158=""),"Incomplete","Complete")</f>
        <v>Complete</v>
      </c>
      <c r="I3158" s="55" t="s">
        <v>3355</v>
      </c>
    </row>
    <row r="3159" spans="2:9" ht="15" customHeight="1" x14ac:dyDescent="0.25">
      <c r="B3159" s="51" t="s">
        <v>127</v>
      </c>
      <c r="C3159" s="52">
        <v>87</v>
      </c>
      <c r="D3159" s="53" t="s">
        <v>4330</v>
      </c>
      <c r="E3159" s="54"/>
      <c r="F3159" s="52" t="str">
        <f>IF(INDEX(I.CCUS.EndRange,87)="","",INDEX(I.CCUS.EndRange,87))</f>
        <v/>
      </c>
      <c r="G3159" s="54"/>
      <c r="H3159" s="52" t="str">
        <f>IF(AND(I.Compliance.FulfilledCCUS&gt;0,I.CCUS.RangeCount&gt;=87,F3159=""),"Incomplete","Complete")</f>
        <v>Complete</v>
      </c>
      <c r="I3159" s="55" t="s">
        <v>3356</v>
      </c>
    </row>
    <row r="3160" spans="2:9" ht="15" customHeight="1" x14ac:dyDescent="0.25">
      <c r="B3160" s="51" t="s">
        <v>127</v>
      </c>
      <c r="C3160" s="52">
        <v>88</v>
      </c>
      <c r="D3160" s="53" t="s">
        <v>4330</v>
      </c>
      <c r="E3160" s="54"/>
      <c r="F3160" s="52" t="str">
        <f>IF(INDEX(I.CCUS.EndRange,88)="","",INDEX(I.CCUS.EndRange,88))</f>
        <v/>
      </c>
      <c r="G3160" s="54"/>
      <c r="H3160" s="52" t="str">
        <f>IF(AND(I.Compliance.FulfilledCCUS&gt;0,I.CCUS.RangeCount&gt;=88,F3160=""),"Incomplete","Complete")</f>
        <v>Complete</v>
      </c>
      <c r="I3160" s="55" t="s">
        <v>3357</v>
      </c>
    </row>
    <row r="3161" spans="2:9" ht="15" customHeight="1" x14ac:dyDescent="0.25">
      <c r="B3161" s="51" t="s">
        <v>127</v>
      </c>
      <c r="C3161" s="52">
        <v>89</v>
      </c>
      <c r="D3161" s="53" t="s">
        <v>4330</v>
      </c>
      <c r="E3161" s="54"/>
      <c r="F3161" s="52" t="str">
        <f>IF(INDEX(I.CCUS.EndRange,89)="","",INDEX(I.CCUS.EndRange,89))</f>
        <v/>
      </c>
      <c r="G3161" s="54"/>
      <c r="H3161" s="52" t="str">
        <f>IF(AND(I.Compliance.FulfilledCCUS&gt;0,I.CCUS.RangeCount&gt;=89,F3161=""),"Incomplete","Complete")</f>
        <v>Complete</v>
      </c>
      <c r="I3161" s="55" t="s">
        <v>3358</v>
      </c>
    </row>
    <row r="3162" spans="2:9" ht="15" customHeight="1" x14ac:dyDescent="0.25">
      <c r="B3162" s="51" t="s">
        <v>127</v>
      </c>
      <c r="C3162" s="52">
        <v>90</v>
      </c>
      <c r="D3162" s="53" t="s">
        <v>4330</v>
      </c>
      <c r="E3162" s="54"/>
      <c r="F3162" s="52" t="str">
        <f>IF(INDEX(I.CCUS.EndRange,90)="","",INDEX(I.CCUS.EndRange,90))</f>
        <v/>
      </c>
      <c r="G3162" s="54"/>
      <c r="H3162" s="52" t="str">
        <f>IF(AND(I.Compliance.FulfilledCCUS&gt;0,I.CCUS.RangeCount&gt;=90,F3162=""),"Incomplete","Complete")</f>
        <v>Complete</v>
      </c>
      <c r="I3162" s="55" t="s">
        <v>3359</v>
      </c>
    </row>
    <row r="3163" spans="2:9" ht="15" customHeight="1" x14ac:dyDescent="0.25">
      <c r="B3163" s="51" t="s">
        <v>127</v>
      </c>
      <c r="C3163" s="52">
        <v>91</v>
      </c>
      <c r="D3163" s="53" t="s">
        <v>4330</v>
      </c>
      <c r="E3163" s="54"/>
      <c r="F3163" s="52" t="str">
        <f>IF(INDEX(I.CCUS.EndRange,91)="","",INDEX(I.CCUS.EndRange,91))</f>
        <v/>
      </c>
      <c r="G3163" s="54"/>
      <c r="H3163" s="52" t="str">
        <f>IF(AND(I.Compliance.FulfilledCCUS&gt;0,I.CCUS.RangeCount&gt;=91,F3163=""),"Incomplete","Complete")</f>
        <v>Complete</v>
      </c>
      <c r="I3163" s="55" t="s">
        <v>3360</v>
      </c>
    </row>
    <row r="3164" spans="2:9" ht="15" customHeight="1" x14ac:dyDescent="0.25">
      <c r="B3164" s="51" t="s">
        <v>127</v>
      </c>
      <c r="C3164" s="52">
        <v>92</v>
      </c>
      <c r="D3164" s="53" t="s">
        <v>4330</v>
      </c>
      <c r="E3164" s="54"/>
      <c r="F3164" s="52" t="str">
        <f>IF(INDEX(I.CCUS.EndRange,92)="","",INDEX(I.CCUS.EndRange,92))</f>
        <v/>
      </c>
      <c r="G3164" s="54"/>
      <c r="H3164" s="52" t="str">
        <f>IF(AND(I.Compliance.FulfilledCCUS&gt;0,I.CCUS.RangeCount&gt;=92,F3164=""),"Incomplete","Complete")</f>
        <v>Complete</v>
      </c>
      <c r="I3164" s="55" t="s">
        <v>3361</v>
      </c>
    </row>
    <row r="3165" spans="2:9" ht="15" customHeight="1" x14ac:dyDescent="0.25">
      <c r="B3165" s="51" t="s">
        <v>127</v>
      </c>
      <c r="C3165" s="52">
        <v>93</v>
      </c>
      <c r="D3165" s="53" t="s">
        <v>4330</v>
      </c>
      <c r="E3165" s="54"/>
      <c r="F3165" s="52" t="str">
        <f>IF(INDEX(I.CCUS.EndRange,93)="","",INDEX(I.CCUS.EndRange,93))</f>
        <v/>
      </c>
      <c r="G3165" s="54"/>
      <c r="H3165" s="52" t="str">
        <f>IF(AND(I.Compliance.FulfilledCCUS&gt;0,I.CCUS.RangeCount&gt;=93,F3165=""),"Incomplete","Complete")</f>
        <v>Complete</v>
      </c>
      <c r="I3165" s="55" t="s">
        <v>3362</v>
      </c>
    </row>
    <row r="3166" spans="2:9" ht="15" customHeight="1" x14ac:dyDescent="0.25">
      <c r="B3166" s="51" t="s">
        <v>127</v>
      </c>
      <c r="C3166" s="52">
        <v>94</v>
      </c>
      <c r="D3166" s="53" t="s">
        <v>4330</v>
      </c>
      <c r="E3166" s="54"/>
      <c r="F3166" s="52" t="str">
        <f>IF(INDEX(I.CCUS.EndRange,94)="","",INDEX(I.CCUS.EndRange,94))</f>
        <v/>
      </c>
      <c r="G3166" s="54"/>
      <c r="H3166" s="52" t="str">
        <f>IF(AND(I.Compliance.FulfilledCCUS&gt;0,I.CCUS.RangeCount&gt;=94,F3166=""),"Incomplete","Complete")</f>
        <v>Complete</v>
      </c>
      <c r="I3166" s="55" t="s">
        <v>3363</v>
      </c>
    </row>
    <row r="3167" spans="2:9" ht="15" customHeight="1" x14ac:dyDescent="0.25">
      <c r="B3167" s="51" t="s">
        <v>127</v>
      </c>
      <c r="C3167" s="52">
        <v>95</v>
      </c>
      <c r="D3167" s="53" t="s">
        <v>4330</v>
      </c>
      <c r="E3167" s="54"/>
      <c r="F3167" s="52" t="str">
        <f>IF(INDEX(I.CCUS.EndRange,95)="","",INDEX(I.CCUS.EndRange,95))</f>
        <v/>
      </c>
      <c r="G3167" s="54"/>
      <c r="H3167" s="52" t="str">
        <f>IF(AND(I.Compliance.FulfilledCCUS&gt;0,I.CCUS.RangeCount&gt;=95,F3167=""),"Incomplete","Complete")</f>
        <v>Complete</v>
      </c>
      <c r="I3167" s="55" t="s">
        <v>3364</v>
      </c>
    </row>
    <row r="3168" spans="2:9" ht="15" customHeight="1" x14ac:dyDescent="0.25">
      <c r="B3168" s="51" t="s">
        <v>127</v>
      </c>
      <c r="C3168" s="52">
        <v>96</v>
      </c>
      <c r="D3168" s="53" t="s">
        <v>4330</v>
      </c>
      <c r="E3168" s="54"/>
      <c r="F3168" s="52" t="str">
        <f>IF(INDEX(I.CCUS.EndRange,96)="","",INDEX(I.CCUS.EndRange,96))</f>
        <v/>
      </c>
      <c r="G3168" s="54"/>
      <c r="H3168" s="52" t="str">
        <f>IF(AND(I.Compliance.FulfilledCCUS&gt;0,I.CCUS.RangeCount&gt;=96,F3168=""),"Incomplete","Complete")</f>
        <v>Complete</v>
      </c>
      <c r="I3168" s="55" t="s">
        <v>3365</v>
      </c>
    </row>
    <row r="3169" spans="2:9" ht="15" customHeight="1" x14ac:dyDescent="0.25">
      <c r="B3169" s="51" t="s">
        <v>127</v>
      </c>
      <c r="C3169" s="52">
        <v>97</v>
      </c>
      <c r="D3169" s="53" t="s">
        <v>4330</v>
      </c>
      <c r="E3169" s="54"/>
      <c r="F3169" s="52" t="str">
        <f>IF(INDEX(I.CCUS.EndRange,97)="","",INDEX(I.CCUS.EndRange,97))</f>
        <v/>
      </c>
      <c r="G3169" s="54"/>
      <c r="H3169" s="52" t="str">
        <f>IF(AND(I.Compliance.FulfilledCCUS&gt;0,I.CCUS.RangeCount&gt;=97,F3169=""),"Incomplete","Complete")</f>
        <v>Complete</v>
      </c>
      <c r="I3169" s="55" t="s">
        <v>3366</v>
      </c>
    </row>
    <row r="3170" spans="2:9" ht="15" customHeight="1" x14ac:dyDescent="0.25">
      <c r="B3170" s="51" t="s">
        <v>127</v>
      </c>
      <c r="C3170" s="52">
        <v>98</v>
      </c>
      <c r="D3170" s="53" t="s">
        <v>4330</v>
      </c>
      <c r="E3170" s="54"/>
      <c r="F3170" s="52" t="str">
        <f>IF(INDEX(I.CCUS.EndRange,98)="","",INDEX(I.CCUS.EndRange,98))</f>
        <v/>
      </c>
      <c r="G3170" s="54"/>
      <c r="H3170" s="52" t="str">
        <f>IF(AND(I.Compliance.FulfilledCCUS&gt;0,I.CCUS.RangeCount&gt;=98,F3170=""),"Incomplete","Complete")</f>
        <v>Complete</v>
      </c>
      <c r="I3170" s="55" t="s">
        <v>3367</v>
      </c>
    </row>
    <row r="3171" spans="2:9" ht="15" customHeight="1" x14ac:dyDescent="0.25">
      <c r="B3171" s="51" t="s">
        <v>127</v>
      </c>
      <c r="C3171" s="52">
        <v>99</v>
      </c>
      <c r="D3171" s="53" t="s">
        <v>4330</v>
      </c>
      <c r="E3171" s="54"/>
      <c r="F3171" s="52" t="str">
        <f>IF(INDEX(I.CCUS.EndRange,99)="","",INDEX(I.CCUS.EndRange,99))</f>
        <v/>
      </c>
      <c r="G3171" s="54"/>
      <c r="H3171" s="52" t="str">
        <f>IF(AND(I.Compliance.FulfilledCCUS&gt;0,I.CCUS.RangeCount&gt;=99,F3171=""),"Incomplete","Complete")</f>
        <v>Complete</v>
      </c>
      <c r="I3171" s="55" t="s">
        <v>3368</v>
      </c>
    </row>
    <row r="3172" spans="2:9" ht="15" customHeight="1" x14ac:dyDescent="0.25">
      <c r="B3172" s="51" t="s">
        <v>127</v>
      </c>
      <c r="C3172" s="52">
        <v>100</v>
      </c>
      <c r="D3172" s="53" t="s">
        <v>4330</v>
      </c>
      <c r="E3172" s="54"/>
      <c r="F3172" s="52" t="str">
        <f>IF(INDEX(I.CCUS.EndRange,100)="","",INDEX(I.CCUS.EndRange,100))</f>
        <v/>
      </c>
      <c r="G3172" s="54"/>
      <c r="H3172" s="52" t="str">
        <f>IF(AND(I.Compliance.FulfilledCCUS&gt;0,I.CCUS.RangeCount&gt;=100,F3172=""),"Incomplete","Complete")</f>
        <v>Complete</v>
      </c>
      <c r="I3172" s="55" t="s">
        <v>3369</v>
      </c>
    </row>
    <row r="3173" spans="2:9" ht="15" customHeight="1" x14ac:dyDescent="0.25">
      <c r="B3173" s="51" t="s">
        <v>127</v>
      </c>
      <c r="C3173" s="52">
        <v>101</v>
      </c>
      <c r="D3173" s="53" t="s">
        <v>4330</v>
      </c>
      <c r="E3173" s="54"/>
      <c r="F3173" s="52" t="str">
        <f>IF(INDEX(I.CCUS.EndRange,101)="","",INDEX(I.CCUS.EndRange,101))</f>
        <v/>
      </c>
      <c r="G3173" s="54"/>
      <c r="H3173" s="52" t="str">
        <f>IF(AND(I.Compliance.FulfilledCCUS&gt;0,I.CCUS.RangeCount&gt;=101,F3173=""),"Incomplete","Complete")</f>
        <v>Complete</v>
      </c>
      <c r="I3173" s="55" t="s">
        <v>3370</v>
      </c>
    </row>
    <row r="3174" spans="2:9" ht="15" customHeight="1" x14ac:dyDescent="0.25">
      <c r="B3174" s="51" t="s">
        <v>127</v>
      </c>
      <c r="C3174" s="52">
        <v>102</v>
      </c>
      <c r="D3174" s="53" t="s">
        <v>4330</v>
      </c>
      <c r="E3174" s="54"/>
      <c r="F3174" s="52" t="str">
        <f>IF(INDEX(I.CCUS.EndRange,102)="","",INDEX(I.CCUS.EndRange,102))</f>
        <v/>
      </c>
      <c r="G3174" s="54"/>
      <c r="H3174" s="52" t="str">
        <f>IF(AND(I.Compliance.FulfilledCCUS&gt;0,I.CCUS.RangeCount&gt;=102,F3174=""),"Incomplete","Complete")</f>
        <v>Complete</v>
      </c>
      <c r="I3174" s="55" t="s">
        <v>3371</v>
      </c>
    </row>
    <row r="3175" spans="2:9" ht="15" customHeight="1" x14ac:dyDescent="0.25">
      <c r="B3175" s="51" t="s">
        <v>127</v>
      </c>
      <c r="C3175" s="52">
        <v>103</v>
      </c>
      <c r="D3175" s="53" t="s">
        <v>4330</v>
      </c>
      <c r="E3175" s="54"/>
      <c r="F3175" s="52" t="str">
        <f>IF(INDEX(I.CCUS.EndRange,103)="","",INDEX(I.CCUS.EndRange,103))</f>
        <v/>
      </c>
      <c r="G3175" s="54"/>
      <c r="H3175" s="52" t="str">
        <f>IF(AND(I.Compliance.FulfilledCCUS&gt;0,I.CCUS.RangeCount&gt;=103,F3175=""),"Incomplete","Complete")</f>
        <v>Complete</v>
      </c>
      <c r="I3175" s="55" t="s">
        <v>3372</v>
      </c>
    </row>
    <row r="3176" spans="2:9" ht="15" customHeight="1" x14ac:dyDescent="0.25">
      <c r="B3176" s="51" t="s">
        <v>127</v>
      </c>
      <c r="C3176" s="52">
        <v>104</v>
      </c>
      <c r="D3176" s="53" t="s">
        <v>4330</v>
      </c>
      <c r="E3176" s="54"/>
      <c r="F3176" s="52" t="str">
        <f>IF(INDEX(I.CCUS.EndRange,104)="","",INDEX(I.CCUS.EndRange,104))</f>
        <v/>
      </c>
      <c r="G3176" s="54"/>
      <c r="H3176" s="52" t="str">
        <f>IF(AND(I.Compliance.FulfilledCCUS&gt;0,I.CCUS.RangeCount&gt;=104,F3176=""),"Incomplete","Complete")</f>
        <v>Complete</v>
      </c>
      <c r="I3176" s="55" t="s">
        <v>3373</v>
      </c>
    </row>
    <row r="3177" spans="2:9" ht="15" customHeight="1" x14ac:dyDescent="0.25">
      <c r="B3177" s="51" t="s">
        <v>127</v>
      </c>
      <c r="C3177" s="52">
        <v>105</v>
      </c>
      <c r="D3177" s="53" t="s">
        <v>4330</v>
      </c>
      <c r="E3177" s="54"/>
      <c r="F3177" s="52" t="str">
        <f>IF(INDEX(I.CCUS.EndRange,105)="","",INDEX(I.CCUS.EndRange,105))</f>
        <v/>
      </c>
      <c r="G3177" s="54"/>
      <c r="H3177" s="52" t="str">
        <f>IF(AND(I.Compliance.FulfilledCCUS&gt;0,I.CCUS.RangeCount&gt;=105,F3177=""),"Incomplete","Complete")</f>
        <v>Complete</v>
      </c>
      <c r="I3177" s="55" t="s">
        <v>3374</v>
      </c>
    </row>
    <row r="3178" spans="2:9" ht="15" customHeight="1" x14ac:dyDescent="0.25">
      <c r="B3178" s="51" t="s">
        <v>127</v>
      </c>
      <c r="C3178" s="52">
        <v>106</v>
      </c>
      <c r="D3178" s="53" t="s">
        <v>4330</v>
      </c>
      <c r="E3178" s="54"/>
      <c r="F3178" s="52" t="str">
        <f>IF(INDEX(I.CCUS.EndRange,106)="","",INDEX(I.CCUS.EndRange,106))</f>
        <v/>
      </c>
      <c r="G3178" s="54"/>
      <c r="H3178" s="52" t="str">
        <f>IF(AND(I.Compliance.FulfilledCCUS&gt;0,I.CCUS.RangeCount&gt;=106,F3178=""),"Incomplete","Complete")</f>
        <v>Complete</v>
      </c>
      <c r="I3178" s="55" t="s">
        <v>3375</v>
      </c>
    </row>
    <row r="3179" spans="2:9" ht="15" customHeight="1" x14ac:dyDescent="0.25">
      <c r="B3179" s="51" t="s">
        <v>127</v>
      </c>
      <c r="C3179" s="52">
        <v>107</v>
      </c>
      <c r="D3179" s="53" t="s">
        <v>4330</v>
      </c>
      <c r="E3179" s="54"/>
      <c r="F3179" s="52" t="str">
        <f>IF(INDEX(I.CCUS.EndRange,107)="","",INDEX(I.CCUS.EndRange,107))</f>
        <v/>
      </c>
      <c r="G3179" s="54"/>
      <c r="H3179" s="52" t="str">
        <f>IF(AND(I.Compliance.FulfilledCCUS&gt;0,I.CCUS.RangeCount&gt;=107,F3179=""),"Incomplete","Complete")</f>
        <v>Complete</v>
      </c>
      <c r="I3179" s="55" t="s">
        <v>3376</v>
      </c>
    </row>
    <row r="3180" spans="2:9" ht="15" customHeight="1" x14ac:dyDescent="0.25">
      <c r="B3180" s="51" t="s">
        <v>127</v>
      </c>
      <c r="C3180" s="52">
        <v>108</v>
      </c>
      <c r="D3180" s="53" t="s">
        <v>4330</v>
      </c>
      <c r="E3180" s="54"/>
      <c r="F3180" s="52" t="str">
        <f>IF(INDEX(I.CCUS.EndRange,108)="","",INDEX(I.CCUS.EndRange,108))</f>
        <v/>
      </c>
      <c r="G3180" s="54"/>
      <c r="H3180" s="52" t="str">
        <f>IF(AND(I.Compliance.FulfilledCCUS&gt;0,I.CCUS.RangeCount&gt;=108,F3180=""),"Incomplete","Complete")</f>
        <v>Complete</v>
      </c>
      <c r="I3180" s="55" t="s">
        <v>3377</v>
      </c>
    </row>
    <row r="3181" spans="2:9" ht="15" customHeight="1" x14ac:dyDescent="0.25">
      <c r="B3181" s="51" t="s">
        <v>127</v>
      </c>
      <c r="C3181" s="52">
        <v>109</v>
      </c>
      <c r="D3181" s="53" t="s">
        <v>4330</v>
      </c>
      <c r="E3181" s="54"/>
      <c r="F3181" s="52" t="str">
        <f>IF(INDEX(I.CCUS.EndRange,109)="","",INDEX(I.CCUS.EndRange,109))</f>
        <v/>
      </c>
      <c r="G3181" s="54"/>
      <c r="H3181" s="52" t="str">
        <f>IF(AND(I.Compliance.FulfilledCCUS&gt;0,I.CCUS.RangeCount&gt;=109,F3181=""),"Incomplete","Complete")</f>
        <v>Complete</v>
      </c>
      <c r="I3181" s="55" t="s">
        <v>3378</v>
      </c>
    </row>
    <row r="3182" spans="2:9" ht="15" customHeight="1" x14ac:dyDescent="0.25">
      <c r="B3182" s="51" t="s">
        <v>127</v>
      </c>
      <c r="C3182" s="52">
        <v>110</v>
      </c>
      <c r="D3182" s="53" t="s">
        <v>4330</v>
      </c>
      <c r="E3182" s="54"/>
      <c r="F3182" s="52" t="str">
        <f>IF(INDEX(I.CCUS.EndRange,110)="","",INDEX(I.CCUS.EndRange,110))</f>
        <v/>
      </c>
      <c r="G3182" s="54"/>
      <c r="H3182" s="52" t="str">
        <f>IF(AND(I.Compliance.FulfilledCCUS&gt;0,I.CCUS.RangeCount&gt;=110,F3182=""),"Incomplete","Complete")</f>
        <v>Complete</v>
      </c>
      <c r="I3182" s="55" t="s">
        <v>3379</v>
      </c>
    </row>
    <row r="3183" spans="2:9" ht="15" customHeight="1" x14ac:dyDescent="0.25">
      <c r="B3183" s="51" t="s">
        <v>127</v>
      </c>
      <c r="C3183" s="52">
        <v>111</v>
      </c>
      <c r="D3183" s="53" t="s">
        <v>4330</v>
      </c>
      <c r="E3183" s="54"/>
      <c r="F3183" s="52" t="str">
        <f>IF(INDEX(I.CCUS.EndRange,111)="","",INDEX(I.CCUS.EndRange,111))</f>
        <v/>
      </c>
      <c r="G3183" s="54"/>
      <c r="H3183" s="52" t="str">
        <f>IF(AND(I.Compliance.FulfilledCCUS&gt;0,I.CCUS.RangeCount&gt;=111,F3183=""),"Incomplete","Complete")</f>
        <v>Complete</v>
      </c>
      <c r="I3183" s="55" t="s">
        <v>3380</v>
      </c>
    </row>
    <row r="3184" spans="2:9" ht="15" customHeight="1" x14ac:dyDescent="0.25">
      <c r="B3184" s="51" t="s">
        <v>127</v>
      </c>
      <c r="C3184" s="52">
        <v>112</v>
      </c>
      <c r="D3184" s="53" t="s">
        <v>4330</v>
      </c>
      <c r="E3184" s="54"/>
      <c r="F3184" s="52" t="str">
        <f>IF(INDEX(I.CCUS.EndRange,112)="","",INDEX(I.CCUS.EndRange,112))</f>
        <v/>
      </c>
      <c r="G3184" s="54"/>
      <c r="H3184" s="52" t="str">
        <f>IF(AND(I.Compliance.FulfilledCCUS&gt;0,I.CCUS.RangeCount&gt;=112,F3184=""),"Incomplete","Complete")</f>
        <v>Complete</v>
      </c>
      <c r="I3184" s="55" t="s">
        <v>3381</v>
      </c>
    </row>
    <row r="3185" spans="2:9" ht="15" customHeight="1" x14ac:dyDescent="0.25">
      <c r="B3185" s="51" t="s">
        <v>127</v>
      </c>
      <c r="C3185" s="52">
        <v>113</v>
      </c>
      <c r="D3185" s="53" t="s">
        <v>4330</v>
      </c>
      <c r="E3185" s="54"/>
      <c r="F3185" s="52" t="str">
        <f>IF(INDEX(I.CCUS.EndRange,113)="","",INDEX(I.CCUS.EndRange,113))</f>
        <v/>
      </c>
      <c r="G3185" s="54"/>
      <c r="H3185" s="52" t="str">
        <f>IF(AND(I.Compliance.FulfilledCCUS&gt;0,I.CCUS.RangeCount&gt;=113,F3185=""),"Incomplete","Complete")</f>
        <v>Complete</v>
      </c>
      <c r="I3185" s="55" t="s">
        <v>3382</v>
      </c>
    </row>
    <row r="3186" spans="2:9" ht="15" customHeight="1" x14ac:dyDescent="0.25">
      <c r="B3186" s="51" t="s">
        <v>127</v>
      </c>
      <c r="C3186" s="52">
        <v>114</v>
      </c>
      <c r="D3186" s="53" t="s">
        <v>4330</v>
      </c>
      <c r="E3186" s="54"/>
      <c r="F3186" s="52" t="str">
        <f>IF(INDEX(I.CCUS.EndRange,114)="","",INDEX(I.CCUS.EndRange,114))</f>
        <v/>
      </c>
      <c r="G3186" s="54"/>
      <c r="H3186" s="52" t="str">
        <f>IF(AND(I.Compliance.FulfilledCCUS&gt;0,I.CCUS.RangeCount&gt;=114,F3186=""),"Incomplete","Complete")</f>
        <v>Complete</v>
      </c>
      <c r="I3186" s="55" t="s">
        <v>3383</v>
      </c>
    </row>
    <row r="3187" spans="2:9" ht="15" customHeight="1" x14ac:dyDescent="0.25">
      <c r="B3187" s="51" t="s">
        <v>127</v>
      </c>
      <c r="C3187" s="52">
        <v>115</v>
      </c>
      <c r="D3187" s="53" t="s">
        <v>4330</v>
      </c>
      <c r="E3187" s="54"/>
      <c r="F3187" s="52" t="str">
        <f>IF(INDEX(I.CCUS.EndRange,115)="","",INDEX(I.CCUS.EndRange,115))</f>
        <v/>
      </c>
      <c r="G3187" s="54"/>
      <c r="H3187" s="52" t="str">
        <f>IF(AND(I.Compliance.FulfilledCCUS&gt;0,I.CCUS.RangeCount&gt;=115,F3187=""),"Incomplete","Complete")</f>
        <v>Complete</v>
      </c>
      <c r="I3187" s="55" t="s">
        <v>3384</v>
      </c>
    </row>
    <row r="3188" spans="2:9" ht="15" customHeight="1" x14ac:dyDescent="0.25">
      <c r="B3188" s="51" t="s">
        <v>127</v>
      </c>
      <c r="C3188" s="52">
        <v>116</v>
      </c>
      <c r="D3188" s="53" t="s">
        <v>4330</v>
      </c>
      <c r="E3188" s="54"/>
      <c r="F3188" s="52" t="str">
        <f>IF(INDEX(I.CCUS.EndRange,116)="","",INDEX(I.CCUS.EndRange,116))</f>
        <v/>
      </c>
      <c r="G3188" s="54"/>
      <c r="H3188" s="52" t="str">
        <f>IF(AND(I.Compliance.FulfilledCCUS&gt;0,I.CCUS.RangeCount&gt;=116,F3188=""),"Incomplete","Complete")</f>
        <v>Complete</v>
      </c>
      <c r="I3188" s="55" t="s">
        <v>3385</v>
      </c>
    </row>
    <row r="3189" spans="2:9" ht="15" customHeight="1" x14ac:dyDescent="0.25">
      <c r="B3189" s="51" t="s">
        <v>127</v>
      </c>
      <c r="C3189" s="52">
        <v>117</v>
      </c>
      <c r="D3189" s="53" t="s">
        <v>4330</v>
      </c>
      <c r="E3189" s="54"/>
      <c r="F3189" s="52" t="str">
        <f>IF(INDEX(I.CCUS.EndRange,117)="","",INDEX(I.CCUS.EndRange,117))</f>
        <v/>
      </c>
      <c r="G3189" s="54"/>
      <c r="H3189" s="52" t="str">
        <f>IF(AND(I.Compliance.FulfilledCCUS&gt;0,I.CCUS.RangeCount&gt;=117,F3189=""),"Incomplete","Complete")</f>
        <v>Complete</v>
      </c>
      <c r="I3189" s="55" t="s">
        <v>3386</v>
      </c>
    </row>
    <row r="3190" spans="2:9" ht="15" customHeight="1" x14ac:dyDescent="0.25">
      <c r="B3190" s="51" t="s">
        <v>127</v>
      </c>
      <c r="C3190" s="52">
        <v>118</v>
      </c>
      <c r="D3190" s="53" t="s">
        <v>4330</v>
      </c>
      <c r="E3190" s="54"/>
      <c r="F3190" s="52" t="str">
        <f>IF(INDEX(I.CCUS.EndRange,118)="","",INDEX(I.CCUS.EndRange,118))</f>
        <v/>
      </c>
      <c r="G3190" s="54"/>
      <c r="H3190" s="52" t="str">
        <f>IF(AND(I.Compliance.FulfilledCCUS&gt;0,I.CCUS.RangeCount&gt;=118,F3190=""),"Incomplete","Complete")</f>
        <v>Complete</v>
      </c>
      <c r="I3190" s="55" t="s">
        <v>3387</v>
      </c>
    </row>
    <row r="3191" spans="2:9" ht="15" customHeight="1" x14ac:dyDescent="0.25">
      <c r="B3191" s="51" t="s">
        <v>127</v>
      </c>
      <c r="C3191" s="52">
        <v>119</v>
      </c>
      <c r="D3191" s="53" t="s">
        <v>4330</v>
      </c>
      <c r="E3191" s="54"/>
      <c r="F3191" s="52" t="str">
        <f>IF(INDEX(I.CCUS.EndRange,119)="","",INDEX(I.CCUS.EndRange,119))</f>
        <v/>
      </c>
      <c r="G3191" s="54"/>
      <c r="H3191" s="52" t="str">
        <f>IF(AND(I.Compliance.FulfilledCCUS&gt;0,I.CCUS.RangeCount&gt;=119,F3191=""),"Incomplete","Complete")</f>
        <v>Complete</v>
      </c>
      <c r="I3191" s="55" t="s">
        <v>3388</v>
      </c>
    </row>
    <row r="3192" spans="2:9" ht="15" customHeight="1" x14ac:dyDescent="0.25">
      <c r="B3192" s="51" t="s">
        <v>127</v>
      </c>
      <c r="C3192" s="52">
        <v>120</v>
      </c>
      <c r="D3192" s="53" t="s">
        <v>4330</v>
      </c>
      <c r="E3192" s="54"/>
      <c r="F3192" s="52" t="str">
        <f>IF(INDEX(I.CCUS.EndRange,120)="","",INDEX(I.CCUS.EndRange,120))</f>
        <v/>
      </c>
      <c r="G3192" s="54"/>
      <c r="H3192" s="52" t="str">
        <f>IF(AND(I.Compliance.FulfilledCCUS&gt;0,I.CCUS.RangeCount&gt;=120,F3192=""),"Incomplete","Complete")</f>
        <v>Complete</v>
      </c>
      <c r="I3192" s="55" t="s">
        <v>3389</v>
      </c>
    </row>
    <row r="3193" spans="2:9" ht="15" customHeight="1" x14ac:dyDescent="0.25">
      <c r="B3193" s="51" t="s">
        <v>127</v>
      </c>
      <c r="C3193" s="52">
        <v>121</v>
      </c>
      <c r="D3193" s="53" t="s">
        <v>4330</v>
      </c>
      <c r="E3193" s="54"/>
      <c r="F3193" s="52" t="str">
        <f>IF(INDEX(I.CCUS.EndRange,121)="","",INDEX(I.CCUS.EndRange,121))</f>
        <v/>
      </c>
      <c r="G3193" s="54"/>
      <c r="H3193" s="52" t="str">
        <f>IF(AND(I.Compliance.FulfilledCCUS&gt;0,I.CCUS.RangeCount&gt;=121,F3193=""),"Incomplete","Complete")</f>
        <v>Complete</v>
      </c>
      <c r="I3193" s="55" t="s">
        <v>3390</v>
      </c>
    </row>
    <row r="3194" spans="2:9" ht="15" customHeight="1" x14ac:dyDescent="0.25">
      <c r="B3194" s="51" t="s">
        <v>127</v>
      </c>
      <c r="C3194" s="52">
        <v>122</v>
      </c>
      <c r="D3194" s="53" t="s">
        <v>4330</v>
      </c>
      <c r="E3194" s="54"/>
      <c r="F3194" s="52" t="str">
        <f>IF(INDEX(I.CCUS.EndRange,122)="","",INDEX(I.CCUS.EndRange,122))</f>
        <v/>
      </c>
      <c r="G3194" s="54"/>
      <c r="H3194" s="52" t="str">
        <f>IF(AND(I.Compliance.FulfilledCCUS&gt;0,I.CCUS.RangeCount&gt;=122,F3194=""),"Incomplete","Complete")</f>
        <v>Complete</v>
      </c>
      <c r="I3194" s="55" t="s">
        <v>3391</v>
      </c>
    </row>
    <row r="3195" spans="2:9" ht="15" customHeight="1" x14ac:dyDescent="0.25">
      <c r="B3195" s="51" t="s">
        <v>127</v>
      </c>
      <c r="C3195" s="52">
        <v>123</v>
      </c>
      <c r="D3195" s="53" t="s">
        <v>4330</v>
      </c>
      <c r="E3195" s="54"/>
      <c r="F3195" s="52" t="str">
        <f>IF(INDEX(I.CCUS.EndRange,123)="","",INDEX(I.CCUS.EndRange,123))</f>
        <v/>
      </c>
      <c r="G3195" s="54"/>
      <c r="H3195" s="52" t="str">
        <f>IF(AND(I.Compliance.FulfilledCCUS&gt;0,I.CCUS.RangeCount&gt;=123,F3195=""),"Incomplete","Complete")</f>
        <v>Complete</v>
      </c>
      <c r="I3195" s="55" t="s">
        <v>3392</v>
      </c>
    </row>
    <row r="3196" spans="2:9" ht="15" customHeight="1" x14ac:dyDescent="0.25">
      <c r="B3196" s="51" t="s">
        <v>127</v>
      </c>
      <c r="C3196" s="52">
        <v>124</v>
      </c>
      <c r="D3196" s="53" t="s">
        <v>4330</v>
      </c>
      <c r="E3196" s="54"/>
      <c r="F3196" s="52" t="str">
        <f>IF(INDEX(I.CCUS.EndRange,124)="","",INDEX(I.CCUS.EndRange,124))</f>
        <v/>
      </c>
      <c r="G3196" s="54"/>
      <c r="H3196" s="52" t="str">
        <f>IF(AND(I.Compliance.FulfilledCCUS&gt;0,I.CCUS.RangeCount&gt;=124,F3196=""),"Incomplete","Complete")</f>
        <v>Complete</v>
      </c>
      <c r="I3196" s="55" t="s">
        <v>3393</v>
      </c>
    </row>
    <row r="3197" spans="2:9" ht="15" customHeight="1" x14ac:dyDescent="0.25">
      <c r="B3197" s="51" t="s">
        <v>127</v>
      </c>
      <c r="C3197" s="52">
        <v>125</v>
      </c>
      <c r="D3197" s="53" t="s">
        <v>4330</v>
      </c>
      <c r="E3197" s="54"/>
      <c r="F3197" s="52" t="str">
        <f>IF(INDEX(I.CCUS.EndRange,125)="","",INDEX(I.CCUS.EndRange,125))</f>
        <v/>
      </c>
      <c r="G3197" s="54"/>
      <c r="H3197" s="52" t="str">
        <f>IF(AND(I.Compliance.FulfilledCCUS&gt;0,I.CCUS.RangeCount&gt;=125,F3197=""),"Incomplete","Complete")</f>
        <v>Complete</v>
      </c>
      <c r="I3197" s="55" t="s">
        <v>3394</v>
      </c>
    </row>
    <row r="3198" spans="2:9" ht="15" customHeight="1" x14ac:dyDescent="0.25">
      <c r="B3198" s="51" t="s">
        <v>127</v>
      </c>
      <c r="C3198" s="52">
        <v>126</v>
      </c>
      <c r="D3198" s="53" t="s">
        <v>4330</v>
      </c>
      <c r="E3198" s="54"/>
      <c r="F3198" s="52" t="str">
        <f>IF(INDEX(I.CCUS.EndRange,126)="","",INDEX(I.CCUS.EndRange,126))</f>
        <v/>
      </c>
      <c r="G3198" s="54"/>
      <c r="H3198" s="52" t="str">
        <f>IF(AND(I.Compliance.FulfilledCCUS&gt;0,I.CCUS.RangeCount&gt;=126,F3198=""),"Incomplete","Complete")</f>
        <v>Complete</v>
      </c>
      <c r="I3198" s="55" t="s">
        <v>3395</v>
      </c>
    </row>
    <row r="3199" spans="2:9" ht="15" customHeight="1" x14ac:dyDescent="0.25">
      <c r="B3199" s="51" t="s">
        <v>127</v>
      </c>
      <c r="C3199" s="52">
        <v>127</v>
      </c>
      <c r="D3199" s="53" t="s">
        <v>4330</v>
      </c>
      <c r="E3199" s="54"/>
      <c r="F3199" s="52" t="str">
        <f>IF(INDEX(I.CCUS.EndRange,127)="","",INDEX(I.CCUS.EndRange,127))</f>
        <v/>
      </c>
      <c r="G3199" s="54"/>
      <c r="H3199" s="52" t="str">
        <f>IF(AND(I.Compliance.FulfilledCCUS&gt;0,I.CCUS.RangeCount&gt;=127,F3199=""),"Incomplete","Complete")</f>
        <v>Complete</v>
      </c>
      <c r="I3199" s="55" t="s">
        <v>3396</v>
      </c>
    </row>
    <row r="3200" spans="2:9" ht="15" customHeight="1" x14ac:dyDescent="0.25">
      <c r="B3200" s="51" t="s">
        <v>127</v>
      </c>
      <c r="C3200" s="52">
        <v>128</v>
      </c>
      <c r="D3200" s="53" t="s">
        <v>4330</v>
      </c>
      <c r="E3200" s="54"/>
      <c r="F3200" s="52" t="str">
        <f>IF(INDEX(I.CCUS.EndRange,128)="","",INDEX(I.CCUS.EndRange,128))</f>
        <v/>
      </c>
      <c r="G3200" s="54"/>
      <c r="H3200" s="52" t="str">
        <f>IF(AND(I.Compliance.FulfilledCCUS&gt;0,I.CCUS.RangeCount&gt;=128,F3200=""),"Incomplete","Complete")</f>
        <v>Complete</v>
      </c>
      <c r="I3200" s="55" t="s">
        <v>3397</v>
      </c>
    </row>
    <row r="3201" spans="2:9" ht="15" customHeight="1" x14ac:dyDescent="0.25">
      <c r="B3201" s="51" t="s">
        <v>127</v>
      </c>
      <c r="C3201" s="52">
        <v>129</v>
      </c>
      <c r="D3201" s="53" t="s">
        <v>4330</v>
      </c>
      <c r="E3201" s="54"/>
      <c r="F3201" s="52" t="str">
        <f>IF(INDEX(I.CCUS.EndRange,129)="","",INDEX(I.CCUS.EndRange,129))</f>
        <v/>
      </c>
      <c r="G3201" s="54"/>
      <c r="H3201" s="52" t="str">
        <f>IF(AND(I.Compliance.FulfilledCCUS&gt;0,I.CCUS.RangeCount&gt;=129,F3201=""),"Incomplete","Complete")</f>
        <v>Complete</v>
      </c>
      <c r="I3201" s="55" t="s">
        <v>3398</v>
      </c>
    </row>
    <row r="3202" spans="2:9" ht="15" customHeight="1" x14ac:dyDescent="0.25">
      <c r="B3202" s="51" t="s">
        <v>127</v>
      </c>
      <c r="C3202" s="52">
        <v>130</v>
      </c>
      <c r="D3202" s="53" t="s">
        <v>4330</v>
      </c>
      <c r="E3202" s="54"/>
      <c r="F3202" s="52" t="str">
        <f>IF(INDEX(I.CCUS.EndRange,130)="","",INDEX(I.CCUS.EndRange,130))</f>
        <v/>
      </c>
      <c r="G3202" s="54"/>
      <c r="H3202" s="52" t="str">
        <f>IF(AND(I.Compliance.FulfilledCCUS&gt;0,I.CCUS.RangeCount&gt;=130,F3202=""),"Incomplete","Complete")</f>
        <v>Complete</v>
      </c>
      <c r="I3202" s="55" t="s">
        <v>3399</v>
      </c>
    </row>
    <row r="3203" spans="2:9" ht="15" customHeight="1" x14ac:dyDescent="0.25">
      <c r="B3203" s="51" t="s">
        <v>127</v>
      </c>
      <c r="C3203" s="52">
        <v>131</v>
      </c>
      <c r="D3203" s="53" t="s">
        <v>4330</v>
      </c>
      <c r="E3203" s="54"/>
      <c r="F3203" s="52" t="str">
        <f>IF(INDEX(I.CCUS.EndRange,131)="","",INDEX(I.CCUS.EndRange,131))</f>
        <v/>
      </c>
      <c r="G3203" s="54"/>
      <c r="H3203" s="52" t="str">
        <f>IF(AND(I.Compliance.FulfilledCCUS&gt;0,I.CCUS.RangeCount&gt;=131,F3203=""),"Incomplete","Complete")</f>
        <v>Complete</v>
      </c>
      <c r="I3203" s="55" t="s">
        <v>3400</v>
      </c>
    </row>
    <row r="3204" spans="2:9" ht="15" customHeight="1" x14ac:dyDescent="0.25">
      <c r="B3204" s="51" t="s">
        <v>127</v>
      </c>
      <c r="C3204" s="52">
        <v>132</v>
      </c>
      <c r="D3204" s="53" t="s">
        <v>4330</v>
      </c>
      <c r="E3204" s="54"/>
      <c r="F3204" s="52" t="str">
        <f>IF(INDEX(I.CCUS.EndRange,132)="","",INDEX(I.CCUS.EndRange,132))</f>
        <v/>
      </c>
      <c r="G3204" s="54"/>
      <c r="H3204" s="52" t="str">
        <f>IF(AND(I.Compliance.FulfilledCCUS&gt;0,I.CCUS.RangeCount&gt;=132,F3204=""),"Incomplete","Complete")</f>
        <v>Complete</v>
      </c>
      <c r="I3204" s="55" t="s">
        <v>3401</v>
      </c>
    </row>
    <row r="3205" spans="2:9" ht="15" customHeight="1" x14ac:dyDescent="0.25">
      <c r="B3205" s="51" t="s">
        <v>127</v>
      </c>
      <c r="C3205" s="52">
        <v>133</v>
      </c>
      <c r="D3205" s="53" t="s">
        <v>4330</v>
      </c>
      <c r="E3205" s="54"/>
      <c r="F3205" s="52" t="str">
        <f>IF(INDEX(I.CCUS.EndRange,133)="","",INDEX(I.CCUS.EndRange,133))</f>
        <v/>
      </c>
      <c r="G3205" s="54"/>
      <c r="H3205" s="52" t="str">
        <f>IF(AND(I.Compliance.FulfilledCCUS&gt;0,I.CCUS.RangeCount&gt;=133,F3205=""),"Incomplete","Complete")</f>
        <v>Complete</v>
      </c>
      <c r="I3205" s="55" t="s">
        <v>3402</v>
      </c>
    </row>
    <row r="3206" spans="2:9" ht="15" customHeight="1" x14ac:dyDescent="0.25">
      <c r="B3206" s="51" t="s">
        <v>127</v>
      </c>
      <c r="C3206" s="52">
        <v>134</v>
      </c>
      <c r="D3206" s="53" t="s">
        <v>4330</v>
      </c>
      <c r="E3206" s="54"/>
      <c r="F3206" s="52" t="str">
        <f>IF(INDEX(I.CCUS.EndRange,134)="","",INDEX(I.CCUS.EndRange,134))</f>
        <v/>
      </c>
      <c r="G3206" s="54"/>
      <c r="H3206" s="52" t="str">
        <f>IF(AND(I.Compliance.FulfilledCCUS&gt;0,I.CCUS.RangeCount&gt;=134,F3206=""),"Incomplete","Complete")</f>
        <v>Complete</v>
      </c>
      <c r="I3206" s="55" t="s">
        <v>3403</v>
      </c>
    </row>
    <row r="3207" spans="2:9" ht="15" customHeight="1" x14ac:dyDescent="0.25">
      <c r="B3207" s="51" t="s">
        <v>127</v>
      </c>
      <c r="C3207" s="52">
        <v>135</v>
      </c>
      <c r="D3207" s="53" t="s">
        <v>4330</v>
      </c>
      <c r="E3207" s="54"/>
      <c r="F3207" s="52" t="str">
        <f>IF(INDEX(I.CCUS.EndRange,135)="","",INDEX(I.CCUS.EndRange,135))</f>
        <v/>
      </c>
      <c r="G3207" s="54"/>
      <c r="H3207" s="52" t="str">
        <f>IF(AND(I.Compliance.FulfilledCCUS&gt;0,I.CCUS.RangeCount&gt;=135,F3207=""),"Incomplete","Complete")</f>
        <v>Complete</v>
      </c>
      <c r="I3207" s="55" t="s">
        <v>3404</v>
      </c>
    </row>
    <row r="3208" spans="2:9" ht="15" customHeight="1" x14ac:dyDescent="0.25">
      <c r="B3208" s="51" t="s">
        <v>127</v>
      </c>
      <c r="C3208" s="52">
        <v>136</v>
      </c>
      <c r="D3208" s="53" t="s">
        <v>4330</v>
      </c>
      <c r="E3208" s="54"/>
      <c r="F3208" s="52" t="str">
        <f>IF(INDEX(I.CCUS.EndRange,136)="","",INDEX(I.CCUS.EndRange,136))</f>
        <v/>
      </c>
      <c r="G3208" s="54"/>
      <c r="H3208" s="52" t="str">
        <f>IF(AND(I.Compliance.FulfilledCCUS&gt;0,I.CCUS.RangeCount&gt;=136,F3208=""),"Incomplete","Complete")</f>
        <v>Complete</v>
      </c>
      <c r="I3208" s="55" t="s">
        <v>3405</v>
      </c>
    </row>
    <row r="3209" spans="2:9" ht="15" customHeight="1" x14ac:dyDescent="0.25">
      <c r="B3209" s="51" t="s">
        <v>127</v>
      </c>
      <c r="C3209" s="52">
        <v>137</v>
      </c>
      <c r="D3209" s="53" t="s">
        <v>4330</v>
      </c>
      <c r="E3209" s="54"/>
      <c r="F3209" s="52" t="str">
        <f>IF(INDEX(I.CCUS.EndRange,137)="","",INDEX(I.CCUS.EndRange,137))</f>
        <v/>
      </c>
      <c r="G3209" s="54"/>
      <c r="H3209" s="52" t="str">
        <f>IF(AND(I.Compliance.FulfilledCCUS&gt;0,I.CCUS.RangeCount&gt;=137,F3209=""),"Incomplete","Complete")</f>
        <v>Complete</v>
      </c>
      <c r="I3209" s="55" t="s">
        <v>3406</v>
      </c>
    </row>
    <row r="3210" spans="2:9" ht="15" customHeight="1" x14ac:dyDescent="0.25">
      <c r="B3210" s="51" t="s">
        <v>127</v>
      </c>
      <c r="C3210" s="52">
        <v>138</v>
      </c>
      <c r="D3210" s="53" t="s">
        <v>4330</v>
      </c>
      <c r="E3210" s="54"/>
      <c r="F3210" s="52" t="str">
        <f>IF(INDEX(I.CCUS.EndRange,138)="","",INDEX(I.CCUS.EndRange,138))</f>
        <v/>
      </c>
      <c r="G3210" s="54"/>
      <c r="H3210" s="52" t="str">
        <f>IF(AND(I.Compliance.FulfilledCCUS&gt;0,I.CCUS.RangeCount&gt;=138,F3210=""),"Incomplete","Complete")</f>
        <v>Complete</v>
      </c>
      <c r="I3210" s="55" t="s">
        <v>3407</v>
      </c>
    </row>
    <row r="3211" spans="2:9" ht="15" customHeight="1" x14ac:dyDescent="0.25">
      <c r="B3211" s="51" t="s">
        <v>127</v>
      </c>
      <c r="C3211" s="52">
        <v>139</v>
      </c>
      <c r="D3211" s="53" t="s">
        <v>4330</v>
      </c>
      <c r="E3211" s="54"/>
      <c r="F3211" s="52" t="str">
        <f>IF(INDEX(I.CCUS.EndRange,139)="","",INDEX(I.CCUS.EndRange,139))</f>
        <v/>
      </c>
      <c r="G3211" s="54"/>
      <c r="H3211" s="52" t="str">
        <f>IF(AND(I.Compliance.FulfilledCCUS&gt;0,I.CCUS.RangeCount&gt;=139,F3211=""),"Incomplete","Complete")</f>
        <v>Complete</v>
      </c>
      <c r="I3211" s="55" t="s">
        <v>3408</v>
      </c>
    </row>
    <row r="3212" spans="2:9" ht="15" customHeight="1" x14ac:dyDescent="0.25">
      <c r="B3212" s="51" t="s">
        <v>127</v>
      </c>
      <c r="C3212" s="52">
        <v>140</v>
      </c>
      <c r="D3212" s="53" t="s">
        <v>4330</v>
      </c>
      <c r="E3212" s="54"/>
      <c r="F3212" s="52" t="str">
        <f>IF(INDEX(I.CCUS.EndRange,140)="","",INDEX(I.CCUS.EndRange,140))</f>
        <v/>
      </c>
      <c r="G3212" s="54"/>
      <c r="H3212" s="52" t="str">
        <f>IF(AND(I.Compliance.FulfilledCCUS&gt;0,I.CCUS.RangeCount&gt;=140,F3212=""),"Incomplete","Complete")</f>
        <v>Complete</v>
      </c>
      <c r="I3212" s="55" t="s">
        <v>3409</v>
      </c>
    </row>
    <row r="3213" spans="2:9" ht="15" customHeight="1" x14ac:dyDescent="0.25">
      <c r="B3213" s="51" t="s">
        <v>127</v>
      </c>
      <c r="C3213" s="52">
        <v>141</v>
      </c>
      <c r="D3213" s="53" t="s">
        <v>4330</v>
      </c>
      <c r="E3213" s="54"/>
      <c r="F3213" s="52" t="str">
        <f>IF(INDEX(I.CCUS.EndRange,141)="","",INDEX(I.CCUS.EndRange,141))</f>
        <v/>
      </c>
      <c r="G3213" s="54"/>
      <c r="H3213" s="52" t="str">
        <f>IF(AND(I.Compliance.FulfilledCCUS&gt;0,I.CCUS.RangeCount&gt;=141,F3213=""),"Incomplete","Complete")</f>
        <v>Complete</v>
      </c>
      <c r="I3213" s="55" t="s">
        <v>3410</v>
      </c>
    </row>
    <row r="3214" spans="2:9" ht="15" customHeight="1" x14ac:dyDescent="0.25">
      <c r="B3214" s="51" t="s">
        <v>127</v>
      </c>
      <c r="C3214" s="52">
        <v>142</v>
      </c>
      <c r="D3214" s="53" t="s">
        <v>4330</v>
      </c>
      <c r="E3214" s="54"/>
      <c r="F3214" s="52" t="str">
        <f>IF(INDEX(I.CCUS.EndRange,142)="","",INDEX(I.CCUS.EndRange,142))</f>
        <v/>
      </c>
      <c r="G3214" s="54"/>
      <c r="H3214" s="52" t="str">
        <f>IF(AND(I.Compliance.FulfilledCCUS&gt;0,I.CCUS.RangeCount&gt;=142,F3214=""),"Incomplete","Complete")</f>
        <v>Complete</v>
      </c>
      <c r="I3214" s="55" t="s">
        <v>3411</v>
      </c>
    </row>
    <row r="3215" spans="2:9" ht="15" customHeight="1" x14ac:dyDescent="0.25">
      <c r="B3215" s="51" t="s">
        <v>127</v>
      </c>
      <c r="C3215" s="52">
        <v>143</v>
      </c>
      <c r="D3215" s="53" t="s">
        <v>4330</v>
      </c>
      <c r="E3215" s="54"/>
      <c r="F3215" s="52" t="str">
        <f>IF(INDEX(I.CCUS.EndRange,143)="","",INDEX(I.CCUS.EndRange,143))</f>
        <v/>
      </c>
      <c r="G3215" s="54"/>
      <c r="H3215" s="52" t="str">
        <f>IF(AND(I.Compliance.FulfilledCCUS&gt;0,I.CCUS.RangeCount&gt;=143,F3215=""),"Incomplete","Complete")</f>
        <v>Complete</v>
      </c>
      <c r="I3215" s="55" t="s">
        <v>3412</v>
      </c>
    </row>
    <row r="3216" spans="2:9" ht="15" customHeight="1" x14ac:dyDescent="0.25">
      <c r="B3216" s="51" t="s">
        <v>127</v>
      </c>
      <c r="C3216" s="52">
        <v>144</v>
      </c>
      <c r="D3216" s="53" t="s">
        <v>4330</v>
      </c>
      <c r="E3216" s="54"/>
      <c r="F3216" s="52" t="str">
        <f>IF(INDEX(I.CCUS.EndRange,144)="","",INDEX(I.CCUS.EndRange,144))</f>
        <v/>
      </c>
      <c r="G3216" s="54"/>
      <c r="H3216" s="52" t="str">
        <f>IF(AND(I.Compliance.FulfilledCCUS&gt;0,I.CCUS.RangeCount&gt;=144,F3216=""),"Incomplete","Complete")</f>
        <v>Complete</v>
      </c>
      <c r="I3216" s="55" t="s">
        <v>3413</v>
      </c>
    </row>
    <row r="3217" spans="2:9" ht="15" customHeight="1" x14ac:dyDescent="0.25">
      <c r="B3217" s="51" t="s">
        <v>127</v>
      </c>
      <c r="C3217" s="52">
        <v>145</v>
      </c>
      <c r="D3217" s="53" t="s">
        <v>4330</v>
      </c>
      <c r="E3217" s="54"/>
      <c r="F3217" s="52" t="str">
        <f>IF(INDEX(I.CCUS.EndRange,145)="","",INDEX(I.CCUS.EndRange,145))</f>
        <v/>
      </c>
      <c r="G3217" s="54"/>
      <c r="H3217" s="52" t="str">
        <f>IF(AND(I.Compliance.FulfilledCCUS&gt;0,I.CCUS.RangeCount&gt;=145,F3217=""),"Incomplete","Complete")</f>
        <v>Complete</v>
      </c>
      <c r="I3217" s="55" t="s">
        <v>3414</v>
      </c>
    </row>
    <row r="3218" spans="2:9" ht="15" customHeight="1" x14ac:dyDescent="0.25">
      <c r="B3218" s="51" t="s">
        <v>127</v>
      </c>
      <c r="C3218" s="52">
        <v>146</v>
      </c>
      <c r="D3218" s="53" t="s">
        <v>4330</v>
      </c>
      <c r="E3218" s="54"/>
      <c r="F3218" s="52" t="str">
        <f>IF(INDEX(I.CCUS.EndRange,146)="","",INDEX(I.CCUS.EndRange,146))</f>
        <v/>
      </c>
      <c r="G3218" s="54"/>
      <c r="H3218" s="52" t="str">
        <f>IF(AND(I.Compliance.FulfilledCCUS&gt;0,I.CCUS.RangeCount&gt;=146,F3218=""),"Incomplete","Complete")</f>
        <v>Complete</v>
      </c>
      <c r="I3218" s="55" t="s">
        <v>3415</v>
      </c>
    </row>
    <row r="3219" spans="2:9" ht="15" customHeight="1" x14ac:dyDescent="0.25">
      <c r="B3219" s="51" t="s">
        <v>127</v>
      </c>
      <c r="C3219" s="52">
        <v>147</v>
      </c>
      <c r="D3219" s="53" t="s">
        <v>4330</v>
      </c>
      <c r="E3219" s="54"/>
      <c r="F3219" s="52" t="str">
        <f>IF(INDEX(I.CCUS.EndRange,147)="","",INDEX(I.CCUS.EndRange,147))</f>
        <v/>
      </c>
      <c r="G3219" s="54"/>
      <c r="H3219" s="52" t="str">
        <f>IF(AND(I.Compliance.FulfilledCCUS&gt;0,I.CCUS.RangeCount&gt;=147,F3219=""),"Incomplete","Complete")</f>
        <v>Complete</v>
      </c>
      <c r="I3219" s="55" t="s">
        <v>3416</v>
      </c>
    </row>
    <row r="3220" spans="2:9" ht="15" customHeight="1" x14ac:dyDescent="0.25">
      <c r="B3220" s="51" t="s">
        <v>127</v>
      </c>
      <c r="C3220" s="52">
        <v>148</v>
      </c>
      <c r="D3220" s="53" t="s">
        <v>4330</v>
      </c>
      <c r="E3220" s="54"/>
      <c r="F3220" s="52" t="str">
        <f>IF(INDEX(I.CCUS.EndRange,148)="","",INDEX(I.CCUS.EndRange,148))</f>
        <v/>
      </c>
      <c r="G3220" s="54"/>
      <c r="H3220" s="52" t="str">
        <f>IF(AND(I.Compliance.FulfilledCCUS&gt;0,I.CCUS.RangeCount&gt;=148,F3220=""),"Incomplete","Complete")</f>
        <v>Complete</v>
      </c>
      <c r="I3220" s="55" t="s">
        <v>3417</v>
      </c>
    </row>
    <row r="3221" spans="2:9" ht="15" customHeight="1" x14ac:dyDescent="0.25">
      <c r="B3221" s="51" t="s">
        <v>127</v>
      </c>
      <c r="C3221" s="52">
        <v>149</v>
      </c>
      <c r="D3221" s="53" t="s">
        <v>4330</v>
      </c>
      <c r="E3221" s="54"/>
      <c r="F3221" s="52" t="str">
        <f>IF(INDEX(I.CCUS.EndRange,149)="","",INDEX(I.CCUS.EndRange,149))</f>
        <v/>
      </c>
      <c r="G3221" s="54"/>
      <c r="H3221" s="52" t="str">
        <f>IF(AND(I.Compliance.FulfilledCCUS&gt;0,I.CCUS.RangeCount&gt;=149,F3221=""),"Incomplete","Complete")</f>
        <v>Complete</v>
      </c>
      <c r="I3221" s="55" t="s">
        <v>3418</v>
      </c>
    </row>
    <row r="3222" spans="2:9" ht="15" customHeight="1" x14ac:dyDescent="0.25">
      <c r="B3222" s="51" t="s">
        <v>127</v>
      </c>
      <c r="C3222" s="52">
        <v>150</v>
      </c>
      <c r="D3222" s="53" t="s">
        <v>4330</v>
      </c>
      <c r="E3222" s="54"/>
      <c r="F3222" s="52" t="str">
        <f>IF(INDEX(I.CCUS.EndRange,150)="","",INDEX(I.CCUS.EndRange,150))</f>
        <v/>
      </c>
      <c r="G3222" s="54"/>
      <c r="H3222" s="52" t="str">
        <f>IF(AND(I.Compliance.FulfilledCCUS&gt;0,I.CCUS.RangeCount&gt;=150,F3222=""),"Incomplete","Complete")</f>
        <v>Complete</v>
      </c>
      <c r="I3222" s="55" t="s">
        <v>3419</v>
      </c>
    </row>
    <row r="3223" spans="2:9" ht="15" customHeight="1" x14ac:dyDescent="0.25">
      <c r="B3223" s="51" t="s">
        <v>127</v>
      </c>
      <c r="C3223" s="52">
        <v>151</v>
      </c>
      <c r="D3223" s="53" t="s">
        <v>4330</v>
      </c>
      <c r="E3223" s="54"/>
      <c r="F3223" s="52" t="str">
        <f>IF(INDEX(I.CCUS.EndRange,151)="","",INDEX(I.CCUS.EndRange,151))</f>
        <v/>
      </c>
      <c r="G3223" s="54"/>
      <c r="H3223" s="52" t="str">
        <f>IF(AND(I.Compliance.FulfilledCCUS&gt;0,I.CCUS.RangeCount&gt;=151,F3223=""),"Incomplete","Complete")</f>
        <v>Complete</v>
      </c>
      <c r="I3223" s="55" t="s">
        <v>3420</v>
      </c>
    </row>
    <row r="3224" spans="2:9" ht="15" customHeight="1" x14ac:dyDescent="0.25">
      <c r="B3224" s="51" t="s">
        <v>127</v>
      </c>
      <c r="C3224" s="52">
        <v>152</v>
      </c>
      <c r="D3224" s="53" t="s">
        <v>4330</v>
      </c>
      <c r="E3224" s="54"/>
      <c r="F3224" s="52" t="str">
        <f>IF(INDEX(I.CCUS.EndRange,152)="","",INDEX(I.CCUS.EndRange,152))</f>
        <v/>
      </c>
      <c r="G3224" s="54"/>
      <c r="H3224" s="52" t="str">
        <f>IF(AND(I.Compliance.FulfilledCCUS&gt;0,I.CCUS.RangeCount&gt;=152,F3224=""),"Incomplete","Complete")</f>
        <v>Complete</v>
      </c>
      <c r="I3224" s="55" t="s">
        <v>3421</v>
      </c>
    </row>
    <row r="3225" spans="2:9" ht="15" customHeight="1" x14ac:dyDescent="0.25">
      <c r="B3225" s="51" t="s">
        <v>127</v>
      </c>
      <c r="C3225" s="52">
        <v>153</v>
      </c>
      <c r="D3225" s="53" t="s">
        <v>4330</v>
      </c>
      <c r="E3225" s="54"/>
      <c r="F3225" s="52" t="str">
        <f>IF(INDEX(I.CCUS.EndRange,153)="","",INDEX(I.CCUS.EndRange,153))</f>
        <v/>
      </c>
      <c r="G3225" s="54"/>
      <c r="H3225" s="52" t="str">
        <f>IF(AND(I.Compliance.FulfilledCCUS&gt;0,I.CCUS.RangeCount&gt;=153,F3225=""),"Incomplete","Complete")</f>
        <v>Complete</v>
      </c>
      <c r="I3225" s="55" t="s">
        <v>3422</v>
      </c>
    </row>
    <row r="3226" spans="2:9" ht="15" customHeight="1" x14ac:dyDescent="0.25">
      <c r="B3226" s="51" t="s">
        <v>127</v>
      </c>
      <c r="C3226" s="52">
        <v>154</v>
      </c>
      <c r="D3226" s="53" t="s">
        <v>4330</v>
      </c>
      <c r="E3226" s="54"/>
      <c r="F3226" s="52" t="str">
        <f>IF(INDEX(I.CCUS.EndRange,154)="","",INDEX(I.CCUS.EndRange,154))</f>
        <v/>
      </c>
      <c r="G3226" s="54"/>
      <c r="H3226" s="52" t="str">
        <f>IF(AND(I.Compliance.FulfilledCCUS&gt;0,I.CCUS.RangeCount&gt;=154,F3226=""),"Incomplete","Complete")</f>
        <v>Complete</v>
      </c>
      <c r="I3226" s="55" t="s">
        <v>3423</v>
      </c>
    </row>
    <row r="3227" spans="2:9" ht="15" customHeight="1" x14ac:dyDescent="0.25">
      <c r="B3227" s="51" t="s">
        <v>127</v>
      </c>
      <c r="C3227" s="52">
        <v>155</v>
      </c>
      <c r="D3227" s="53" t="s">
        <v>4330</v>
      </c>
      <c r="E3227" s="54"/>
      <c r="F3227" s="52" t="str">
        <f>IF(INDEX(I.CCUS.EndRange,155)="","",INDEX(I.CCUS.EndRange,155))</f>
        <v/>
      </c>
      <c r="G3227" s="54"/>
      <c r="H3227" s="52" t="str">
        <f>IF(AND(I.Compliance.FulfilledCCUS&gt;0,I.CCUS.RangeCount&gt;=155,F3227=""),"Incomplete","Complete")</f>
        <v>Complete</v>
      </c>
      <c r="I3227" s="55" t="s">
        <v>3424</v>
      </c>
    </row>
    <row r="3228" spans="2:9" ht="15" customHeight="1" x14ac:dyDescent="0.25">
      <c r="B3228" s="51" t="s">
        <v>127</v>
      </c>
      <c r="C3228" s="52">
        <v>156</v>
      </c>
      <c r="D3228" s="53" t="s">
        <v>4330</v>
      </c>
      <c r="E3228" s="54"/>
      <c r="F3228" s="52" t="str">
        <f>IF(INDEX(I.CCUS.EndRange,156)="","",INDEX(I.CCUS.EndRange,156))</f>
        <v/>
      </c>
      <c r="G3228" s="54"/>
      <c r="H3228" s="52" t="str">
        <f>IF(AND(I.Compliance.FulfilledCCUS&gt;0,I.CCUS.RangeCount&gt;=156,F3228=""),"Incomplete","Complete")</f>
        <v>Complete</v>
      </c>
      <c r="I3228" s="55" t="s">
        <v>3425</v>
      </c>
    </row>
    <row r="3229" spans="2:9" ht="15" customHeight="1" x14ac:dyDescent="0.25">
      <c r="B3229" s="51" t="s">
        <v>127</v>
      </c>
      <c r="C3229" s="52">
        <v>157</v>
      </c>
      <c r="D3229" s="53" t="s">
        <v>4330</v>
      </c>
      <c r="E3229" s="54"/>
      <c r="F3229" s="52" t="str">
        <f>IF(INDEX(I.CCUS.EndRange,157)="","",INDEX(I.CCUS.EndRange,157))</f>
        <v/>
      </c>
      <c r="G3229" s="54"/>
      <c r="H3229" s="52" t="str">
        <f>IF(AND(I.Compliance.FulfilledCCUS&gt;0,I.CCUS.RangeCount&gt;=157,F3229=""),"Incomplete","Complete")</f>
        <v>Complete</v>
      </c>
      <c r="I3229" s="55" t="s">
        <v>3426</v>
      </c>
    </row>
    <row r="3230" spans="2:9" ht="15" customHeight="1" x14ac:dyDescent="0.25">
      <c r="B3230" s="51" t="s">
        <v>127</v>
      </c>
      <c r="C3230" s="52">
        <v>158</v>
      </c>
      <c r="D3230" s="53" t="s">
        <v>4330</v>
      </c>
      <c r="E3230" s="54"/>
      <c r="F3230" s="52" t="str">
        <f>IF(INDEX(I.CCUS.EndRange,158)="","",INDEX(I.CCUS.EndRange,158))</f>
        <v/>
      </c>
      <c r="G3230" s="54"/>
      <c r="H3230" s="52" t="str">
        <f>IF(AND(I.Compliance.FulfilledCCUS&gt;0,I.CCUS.RangeCount&gt;=158,F3230=""),"Incomplete","Complete")</f>
        <v>Complete</v>
      </c>
      <c r="I3230" s="55" t="s">
        <v>3427</v>
      </c>
    </row>
    <row r="3231" spans="2:9" ht="15" customHeight="1" x14ac:dyDescent="0.25">
      <c r="B3231" s="51" t="s">
        <v>127</v>
      </c>
      <c r="C3231" s="52">
        <v>159</v>
      </c>
      <c r="D3231" s="53" t="s">
        <v>4330</v>
      </c>
      <c r="E3231" s="54"/>
      <c r="F3231" s="52" t="str">
        <f>IF(INDEX(I.CCUS.EndRange,159)="","",INDEX(I.CCUS.EndRange,159))</f>
        <v/>
      </c>
      <c r="G3231" s="54"/>
      <c r="H3231" s="52" t="str">
        <f>IF(AND(I.Compliance.FulfilledCCUS&gt;0,I.CCUS.RangeCount&gt;=159,F3231=""),"Incomplete","Complete")</f>
        <v>Complete</v>
      </c>
      <c r="I3231" s="55" t="s">
        <v>3428</v>
      </c>
    </row>
    <row r="3232" spans="2:9" ht="15" customHeight="1" x14ac:dyDescent="0.25">
      <c r="B3232" s="51" t="s">
        <v>127</v>
      </c>
      <c r="C3232" s="52">
        <v>160</v>
      </c>
      <c r="D3232" s="53" t="s">
        <v>4330</v>
      </c>
      <c r="E3232" s="54"/>
      <c r="F3232" s="52" t="str">
        <f>IF(INDEX(I.CCUS.EndRange,160)="","",INDEX(I.CCUS.EndRange,160))</f>
        <v/>
      </c>
      <c r="G3232" s="54"/>
      <c r="H3232" s="52" t="str">
        <f>IF(AND(I.Compliance.FulfilledCCUS&gt;0,I.CCUS.RangeCount&gt;=160,F3232=""),"Incomplete","Complete")</f>
        <v>Complete</v>
      </c>
      <c r="I3232" s="55" t="s">
        <v>3429</v>
      </c>
    </row>
    <row r="3233" spans="2:9" ht="15" customHeight="1" x14ac:dyDescent="0.25">
      <c r="B3233" s="51" t="s">
        <v>127</v>
      </c>
      <c r="C3233" s="52">
        <v>161</v>
      </c>
      <c r="D3233" s="53" t="s">
        <v>4330</v>
      </c>
      <c r="E3233" s="54"/>
      <c r="F3233" s="52" t="str">
        <f>IF(INDEX(I.CCUS.EndRange,161)="","",INDEX(I.CCUS.EndRange,161))</f>
        <v/>
      </c>
      <c r="G3233" s="54"/>
      <c r="H3233" s="52" t="str">
        <f>IF(AND(I.Compliance.FulfilledCCUS&gt;0,I.CCUS.RangeCount&gt;=161,F3233=""),"Incomplete","Complete")</f>
        <v>Complete</v>
      </c>
      <c r="I3233" s="55" t="s">
        <v>3430</v>
      </c>
    </row>
    <row r="3234" spans="2:9" ht="15" customHeight="1" x14ac:dyDescent="0.25">
      <c r="B3234" s="51" t="s">
        <v>127</v>
      </c>
      <c r="C3234" s="52">
        <v>162</v>
      </c>
      <c r="D3234" s="53" t="s">
        <v>4330</v>
      </c>
      <c r="E3234" s="54"/>
      <c r="F3234" s="52" t="str">
        <f>IF(INDEX(I.CCUS.EndRange,162)="","",INDEX(I.CCUS.EndRange,162))</f>
        <v/>
      </c>
      <c r="G3234" s="54"/>
      <c r="H3234" s="52" t="str">
        <f>IF(AND(I.Compliance.FulfilledCCUS&gt;0,I.CCUS.RangeCount&gt;=162,F3234=""),"Incomplete","Complete")</f>
        <v>Complete</v>
      </c>
      <c r="I3234" s="55" t="s">
        <v>3431</v>
      </c>
    </row>
    <row r="3235" spans="2:9" ht="15" customHeight="1" x14ac:dyDescent="0.25">
      <c r="B3235" s="51" t="s">
        <v>127</v>
      </c>
      <c r="C3235" s="52">
        <v>163</v>
      </c>
      <c r="D3235" s="53" t="s">
        <v>4330</v>
      </c>
      <c r="E3235" s="54"/>
      <c r="F3235" s="52" t="str">
        <f>IF(INDEX(I.CCUS.EndRange,163)="","",INDEX(I.CCUS.EndRange,163))</f>
        <v/>
      </c>
      <c r="G3235" s="54"/>
      <c r="H3235" s="52" t="str">
        <f>IF(AND(I.Compliance.FulfilledCCUS&gt;0,I.CCUS.RangeCount&gt;=163,F3235=""),"Incomplete","Complete")</f>
        <v>Complete</v>
      </c>
      <c r="I3235" s="55" t="s">
        <v>3432</v>
      </c>
    </row>
    <row r="3236" spans="2:9" ht="15" customHeight="1" x14ac:dyDescent="0.25">
      <c r="B3236" s="51" t="s">
        <v>127</v>
      </c>
      <c r="C3236" s="52">
        <v>164</v>
      </c>
      <c r="D3236" s="53" t="s">
        <v>4330</v>
      </c>
      <c r="E3236" s="54"/>
      <c r="F3236" s="52" t="str">
        <f>IF(INDEX(I.CCUS.EndRange,164)="","",INDEX(I.CCUS.EndRange,164))</f>
        <v/>
      </c>
      <c r="G3236" s="54"/>
      <c r="H3236" s="52" t="str">
        <f>IF(AND(I.Compliance.FulfilledCCUS&gt;0,I.CCUS.RangeCount&gt;=164,F3236=""),"Incomplete","Complete")</f>
        <v>Complete</v>
      </c>
      <c r="I3236" s="55" t="s">
        <v>3433</v>
      </c>
    </row>
    <row r="3237" spans="2:9" ht="15" customHeight="1" x14ac:dyDescent="0.25">
      <c r="B3237" s="51" t="s">
        <v>127</v>
      </c>
      <c r="C3237" s="52">
        <v>165</v>
      </c>
      <c r="D3237" s="53" t="s">
        <v>4330</v>
      </c>
      <c r="E3237" s="54"/>
      <c r="F3237" s="52" t="str">
        <f>IF(INDEX(I.CCUS.EndRange,165)="","",INDEX(I.CCUS.EndRange,165))</f>
        <v/>
      </c>
      <c r="G3237" s="54"/>
      <c r="H3237" s="52" t="str">
        <f>IF(AND(I.Compliance.FulfilledCCUS&gt;0,I.CCUS.RangeCount&gt;=165,F3237=""),"Incomplete","Complete")</f>
        <v>Complete</v>
      </c>
      <c r="I3237" s="55" t="s">
        <v>3434</v>
      </c>
    </row>
    <row r="3238" spans="2:9" ht="15" customHeight="1" x14ac:dyDescent="0.25">
      <c r="B3238" s="51" t="s">
        <v>127</v>
      </c>
      <c r="C3238" s="52">
        <v>166</v>
      </c>
      <c r="D3238" s="53" t="s">
        <v>4330</v>
      </c>
      <c r="E3238" s="54"/>
      <c r="F3238" s="52" t="str">
        <f>IF(INDEX(I.CCUS.EndRange,166)="","",INDEX(I.CCUS.EndRange,166))</f>
        <v/>
      </c>
      <c r="G3238" s="54"/>
      <c r="H3238" s="52" t="str">
        <f>IF(AND(I.Compliance.FulfilledCCUS&gt;0,I.CCUS.RangeCount&gt;=166,F3238=""),"Incomplete","Complete")</f>
        <v>Complete</v>
      </c>
      <c r="I3238" s="55" t="s">
        <v>3435</v>
      </c>
    </row>
    <row r="3239" spans="2:9" ht="15" customHeight="1" x14ac:dyDescent="0.25">
      <c r="B3239" s="51" t="s">
        <v>127</v>
      </c>
      <c r="C3239" s="52">
        <v>167</v>
      </c>
      <c r="D3239" s="53" t="s">
        <v>4330</v>
      </c>
      <c r="E3239" s="54"/>
      <c r="F3239" s="52" t="str">
        <f>IF(INDEX(I.CCUS.EndRange,167)="","",INDEX(I.CCUS.EndRange,167))</f>
        <v/>
      </c>
      <c r="G3239" s="54"/>
      <c r="H3239" s="52" t="str">
        <f>IF(AND(I.Compliance.FulfilledCCUS&gt;0,I.CCUS.RangeCount&gt;=167,F3239=""),"Incomplete","Complete")</f>
        <v>Complete</v>
      </c>
      <c r="I3239" s="55" t="s">
        <v>3436</v>
      </c>
    </row>
    <row r="3240" spans="2:9" ht="15" customHeight="1" x14ac:dyDescent="0.25">
      <c r="B3240" s="51" t="s">
        <v>127</v>
      </c>
      <c r="C3240" s="52">
        <v>168</v>
      </c>
      <c r="D3240" s="53" t="s">
        <v>4330</v>
      </c>
      <c r="E3240" s="54"/>
      <c r="F3240" s="52" t="str">
        <f>IF(INDEX(I.CCUS.EndRange,168)="","",INDEX(I.CCUS.EndRange,168))</f>
        <v/>
      </c>
      <c r="G3240" s="54"/>
      <c r="H3240" s="52" t="str">
        <f>IF(AND(I.Compliance.FulfilledCCUS&gt;0,I.CCUS.RangeCount&gt;=168,F3240=""),"Incomplete","Complete")</f>
        <v>Complete</v>
      </c>
      <c r="I3240" s="55" t="s">
        <v>3437</v>
      </c>
    </row>
    <row r="3241" spans="2:9" ht="15" customHeight="1" x14ac:dyDescent="0.25">
      <c r="B3241" s="51" t="s">
        <v>127</v>
      </c>
      <c r="C3241" s="52">
        <v>169</v>
      </c>
      <c r="D3241" s="53" t="s">
        <v>4330</v>
      </c>
      <c r="E3241" s="54"/>
      <c r="F3241" s="52" t="str">
        <f>IF(INDEX(I.CCUS.EndRange,169)="","",INDEX(I.CCUS.EndRange,169))</f>
        <v/>
      </c>
      <c r="G3241" s="54"/>
      <c r="H3241" s="52" t="str">
        <f>IF(AND(I.Compliance.FulfilledCCUS&gt;0,I.CCUS.RangeCount&gt;=169,F3241=""),"Incomplete","Complete")</f>
        <v>Complete</v>
      </c>
      <c r="I3241" s="55" t="s">
        <v>3438</v>
      </c>
    </row>
    <row r="3242" spans="2:9" ht="15" customHeight="1" x14ac:dyDescent="0.25">
      <c r="B3242" s="51" t="s">
        <v>127</v>
      </c>
      <c r="C3242" s="52">
        <v>170</v>
      </c>
      <c r="D3242" s="53" t="s">
        <v>4330</v>
      </c>
      <c r="E3242" s="54"/>
      <c r="F3242" s="52" t="str">
        <f>IF(INDEX(I.CCUS.EndRange,170)="","",INDEX(I.CCUS.EndRange,170))</f>
        <v/>
      </c>
      <c r="G3242" s="54"/>
      <c r="H3242" s="52" t="str">
        <f>IF(AND(I.Compliance.FulfilledCCUS&gt;0,I.CCUS.RangeCount&gt;=170,F3242=""),"Incomplete","Complete")</f>
        <v>Complete</v>
      </c>
      <c r="I3242" s="55" t="s">
        <v>3439</v>
      </c>
    </row>
    <row r="3243" spans="2:9" ht="15" customHeight="1" x14ac:dyDescent="0.25">
      <c r="B3243" s="51" t="s">
        <v>127</v>
      </c>
      <c r="C3243" s="52">
        <v>171</v>
      </c>
      <c r="D3243" s="53" t="s">
        <v>4330</v>
      </c>
      <c r="E3243" s="54"/>
      <c r="F3243" s="52" t="str">
        <f>IF(INDEX(I.CCUS.EndRange,171)="","",INDEX(I.CCUS.EndRange,171))</f>
        <v/>
      </c>
      <c r="G3243" s="54"/>
      <c r="H3243" s="52" t="str">
        <f>IF(AND(I.Compliance.FulfilledCCUS&gt;0,I.CCUS.RangeCount&gt;=171,F3243=""),"Incomplete","Complete")</f>
        <v>Complete</v>
      </c>
      <c r="I3243" s="55" t="s">
        <v>3440</v>
      </c>
    </row>
    <row r="3244" spans="2:9" ht="15" customHeight="1" x14ac:dyDescent="0.25">
      <c r="B3244" s="51" t="s">
        <v>127</v>
      </c>
      <c r="C3244" s="52">
        <v>172</v>
      </c>
      <c r="D3244" s="53" t="s">
        <v>4330</v>
      </c>
      <c r="E3244" s="54"/>
      <c r="F3244" s="52" t="str">
        <f>IF(INDEX(I.CCUS.EndRange,172)="","",INDEX(I.CCUS.EndRange,172))</f>
        <v/>
      </c>
      <c r="G3244" s="54"/>
      <c r="H3244" s="52" t="str">
        <f>IF(AND(I.Compliance.FulfilledCCUS&gt;0,I.CCUS.RangeCount&gt;=172,F3244=""),"Incomplete","Complete")</f>
        <v>Complete</v>
      </c>
      <c r="I3244" s="55" t="s">
        <v>3441</v>
      </c>
    </row>
    <row r="3245" spans="2:9" ht="15" customHeight="1" x14ac:dyDescent="0.25">
      <c r="B3245" s="51" t="s">
        <v>127</v>
      </c>
      <c r="C3245" s="52">
        <v>173</v>
      </c>
      <c r="D3245" s="53" t="s">
        <v>4330</v>
      </c>
      <c r="E3245" s="54"/>
      <c r="F3245" s="52" t="str">
        <f>IF(INDEX(I.CCUS.EndRange,173)="","",INDEX(I.CCUS.EndRange,173))</f>
        <v/>
      </c>
      <c r="G3245" s="54"/>
      <c r="H3245" s="52" t="str">
        <f>IF(AND(I.Compliance.FulfilledCCUS&gt;0,I.CCUS.RangeCount&gt;=173,F3245=""),"Incomplete","Complete")</f>
        <v>Complete</v>
      </c>
      <c r="I3245" s="55" t="s">
        <v>3442</v>
      </c>
    </row>
    <row r="3246" spans="2:9" ht="15" customHeight="1" x14ac:dyDescent="0.25">
      <c r="B3246" s="51" t="s">
        <v>127</v>
      </c>
      <c r="C3246" s="52">
        <v>174</v>
      </c>
      <c r="D3246" s="53" t="s">
        <v>4330</v>
      </c>
      <c r="E3246" s="54"/>
      <c r="F3246" s="52" t="str">
        <f>IF(INDEX(I.CCUS.EndRange,174)="","",INDEX(I.CCUS.EndRange,174))</f>
        <v/>
      </c>
      <c r="G3246" s="54"/>
      <c r="H3246" s="52" t="str">
        <f>IF(AND(I.Compliance.FulfilledCCUS&gt;0,I.CCUS.RangeCount&gt;=174,F3246=""),"Incomplete","Complete")</f>
        <v>Complete</v>
      </c>
      <c r="I3246" s="55" t="s">
        <v>3443</v>
      </c>
    </row>
    <row r="3247" spans="2:9" ht="15" customHeight="1" x14ac:dyDescent="0.25">
      <c r="B3247" s="51" t="s">
        <v>127</v>
      </c>
      <c r="C3247" s="52">
        <v>175</v>
      </c>
      <c r="D3247" s="53" t="s">
        <v>4330</v>
      </c>
      <c r="E3247" s="54"/>
      <c r="F3247" s="52" t="str">
        <f>IF(INDEX(I.CCUS.EndRange,175)="","",INDEX(I.CCUS.EndRange,175))</f>
        <v/>
      </c>
      <c r="G3247" s="54"/>
      <c r="H3247" s="52" t="str">
        <f>IF(AND(I.Compliance.FulfilledCCUS&gt;0,I.CCUS.RangeCount&gt;=175,F3247=""),"Incomplete","Complete")</f>
        <v>Complete</v>
      </c>
      <c r="I3247" s="55" t="s">
        <v>3444</v>
      </c>
    </row>
    <row r="3248" spans="2:9" ht="15" customHeight="1" x14ac:dyDescent="0.25">
      <c r="B3248" s="51" t="s">
        <v>127</v>
      </c>
      <c r="C3248" s="52">
        <v>176</v>
      </c>
      <c r="D3248" s="53" t="s">
        <v>4330</v>
      </c>
      <c r="E3248" s="54"/>
      <c r="F3248" s="52" t="str">
        <f>IF(INDEX(I.CCUS.EndRange,176)="","",INDEX(I.CCUS.EndRange,176))</f>
        <v/>
      </c>
      <c r="G3248" s="54"/>
      <c r="H3248" s="52" t="str">
        <f>IF(AND(I.Compliance.FulfilledCCUS&gt;0,I.CCUS.RangeCount&gt;=176,F3248=""),"Incomplete","Complete")</f>
        <v>Complete</v>
      </c>
      <c r="I3248" s="55" t="s">
        <v>3445</v>
      </c>
    </row>
    <row r="3249" spans="2:9" ht="15" customHeight="1" x14ac:dyDescent="0.25">
      <c r="B3249" s="51" t="s">
        <v>127</v>
      </c>
      <c r="C3249" s="52">
        <v>177</v>
      </c>
      <c r="D3249" s="53" t="s">
        <v>4330</v>
      </c>
      <c r="E3249" s="54"/>
      <c r="F3249" s="52" t="str">
        <f>IF(INDEX(I.CCUS.EndRange,177)="","",INDEX(I.CCUS.EndRange,177))</f>
        <v/>
      </c>
      <c r="G3249" s="54"/>
      <c r="H3249" s="52" t="str">
        <f>IF(AND(I.Compliance.FulfilledCCUS&gt;0,I.CCUS.RangeCount&gt;=177,F3249=""),"Incomplete","Complete")</f>
        <v>Complete</v>
      </c>
      <c r="I3249" s="55" t="s">
        <v>3446</v>
      </c>
    </row>
    <row r="3250" spans="2:9" ht="15" customHeight="1" x14ac:dyDescent="0.25">
      <c r="B3250" s="51" t="s">
        <v>127</v>
      </c>
      <c r="C3250" s="52">
        <v>178</v>
      </c>
      <c r="D3250" s="53" t="s">
        <v>4330</v>
      </c>
      <c r="E3250" s="54"/>
      <c r="F3250" s="52" t="str">
        <f>IF(INDEX(I.CCUS.EndRange,178)="","",INDEX(I.CCUS.EndRange,178))</f>
        <v/>
      </c>
      <c r="G3250" s="54"/>
      <c r="H3250" s="52" t="str">
        <f>IF(AND(I.Compliance.FulfilledCCUS&gt;0,I.CCUS.RangeCount&gt;=178,F3250=""),"Incomplete","Complete")</f>
        <v>Complete</v>
      </c>
      <c r="I3250" s="55" t="s">
        <v>3447</v>
      </c>
    </row>
    <row r="3251" spans="2:9" ht="15" customHeight="1" x14ac:dyDescent="0.25">
      <c r="B3251" s="51" t="s">
        <v>127</v>
      </c>
      <c r="C3251" s="52">
        <v>179</v>
      </c>
      <c r="D3251" s="53" t="s">
        <v>4330</v>
      </c>
      <c r="E3251" s="54"/>
      <c r="F3251" s="52" t="str">
        <f>IF(INDEX(I.CCUS.EndRange,179)="","",INDEX(I.CCUS.EndRange,179))</f>
        <v/>
      </c>
      <c r="G3251" s="54"/>
      <c r="H3251" s="52" t="str">
        <f>IF(AND(I.Compliance.FulfilledCCUS&gt;0,I.CCUS.RangeCount&gt;=179,F3251=""),"Incomplete","Complete")</f>
        <v>Complete</v>
      </c>
      <c r="I3251" s="55" t="s">
        <v>3448</v>
      </c>
    </row>
    <row r="3252" spans="2:9" ht="15" customHeight="1" x14ac:dyDescent="0.25">
      <c r="B3252" s="51" t="s">
        <v>127</v>
      </c>
      <c r="C3252" s="52">
        <v>180</v>
      </c>
      <c r="D3252" s="53" t="s">
        <v>4330</v>
      </c>
      <c r="E3252" s="54"/>
      <c r="F3252" s="52" t="str">
        <f>IF(INDEX(I.CCUS.EndRange,180)="","",INDEX(I.CCUS.EndRange,180))</f>
        <v/>
      </c>
      <c r="G3252" s="54"/>
      <c r="H3252" s="52" t="str">
        <f>IF(AND(I.Compliance.FulfilledCCUS&gt;0,I.CCUS.RangeCount&gt;=180,F3252=""),"Incomplete","Complete")</f>
        <v>Complete</v>
      </c>
      <c r="I3252" s="55" t="s">
        <v>3449</v>
      </c>
    </row>
    <row r="3253" spans="2:9" ht="15" customHeight="1" x14ac:dyDescent="0.25">
      <c r="B3253" s="51" t="s">
        <v>127</v>
      </c>
      <c r="C3253" s="52">
        <v>181</v>
      </c>
      <c r="D3253" s="53" t="s">
        <v>4330</v>
      </c>
      <c r="E3253" s="54"/>
      <c r="F3253" s="52" t="str">
        <f>IF(INDEX(I.CCUS.EndRange,181)="","",INDEX(I.CCUS.EndRange,181))</f>
        <v/>
      </c>
      <c r="G3253" s="54"/>
      <c r="H3253" s="52" t="str">
        <f>IF(AND(I.Compliance.FulfilledCCUS&gt;0,I.CCUS.RangeCount&gt;=181,F3253=""),"Incomplete","Complete")</f>
        <v>Complete</v>
      </c>
      <c r="I3253" s="55" t="s">
        <v>3450</v>
      </c>
    </row>
    <row r="3254" spans="2:9" ht="15" customHeight="1" x14ac:dyDescent="0.25">
      <c r="B3254" s="51" t="s">
        <v>127</v>
      </c>
      <c r="C3254" s="52">
        <v>182</v>
      </c>
      <c r="D3254" s="53" t="s">
        <v>4330</v>
      </c>
      <c r="E3254" s="54"/>
      <c r="F3254" s="52" t="str">
        <f>IF(INDEX(I.CCUS.EndRange,182)="","",INDEX(I.CCUS.EndRange,182))</f>
        <v/>
      </c>
      <c r="G3254" s="54"/>
      <c r="H3254" s="52" t="str">
        <f>IF(AND(I.Compliance.FulfilledCCUS&gt;0,I.CCUS.RangeCount&gt;=182,F3254=""),"Incomplete","Complete")</f>
        <v>Complete</v>
      </c>
      <c r="I3254" s="55" t="s">
        <v>3451</v>
      </c>
    </row>
    <row r="3255" spans="2:9" ht="15" customHeight="1" x14ac:dyDescent="0.25">
      <c r="B3255" s="51" t="s">
        <v>127</v>
      </c>
      <c r="C3255" s="52">
        <v>183</v>
      </c>
      <c r="D3255" s="53" t="s">
        <v>4330</v>
      </c>
      <c r="E3255" s="54"/>
      <c r="F3255" s="52" t="str">
        <f>IF(INDEX(I.CCUS.EndRange,183)="","",INDEX(I.CCUS.EndRange,183))</f>
        <v/>
      </c>
      <c r="G3255" s="54"/>
      <c r="H3255" s="52" t="str">
        <f>IF(AND(I.Compliance.FulfilledCCUS&gt;0,I.CCUS.RangeCount&gt;=183,F3255=""),"Incomplete","Complete")</f>
        <v>Complete</v>
      </c>
      <c r="I3255" s="55" t="s">
        <v>3452</v>
      </c>
    </row>
    <row r="3256" spans="2:9" ht="15" customHeight="1" x14ac:dyDescent="0.25">
      <c r="B3256" s="51" t="s">
        <v>127</v>
      </c>
      <c r="C3256" s="52">
        <v>184</v>
      </c>
      <c r="D3256" s="53" t="s">
        <v>4330</v>
      </c>
      <c r="E3256" s="54"/>
      <c r="F3256" s="52" t="str">
        <f>IF(INDEX(I.CCUS.EndRange,184)="","",INDEX(I.CCUS.EndRange,184))</f>
        <v/>
      </c>
      <c r="G3256" s="54"/>
      <c r="H3256" s="52" t="str">
        <f>IF(AND(I.Compliance.FulfilledCCUS&gt;0,I.CCUS.RangeCount&gt;=184,F3256=""),"Incomplete","Complete")</f>
        <v>Complete</v>
      </c>
      <c r="I3256" s="55" t="s">
        <v>3453</v>
      </c>
    </row>
    <row r="3257" spans="2:9" ht="15" customHeight="1" x14ac:dyDescent="0.25">
      <c r="B3257" s="51" t="s">
        <v>127</v>
      </c>
      <c r="C3257" s="52">
        <v>185</v>
      </c>
      <c r="D3257" s="53" t="s">
        <v>4330</v>
      </c>
      <c r="E3257" s="54"/>
      <c r="F3257" s="52" t="str">
        <f>IF(INDEX(I.CCUS.EndRange,185)="","",INDEX(I.CCUS.EndRange,185))</f>
        <v/>
      </c>
      <c r="G3257" s="54"/>
      <c r="H3257" s="52" t="str">
        <f>IF(AND(I.Compliance.FulfilledCCUS&gt;0,I.CCUS.RangeCount&gt;=185,F3257=""),"Incomplete","Complete")</f>
        <v>Complete</v>
      </c>
      <c r="I3257" s="55" t="s">
        <v>3454</v>
      </c>
    </row>
    <row r="3258" spans="2:9" ht="15" customHeight="1" x14ac:dyDescent="0.25">
      <c r="B3258" s="51" t="s">
        <v>127</v>
      </c>
      <c r="C3258" s="52">
        <v>186</v>
      </c>
      <c r="D3258" s="53" t="s">
        <v>4330</v>
      </c>
      <c r="E3258" s="54"/>
      <c r="F3258" s="52" t="str">
        <f>IF(INDEX(I.CCUS.EndRange,186)="","",INDEX(I.CCUS.EndRange,186))</f>
        <v/>
      </c>
      <c r="G3258" s="54"/>
      <c r="H3258" s="52" t="str">
        <f>IF(AND(I.Compliance.FulfilledCCUS&gt;0,I.CCUS.RangeCount&gt;=186,F3258=""),"Incomplete","Complete")</f>
        <v>Complete</v>
      </c>
      <c r="I3258" s="55" t="s">
        <v>3455</v>
      </c>
    </row>
    <row r="3259" spans="2:9" ht="15" customHeight="1" x14ac:dyDescent="0.25">
      <c r="B3259" s="51" t="s">
        <v>127</v>
      </c>
      <c r="C3259" s="52">
        <v>187</v>
      </c>
      <c r="D3259" s="53" t="s">
        <v>4330</v>
      </c>
      <c r="E3259" s="54"/>
      <c r="F3259" s="52" t="str">
        <f>IF(INDEX(I.CCUS.EndRange,187)="","",INDEX(I.CCUS.EndRange,187))</f>
        <v/>
      </c>
      <c r="G3259" s="54"/>
      <c r="H3259" s="52" t="str">
        <f>IF(AND(I.Compliance.FulfilledCCUS&gt;0,I.CCUS.RangeCount&gt;=187,F3259=""),"Incomplete","Complete")</f>
        <v>Complete</v>
      </c>
      <c r="I3259" s="55" t="s">
        <v>3456</v>
      </c>
    </row>
    <row r="3260" spans="2:9" ht="15" customHeight="1" x14ac:dyDescent="0.25">
      <c r="B3260" s="51" t="s">
        <v>127</v>
      </c>
      <c r="C3260" s="52">
        <v>188</v>
      </c>
      <c r="D3260" s="53" t="s">
        <v>4330</v>
      </c>
      <c r="E3260" s="54"/>
      <c r="F3260" s="52" t="str">
        <f>IF(INDEX(I.CCUS.EndRange,188)="","",INDEX(I.CCUS.EndRange,188))</f>
        <v/>
      </c>
      <c r="G3260" s="54"/>
      <c r="H3260" s="52" t="str">
        <f>IF(AND(I.Compliance.FulfilledCCUS&gt;0,I.CCUS.RangeCount&gt;=188,F3260=""),"Incomplete","Complete")</f>
        <v>Complete</v>
      </c>
      <c r="I3260" s="55" t="s">
        <v>3457</v>
      </c>
    </row>
    <row r="3261" spans="2:9" ht="15" customHeight="1" x14ac:dyDescent="0.25">
      <c r="B3261" s="51" t="s">
        <v>127</v>
      </c>
      <c r="C3261" s="52">
        <v>189</v>
      </c>
      <c r="D3261" s="53" t="s">
        <v>4330</v>
      </c>
      <c r="E3261" s="54"/>
      <c r="F3261" s="52" t="str">
        <f>IF(INDEX(I.CCUS.EndRange,189)="","",INDEX(I.CCUS.EndRange,189))</f>
        <v/>
      </c>
      <c r="G3261" s="54"/>
      <c r="H3261" s="52" t="str">
        <f>IF(AND(I.Compliance.FulfilledCCUS&gt;0,I.CCUS.RangeCount&gt;=189,F3261=""),"Incomplete","Complete")</f>
        <v>Complete</v>
      </c>
      <c r="I3261" s="55" t="s">
        <v>3458</v>
      </c>
    </row>
    <row r="3262" spans="2:9" ht="15" customHeight="1" x14ac:dyDescent="0.25">
      <c r="B3262" s="51" t="s">
        <v>127</v>
      </c>
      <c r="C3262" s="52">
        <v>190</v>
      </c>
      <c r="D3262" s="53" t="s">
        <v>4330</v>
      </c>
      <c r="E3262" s="54"/>
      <c r="F3262" s="52" t="str">
        <f>IF(INDEX(I.CCUS.EndRange,190)="","",INDEX(I.CCUS.EndRange,190))</f>
        <v/>
      </c>
      <c r="G3262" s="54"/>
      <c r="H3262" s="52" t="str">
        <f>IF(AND(I.Compliance.FulfilledCCUS&gt;0,I.CCUS.RangeCount&gt;=190,F3262=""),"Incomplete","Complete")</f>
        <v>Complete</v>
      </c>
      <c r="I3262" s="55" t="s">
        <v>3459</v>
      </c>
    </row>
    <row r="3263" spans="2:9" ht="15" customHeight="1" x14ac:dyDescent="0.25">
      <c r="B3263" s="51" t="s">
        <v>127</v>
      </c>
      <c r="C3263" s="52">
        <v>191</v>
      </c>
      <c r="D3263" s="53" t="s">
        <v>4330</v>
      </c>
      <c r="E3263" s="54"/>
      <c r="F3263" s="52" t="str">
        <f>IF(INDEX(I.CCUS.EndRange,191)="","",INDEX(I.CCUS.EndRange,191))</f>
        <v/>
      </c>
      <c r="G3263" s="54"/>
      <c r="H3263" s="52" t="str">
        <f>IF(AND(I.Compliance.FulfilledCCUS&gt;0,I.CCUS.RangeCount&gt;=191,F3263=""),"Incomplete","Complete")</f>
        <v>Complete</v>
      </c>
      <c r="I3263" s="55" t="s">
        <v>3460</v>
      </c>
    </row>
    <row r="3264" spans="2:9" ht="15" customHeight="1" x14ac:dyDescent="0.25">
      <c r="B3264" s="51" t="s">
        <v>127</v>
      </c>
      <c r="C3264" s="52">
        <v>192</v>
      </c>
      <c r="D3264" s="53" t="s">
        <v>4330</v>
      </c>
      <c r="E3264" s="54"/>
      <c r="F3264" s="52" t="str">
        <f>IF(INDEX(I.CCUS.EndRange,192)="","",INDEX(I.CCUS.EndRange,192))</f>
        <v/>
      </c>
      <c r="G3264" s="54"/>
      <c r="H3264" s="52" t="str">
        <f>IF(AND(I.Compliance.FulfilledCCUS&gt;0,I.CCUS.RangeCount&gt;=192,F3264=""),"Incomplete","Complete")</f>
        <v>Complete</v>
      </c>
      <c r="I3264" s="55" t="s">
        <v>3461</v>
      </c>
    </row>
    <row r="3265" spans="2:9" ht="15" customHeight="1" x14ac:dyDescent="0.25">
      <c r="B3265" s="51" t="s">
        <v>127</v>
      </c>
      <c r="C3265" s="52">
        <v>193</v>
      </c>
      <c r="D3265" s="53" t="s">
        <v>4330</v>
      </c>
      <c r="E3265" s="54"/>
      <c r="F3265" s="52" t="str">
        <f>IF(INDEX(I.CCUS.EndRange,193)="","",INDEX(I.CCUS.EndRange,193))</f>
        <v/>
      </c>
      <c r="G3265" s="54"/>
      <c r="H3265" s="52" t="str">
        <f>IF(AND(I.Compliance.FulfilledCCUS&gt;0,I.CCUS.RangeCount&gt;=193,F3265=""),"Incomplete","Complete")</f>
        <v>Complete</v>
      </c>
      <c r="I3265" s="55" t="s">
        <v>3462</v>
      </c>
    </row>
    <row r="3266" spans="2:9" ht="15" customHeight="1" x14ac:dyDescent="0.25">
      <c r="B3266" s="51" t="s">
        <v>127</v>
      </c>
      <c r="C3266" s="52">
        <v>194</v>
      </c>
      <c r="D3266" s="53" t="s">
        <v>4330</v>
      </c>
      <c r="E3266" s="54"/>
      <c r="F3266" s="52" t="str">
        <f>IF(INDEX(I.CCUS.EndRange,194)="","",INDEX(I.CCUS.EndRange,194))</f>
        <v/>
      </c>
      <c r="G3266" s="54"/>
      <c r="H3266" s="52" t="str">
        <f>IF(AND(I.Compliance.FulfilledCCUS&gt;0,I.CCUS.RangeCount&gt;=194,F3266=""),"Incomplete","Complete")</f>
        <v>Complete</v>
      </c>
      <c r="I3266" s="55" t="s">
        <v>3463</v>
      </c>
    </row>
    <row r="3267" spans="2:9" ht="15" customHeight="1" x14ac:dyDescent="0.25">
      <c r="B3267" s="51" t="s">
        <v>127</v>
      </c>
      <c r="C3267" s="52">
        <v>195</v>
      </c>
      <c r="D3267" s="53" t="s">
        <v>4330</v>
      </c>
      <c r="E3267" s="54"/>
      <c r="F3267" s="52" t="str">
        <f>IF(INDEX(I.CCUS.EndRange,195)="","",INDEX(I.CCUS.EndRange,195))</f>
        <v/>
      </c>
      <c r="G3267" s="54"/>
      <c r="H3267" s="52" t="str">
        <f>IF(AND(I.Compliance.FulfilledCCUS&gt;0,I.CCUS.RangeCount&gt;=195,F3267=""),"Incomplete","Complete")</f>
        <v>Complete</v>
      </c>
      <c r="I3267" s="55" t="s">
        <v>3464</v>
      </c>
    </row>
    <row r="3268" spans="2:9" ht="15" customHeight="1" x14ac:dyDescent="0.25">
      <c r="B3268" s="51" t="s">
        <v>127</v>
      </c>
      <c r="C3268" s="52">
        <v>196</v>
      </c>
      <c r="D3268" s="53" t="s">
        <v>4330</v>
      </c>
      <c r="E3268" s="54"/>
      <c r="F3268" s="52" t="str">
        <f>IF(INDEX(I.CCUS.EndRange,196)="","",INDEX(I.CCUS.EndRange,196))</f>
        <v/>
      </c>
      <c r="G3268" s="54"/>
      <c r="H3268" s="52" t="str">
        <f>IF(AND(I.Compliance.FulfilledCCUS&gt;0,I.CCUS.RangeCount&gt;=196,F3268=""),"Incomplete","Complete")</f>
        <v>Complete</v>
      </c>
      <c r="I3268" s="55" t="s">
        <v>3465</v>
      </c>
    </row>
    <row r="3269" spans="2:9" ht="15" customHeight="1" x14ac:dyDescent="0.25">
      <c r="B3269" s="51" t="s">
        <v>127</v>
      </c>
      <c r="C3269" s="52">
        <v>197</v>
      </c>
      <c r="D3269" s="53" t="s">
        <v>4330</v>
      </c>
      <c r="E3269" s="54"/>
      <c r="F3269" s="52" t="str">
        <f>IF(INDEX(I.CCUS.EndRange,197)="","",INDEX(I.CCUS.EndRange,197))</f>
        <v/>
      </c>
      <c r="G3269" s="54"/>
      <c r="H3269" s="52" t="str">
        <f>IF(AND(I.Compliance.FulfilledCCUS&gt;0,I.CCUS.RangeCount&gt;=197,F3269=""),"Incomplete","Complete")</f>
        <v>Complete</v>
      </c>
      <c r="I3269" s="55" t="s">
        <v>3466</v>
      </c>
    </row>
    <row r="3270" spans="2:9" ht="15" customHeight="1" x14ac:dyDescent="0.25">
      <c r="B3270" s="51" t="s">
        <v>127</v>
      </c>
      <c r="C3270" s="52">
        <v>198</v>
      </c>
      <c r="D3270" s="53" t="s">
        <v>4330</v>
      </c>
      <c r="E3270" s="54"/>
      <c r="F3270" s="52" t="str">
        <f>IF(INDEX(I.CCUS.EndRange,198)="","",INDEX(I.CCUS.EndRange,198))</f>
        <v/>
      </c>
      <c r="G3270" s="54"/>
      <c r="H3270" s="52" t="str">
        <f>IF(AND(I.Compliance.FulfilledCCUS&gt;0,I.CCUS.RangeCount&gt;=198,F3270=""),"Incomplete","Complete")</f>
        <v>Complete</v>
      </c>
      <c r="I3270" s="55" t="s">
        <v>3467</v>
      </c>
    </row>
    <row r="3271" spans="2:9" ht="15" customHeight="1" x14ac:dyDescent="0.25">
      <c r="B3271" s="51" t="s">
        <v>127</v>
      </c>
      <c r="C3271" s="52">
        <v>199</v>
      </c>
      <c r="D3271" s="53" t="s">
        <v>4330</v>
      </c>
      <c r="E3271" s="54"/>
      <c r="F3271" s="52" t="str">
        <f>IF(INDEX(I.CCUS.EndRange,199)="","",INDEX(I.CCUS.EndRange,199))</f>
        <v/>
      </c>
      <c r="G3271" s="54"/>
      <c r="H3271" s="52" t="str">
        <f>IF(AND(I.Compliance.FulfilledCCUS&gt;0,I.CCUS.RangeCount&gt;=199,F3271=""),"Incomplete","Complete")</f>
        <v>Complete</v>
      </c>
      <c r="I3271" s="55" t="s">
        <v>3468</v>
      </c>
    </row>
    <row r="3272" spans="2:9" ht="15" customHeight="1" x14ac:dyDescent="0.25">
      <c r="B3272" s="51" t="s">
        <v>127</v>
      </c>
      <c r="C3272" s="52">
        <v>200</v>
      </c>
      <c r="D3272" s="53" t="s">
        <v>4330</v>
      </c>
      <c r="E3272" s="54"/>
      <c r="F3272" s="52" t="str">
        <f>IF(INDEX(I.CCUS.EndRange,200)="","",INDEX(I.CCUS.EndRange,200))</f>
        <v/>
      </c>
      <c r="G3272" s="54"/>
      <c r="H3272" s="52" t="str">
        <f>IF(AND(I.Compliance.FulfilledCCUS&gt;0,I.CCUS.RangeCount&gt;=200,F3272=""),"Incomplete","Complete")</f>
        <v>Complete</v>
      </c>
      <c r="I3272" s="55" t="s">
        <v>3469</v>
      </c>
    </row>
    <row r="3273" spans="2:9" ht="15" customHeight="1" x14ac:dyDescent="0.25">
      <c r="B3273" s="51" t="s">
        <v>127</v>
      </c>
      <c r="C3273" s="52">
        <v>201</v>
      </c>
      <c r="D3273" s="53" t="s">
        <v>4330</v>
      </c>
      <c r="E3273" s="54"/>
      <c r="F3273" s="52" t="str">
        <f>IF(INDEX(I.CCUS.EndRange,201)="","",INDEX(I.CCUS.EndRange,201))</f>
        <v/>
      </c>
      <c r="G3273" s="54"/>
      <c r="H3273" s="52" t="str">
        <f>IF(AND(I.Compliance.FulfilledCCUS&gt;0,I.CCUS.RangeCount&gt;=201,F3273=""),"Incomplete","Complete")</f>
        <v>Complete</v>
      </c>
      <c r="I3273" s="55" t="s">
        <v>3470</v>
      </c>
    </row>
    <row r="3274" spans="2:9" ht="15" customHeight="1" x14ac:dyDescent="0.25">
      <c r="B3274" s="51" t="s">
        <v>127</v>
      </c>
      <c r="C3274" s="52">
        <v>202</v>
      </c>
      <c r="D3274" s="53" t="s">
        <v>4330</v>
      </c>
      <c r="E3274" s="54"/>
      <c r="F3274" s="52" t="str">
        <f>IF(INDEX(I.CCUS.EndRange,202)="","",INDEX(I.CCUS.EndRange,202))</f>
        <v/>
      </c>
      <c r="G3274" s="54"/>
      <c r="H3274" s="52" t="str">
        <f>IF(AND(I.Compliance.FulfilledCCUS&gt;0,I.CCUS.RangeCount&gt;=202,F3274=""),"Incomplete","Complete")</f>
        <v>Complete</v>
      </c>
      <c r="I3274" s="55" t="s">
        <v>3471</v>
      </c>
    </row>
    <row r="3275" spans="2:9" ht="15" customHeight="1" x14ac:dyDescent="0.25">
      <c r="B3275" s="51" t="s">
        <v>127</v>
      </c>
      <c r="C3275" s="52">
        <v>203</v>
      </c>
      <c r="D3275" s="53" t="s">
        <v>4330</v>
      </c>
      <c r="E3275" s="54"/>
      <c r="F3275" s="52" t="str">
        <f>IF(INDEX(I.CCUS.EndRange,203)="","",INDEX(I.CCUS.EndRange,203))</f>
        <v/>
      </c>
      <c r="G3275" s="54"/>
      <c r="H3275" s="52" t="str">
        <f>IF(AND(I.Compliance.FulfilledCCUS&gt;0,I.CCUS.RangeCount&gt;=203,F3275=""),"Incomplete","Complete")</f>
        <v>Complete</v>
      </c>
      <c r="I3275" s="55" t="s">
        <v>3472</v>
      </c>
    </row>
    <row r="3276" spans="2:9" ht="15" customHeight="1" x14ac:dyDescent="0.25">
      <c r="B3276" s="51" t="s">
        <v>127</v>
      </c>
      <c r="C3276" s="52">
        <v>204</v>
      </c>
      <c r="D3276" s="53" t="s">
        <v>4330</v>
      </c>
      <c r="E3276" s="54"/>
      <c r="F3276" s="52" t="str">
        <f>IF(INDEX(I.CCUS.EndRange,204)="","",INDEX(I.CCUS.EndRange,204))</f>
        <v/>
      </c>
      <c r="G3276" s="54"/>
      <c r="H3276" s="52" t="str">
        <f>IF(AND(I.Compliance.FulfilledCCUS&gt;0,I.CCUS.RangeCount&gt;=204,F3276=""),"Incomplete","Complete")</f>
        <v>Complete</v>
      </c>
      <c r="I3276" s="55" t="s">
        <v>3473</v>
      </c>
    </row>
    <row r="3277" spans="2:9" ht="15" customHeight="1" x14ac:dyDescent="0.25">
      <c r="B3277" s="51" t="s">
        <v>127</v>
      </c>
      <c r="C3277" s="52">
        <v>205</v>
      </c>
      <c r="D3277" s="53" t="s">
        <v>4330</v>
      </c>
      <c r="E3277" s="54"/>
      <c r="F3277" s="52" t="str">
        <f>IF(INDEX(I.CCUS.EndRange,205)="","",INDEX(I.CCUS.EndRange,205))</f>
        <v/>
      </c>
      <c r="G3277" s="54"/>
      <c r="H3277" s="52" t="str">
        <f>IF(AND(I.Compliance.FulfilledCCUS&gt;0,I.CCUS.RangeCount&gt;=205,F3277=""),"Incomplete","Complete")</f>
        <v>Complete</v>
      </c>
      <c r="I3277" s="55" t="s">
        <v>3474</v>
      </c>
    </row>
    <row r="3278" spans="2:9" ht="15" customHeight="1" x14ac:dyDescent="0.25">
      <c r="B3278" s="51" t="s">
        <v>127</v>
      </c>
      <c r="C3278" s="52">
        <v>206</v>
      </c>
      <c r="D3278" s="53" t="s">
        <v>4330</v>
      </c>
      <c r="E3278" s="54"/>
      <c r="F3278" s="52" t="str">
        <f>IF(INDEX(I.CCUS.EndRange,206)="","",INDEX(I.CCUS.EndRange,206))</f>
        <v/>
      </c>
      <c r="G3278" s="54"/>
      <c r="H3278" s="52" t="str">
        <f>IF(AND(I.Compliance.FulfilledCCUS&gt;0,I.CCUS.RangeCount&gt;=206,F3278=""),"Incomplete","Complete")</f>
        <v>Complete</v>
      </c>
      <c r="I3278" s="55" t="s">
        <v>3475</v>
      </c>
    </row>
    <row r="3279" spans="2:9" ht="15" customHeight="1" x14ac:dyDescent="0.25">
      <c r="B3279" s="51" t="s">
        <v>127</v>
      </c>
      <c r="C3279" s="52">
        <v>207</v>
      </c>
      <c r="D3279" s="53" t="s">
        <v>4330</v>
      </c>
      <c r="E3279" s="54"/>
      <c r="F3279" s="52" t="str">
        <f>IF(INDEX(I.CCUS.EndRange,207)="","",INDEX(I.CCUS.EndRange,207))</f>
        <v/>
      </c>
      <c r="G3279" s="54"/>
      <c r="H3279" s="52" t="str">
        <f>IF(AND(I.Compliance.FulfilledCCUS&gt;0,I.CCUS.RangeCount&gt;=207,F3279=""),"Incomplete","Complete")</f>
        <v>Complete</v>
      </c>
      <c r="I3279" s="55" t="s">
        <v>3476</v>
      </c>
    </row>
    <row r="3280" spans="2:9" ht="15" customHeight="1" x14ac:dyDescent="0.25">
      <c r="B3280" s="51" t="s">
        <v>127</v>
      </c>
      <c r="C3280" s="52">
        <v>208</v>
      </c>
      <c r="D3280" s="53" t="s">
        <v>4330</v>
      </c>
      <c r="E3280" s="54"/>
      <c r="F3280" s="52" t="str">
        <f>IF(INDEX(I.CCUS.EndRange,208)="","",INDEX(I.CCUS.EndRange,208))</f>
        <v/>
      </c>
      <c r="G3280" s="54"/>
      <c r="H3280" s="52" t="str">
        <f>IF(AND(I.Compliance.FulfilledCCUS&gt;0,I.CCUS.RangeCount&gt;=208,F3280=""),"Incomplete","Complete")</f>
        <v>Complete</v>
      </c>
      <c r="I3280" s="55" t="s">
        <v>3477</v>
      </c>
    </row>
    <row r="3281" spans="2:9" ht="15" customHeight="1" x14ac:dyDescent="0.25">
      <c r="B3281" s="51" t="s">
        <v>127</v>
      </c>
      <c r="C3281" s="52">
        <v>209</v>
      </c>
      <c r="D3281" s="53" t="s">
        <v>4330</v>
      </c>
      <c r="E3281" s="54"/>
      <c r="F3281" s="52" t="str">
        <f>IF(INDEX(I.CCUS.EndRange,209)="","",INDEX(I.CCUS.EndRange,209))</f>
        <v/>
      </c>
      <c r="G3281" s="54"/>
      <c r="H3281" s="52" t="str">
        <f>IF(AND(I.Compliance.FulfilledCCUS&gt;0,I.CCUS.RangeCount&gt;=209,F3281=""),"Incomplete","Complete")</f>
        <v>Complete</v>
      </c>
      <c r="I3281" s="55" t="s">
        <v>3478</v>
      </c>
    </row>
    <row r="3282" spans="2:9" ht="15" customHeight="1" x14ac:dyDescent="0.25">
      <c r="B3282" s="51" t="s">
        <v>127</v>
      </c>
      <c r="C3282" s="52">
        <v>210</v>
      </c>
      <c r="D3282" s="53" t="s">
        <v>4330</v>
      </c>
      <c r="E3282" s="54"/>
      <c r="F3282" s="52" t="str">
        <f>IF(INDEX(I.CCUS.EndRange,210)="","",INDEX(I.CCUS.EndRange,210))</f>
        <v/>
      </c>
      <c r="G3282" s="54"/>
      <c r="H3282" s="52" t="str">
        <f>IF(AND(I.Compliance.FulfilledCCUS&gt;0,I.CCUS.RangeCount&gt;=210,F3282=""),"Incomplete","Complete")</f>
        <v>Complete</v>
      </c>
      <c r="I3282" s="55" t="s">
        <v>3479</v>
      </c>
    </row>
    <row r="3283" spans="2:9" ht="15" customHeight="1" x14ac:dyDescent="0.25">
      <c r="B3283" s="51" t="s">
        <v>127</v>
      </c>
      <c r="C3283" s="52">
        <v>211</v>
      </c>
      <c r="D3283" s="53" t="s">
        <v>4330</v>
      </c>
      <c r="E3283" s="54"/>
      <c r="F3283" s="52" t="str">
        <f>IF(INDEX(I.CCUS.EndRange,211)="","",INDEX(I.CCUS.EndRange,211))</f>
        <v/>
      </c>
      <c r="G3283" s="54"/>
      <c r="H3283" s="52" t="str">
        <f>IF(AND(I.Compliance.FulfilledCCUS&gt;0,I.CCUS.RangeCount&gt;=211,F3283=""),"Incomplete","Complete")</f>
        <v>Complete</v>
      </c>
      <c r="I3283" s="55" t="s">
        <v>3480</v>
      </c>
    </row>
    <row r="3284" spans="2:9" ht="15" customHeight="1" x14ac:dyDescent="0.25">
      <c r="B3284" s="51" t="s">
        <v>127</v>
      </c>
      <c r="C3284" s="52">
        <v>212</v>
      </c>
      <c r="D3284" s="53" t="s">
        <v>4330</v>
      </c>
      <c r="E3284" s="54"/>
      <c r="F3284" s="52" t="str">
        <f>IF(INDEX(I.CCUS.EndRange,212)="","",INDEX(I.CCUS.EndRange,212))</f>
        <v/>
      </c>
      <c r="G3284" s="54"/>
      <c r="H3284" s="52" t="str">
        <f>IF(AND(I.Compliance.FulfilledCCUS&gt;0,I.CCUS.RangeCount&gt;=212,F3284=""),"Incomplete","Complete")</f>
        <v>Complete</v>
      </c>
      <c r="I3284" s="55" t="s">
        <v>3481</v>
      </c>
    </row>
    <row r="3285" spans="2:9" ht="15" customHeight="1" x14ac:dyDescent="0.25">
      <c r="B3285" s="51" t="s">
        <v>127</v>
      </c>
      <c r="C3285" s="52">
        <v>213</v>
      </c>
      <c r="D3285" s="53" t="s">
        <v>4330</v>
      </c>
      <c r="E3285" s="54"/>
      <c r="F3285" s="52" t="str">
        <f>IF(INDEX(I.CCUS.EndRange,213)="","",INDEX(I.CCUS.EndRange,213))</f>
        <v/>
      </c>
      <c r="G3285" s="54"/>
      <c r="H3285" s="52" t="str">
        <f>IF(AND(I.Compliance.FulfilledCCUS&gt;0,I.CCUS.RangeCount&gt;=213,F3285=""),"Incomplete","Complete")</f>
        <v>Complete</v>
      </c>
      <c r="I3285" s="55" t="s">
        <v>3482</v>
      </c>
    </row>
    <row r="3286" spans="2:9" ht="15" customHeight="1" x14ac:dyDescent="0.25">
      <c r="B3286" s="51" t="s">
        <v>127</v>
      </c>
      <c r="C3286" s="52">
        <v>214</v>
      </c>
      <c r="D3286" s="53" t="s">
        <v>4330</v>
      </c>
      <c r="E3286" s="54"/>
      <c r="F3286" s="52" t="str">
        <f>IF(INDEX(I.CCUS.EndRange,214)="","",INDEX(I.CCUS.EndRange,214))</f>
        <v/>
      </c>
      <c r="G3286" s="54"/>
      <c r="H3286" s="52" t="str">
        <f>IF(AND(I.Compliance.FulfilledCCUS&gt;0,I.CCUS.RangeCount&gt;=214,F3286=""),"Incomplete","Complete")</f>
        <v>Complete</v>
      </c>
      <c r="I3286" s="55" t="s">
        <v>3483</v>
      </c>
    </row>
    <row r="3287" spans="2:9" ht="15" customHeight="1" x14ac:dyDescent="0.25">
      <c r="B3287" s="51" t="s">
        <v>127</v>
      </c>
      <c r="C3287" s="52">
        <v>215</v>
      </c>
      <c r="D3287" s="53" t="s">
        <v>4330</v>
      </c>
      <c r="E3287" s="54"/>
      <c r="F3287" s="52" t="str">
        <f>IF(INDEX(I.CCUS.EndRange,215)="","",INDEX(I.CCUS.EndRange,215))</f>
        <v/>
      </c>
      <c r="G3287" s="54"/>
      <c r="H3287" s="52" t="str">
        <f>IF(AND(I.Compliance.FulfilledCCUS&gt;0,I.CCUS.RangeCount&gt;=215,F3287=""),"Incomplete","Complete")</f>
        <v>Complete</v>
      </c>
      <c r="I3287" s="55" t="s">
        <v>3484</v>
      </c>
    </row>
    <row r="3288" spans="2:9" ht="15" customHeight="1" x14ac:dyDescent="0.25">
      <c r="B3288" s="51" t="s">
        <v>127</v>
      </c>
      <c r="C3288" s="52">
        <v>216</v>
      </c>
      <c r="D3288" s="53" t="s">
        <v>4330</v>
      </c>
      <c r="E3288" s="54"/>
      <c r="F3288" s="52" t="str">
        <f>IF(INDEX(I.CCUS.EndRange,216)="","",INDEX(I.CCUS.EndRange,216))</f>
        <v/>
      </c>
      <c r="G3288" s="54"/>
      <c r="H3288" s="52" t="str">
        <f>IF(AND(I.Compliance.FulfilledCCUS&gt;0,I.CCUS.RangeCount&gt;=216,F3288=""),"Incomplete","Complete")</f>
        <v>Complete</v>
      </c>
      <c r="I3288" s="55" t="s">
        <v>3485</v>
      </c>
    </row>
    <row r="3289" spans="2:9" ht="15" customHeight="1" x14ac:dyDescent="0.25">
      <c r="B3289" s="51" t="s">
        <v>127</v>
      </c>
      <c r="C3289" s="52">
        <v>217</v>
      </c>
      <c r="D3289" s="53" t="s">
        <v>4330</v>
      </c>
      <c r="E3289" s="54"/>
      <c r="F3289" s="52" t="str">
        <f>IF(INDEX(I.CCUS.EndRange,217)="","",INDEX(I.CCUS.EndRange,217))</f>
        <v/>
      </c>
      <c r="G3289" s="54"/>
      <c r="H3289" s="52" t="str">
        <f>IF(AND(I.Compliance.FulfilledCCUS&gt;0,I.CCUS.RangeCount&gt;=217,F3289=""),"Incomplete","Complete")</f>
        <v>Complete</v>
      </c>
      <c r="I3289" s="55" t="s">
        <v>3486</v>
      </c>
    </row>
    <row r="3290" spans="2:9" ht="15" customHeight="1" x14ac:dyDescent="0.25">
      <c r="B3290" s="51" t="s">
        <v>127</v>
      </c>
      <c r="C3290" s="52">
        <v>218</v>
      </c>
      <c r="D3290" s="53" t="s">
        <v>4330</v>
      </c>
      <c r="E3290" s="54"/>
      <c r="F3290" s="52" t="str">
        <f>IF(INDEX(I.CCUS.EndRange,218)="","",INDEX(I.CCUS.EndRange,218))</f>
        <v/>
      </c>
      <c r="G3290" s="54"/>
      <c r="H3290" s="52" t="str">
        <f>IF(AND(I.Compliance.FulfilledCCUS&gt;0,I.CCUS.RangeCount&gt;=218,F3290=""),"Incomplete","Complete")</f>
        <v>Complete</v>
      </c>
      <c r="I3290" s="55" t="s">
        <v>3487</v>
      </c>
    </row>
    <row r="3291" spans="2:9" ht="15" customHeight="1" x14ac:dyDescent="0.25">
      <c r="B3291" s="51" t="s">
        <v>127</v>
      </c>
      <c r="C3291" s="52">
        <v>219</v>
      </c>
      <c r="D3291" s="53" t="s">
        <v>4330</v>
      </c>
      <c r="E3291" s="54"/>
      <c r="F3291" s="52" t="str">
        <f>IF(INDEX(I.CCUS.EndRange,219)="","",INDEX(I.CCUS.EndRange,219))</f>
        <v/>
      </c>
      <c r="G3291" s="54"/>
      <c r="H3291" s="52" t="str">
        <f>IF(AND(I.Compliance.FulfilledCCUS&gt;0,I.CCUS.RangeCount&gt;=219,F3291=""),"Incomplete","Complete")</f>
        <v>Complete</v>
      </c>
      <c r="I3291" s="55" t="s">
        <v>3488</v>
      </c>
    </row>
    <row r="3292" spans="2:9" ht="15" customHeight="1" x14ac:dyDescent="0.25">
      <c r="B3292" s="51" t="s">
        <v>127</v>
      </c>
      <c r="C3292" s="52">
        <v>220</v>
      </c>
      <c r="D3292" s="53" t="s">
        <v>4330</v>
      </c>
      <c r="E3292" s="54"/>
      <c r="F3292" s="52" t="str">
        <f>IF(INDEX(I.CCUS.EndRange,220)="","",INDEX(I.CCUS.EndRange,220))</f>
        <v/>
      </c>
      <c r="G3292" s="54"/>
      <c r="H3292" s="52" t="str">
        <f>IF(AND(I.Compliance.FulfilledCCUS&gt;0,I.CCUS.RangeCount&gt;=220,F3292=""),"Incomplete","Complete")</f>
        <v>Complete</v>
      </c>
      <c r="I3292" s="55" t="s">
        <v>3489</v>
      </c>
    </row>
    <row r="3293" spans="2:9" ht="15" customHeight="1" x14ac:dyDescent="0.25">
      <c r="B3293" s="51" t="s">
        <v>127</v>
      </c>
      <c r="C3293" s="52">
        <v>221</v>
      </c>
      <c r="D3293" s="53" t="s">
        <v>4330</v>
      </c>
      <c r="E3293" s="54"/>
      <c r="F3293" s="52" t="str">
        <f>IF(INDEX(I.CCUS.EndRange,221)="","",INDEX(I.CCUS.EndRange,221))</f>
        <v/>
      </c>
      <c r="G3293" s="54"/>
      <c r="H3293" s="52" t="str">
        <f>IF(AND(I.Compliance.FulfilledCCUS&gt;0,I.CCUS.RangeCount&gt;=221,F3293=""),"Incomplete","Complete")</f>
        <v>Complete</v>
      </c>
      <c r="I3293" s="55" t="s">
        <v>3490</v>
      </c>
    </row>
    <row r="3294" spans="2:9" ht="15" customHeight="1" x14ac:dyDescent="0.25">
      <c r="B3294" s="51" t="s">
        <v>127</v>
      </c>
      <c r="C3294" s="52">
        <v>222</v>
      </c>
      <c r="D3294" s="53" t="s">
        <v>4330</v>
      </c>
      <c r="E3294" s="54"/>
      <c r="F3294" s="52" t="str">
        <f>IF(INDEX(I.CCUS.EndRange,222)="","",INDEX(I.CCUS.EndRange,222))</f>
        <v/>
      </c>
      <c r="G3294" s="54"/>
      <c r="H3294" s="52" t="str">
        <f>IF(AND(I.Compliance.FulfilledCCUS&gt;0,I.CCUS.RangeCount&gt;=222,F3294=""),"Incomplete","Complete")</f>
        <v>Complete</v>
      </c>
      <c r="I3294" s="55" t="s">
        <v>3491</v>
      </c>
    </row>
    <row r="3295" spans="2:9" ht="15" customHeight="1" x14ac:dyDescent="0.25">
      <c r="B3295" s="51" t="s">
        <v>127</v>
      </c>
      <c r="C3295" s="52">
        <v>223</v>
      </c>
      <c r="D3295" s="53" t="s">
        <v>4330</v>
      </c>
      <c r="E3295" s="54"/>
      <c r="F3295" s="52" t="str">
        <f>IF(INDEX(I.CCUS.EndRange,223)="","",INDEX(I.CCUS.EndRange,223))</f>
        <v/>
      </c>
      <c r="G3295" s="54"/>
      <c r="H3295" s="52" t="str">
        <f>IF(AND(I.Compliance.FulfilledCCUS&gt;0,I.CCUS.RangeCount&gt;=223,F3295=""),"Incomplete","Complete")</f>
        <v>Complete</v>
      </c>
      <c r="I3295" s="55" t="s">
        <v>3492</v>
      </c>
    </row>
    <row r="3296" spans="2:9" ht="15" customHeight="1" x14ac:dyDescent="0.25">
      <c r="B3296" s="51" t="s">
        <v>127</v>
      </c>
      <c r="C3296" s="52">
        <v>224</v>
      </c>
      <c r="D3296" s="53" t="s">
        <v>4330</v>
      </c>
      <c r="E3296" s="54"/>
      <c r="F3296" s="52" t="str">
        <f>IF(INDEX(I.CCUS.EndRange,224)="","",INDEX(I.CCUS.EndRange,224))</f>
        <v/>
      </c>
      <c r="G3296" s="54"/>
      <c r="H3296" s="52" t="str">
        <f>IF(AND(I.Compliance.FulfilledCCUS&gt;0,I.CCUS.RangeCount&gt;=224,F3296=""),"Incomplete","Complete")</f>
        <v>Complete</v>
      </c>
      <c r="I3296" s="55" t="s">
        <v>3493</v>
      </c>
    </row>
    <row r="3297" spans="2:9" ht="15" customHeight="1" x14ac:dyDescent="0.25">
      <c r="B3297" s="51" t="s">
        <v>127</v>
      </c>
      <c r="C3297" s="52">
        <v>225</v>
      </c>
      <c r="D3297" s="53" t="s">
        <v>4330</v>
      </c>
      <c r="E3297" s="54"/>
      <c r="F3297" s="52" t="str">
        <f>IF(INDEX(I.CCUS.EndRange,225)="","",INDEX(I.CCUS.EndRange,225))</f>
        <v/>
      </c>
      <c r="G3297" s="54"/>
      <c r="H3297" s="52" t="str">
        <f>IF(AND(I.Compliance.FulfilledCCUS&gt;0,I.CCUS.RangeCount&gt;=225,F3297=""),"Incomplete","Complete")</f>
        <v>Complete</v>
      </c>
      <c r="I3297" s="55" t="s">
        <v>3494</v>
      </c>
    </row>
    <row r="3298" spans="2:9" ht="15" customHeight="1" x14ac:dyDescent="0.25">
      <c r="B3298" s="51" t="s">
        <v>127</v>
      </c>
      <c r="C3298" s="52">
        <v>226</v>
      </c>
      <c r="D3298" s="53" t="s">
        <v>4330</v>
      </c>
      <c r="E3298" s="54"/>
      <c r="F3298" s="52" t="str">
        <f>IF(INDEX(I.CCUS.EndRange,226)="","",INDEX(I.CCUS.EndRange,226))</f>
        <v/>
      </c>
      <c r="G3298" s="54"/>
      <c r="H3298" s="52" t="str">
        <f>IF(AND(I.Compliance.FulfilledCCUS&gt;0,I.CCUS.RangeCount&gt;=226,F3298=""),"Incomplete","Complete")</f>
        <v>Complete</v>
      </c>
      <c r="I3298" s="55" t="s">
        <v>3495</v>
      </c>
    </row>
    <row r="3299" spans="2:9" ht="15" customHeight="1" x14ac:dyDescent="0.25">
      <c r="B3299" s="51" t="s">
        <v>127</v>
      </c>
      <c r="C3299" s="52">
        <v>227</v>
      </c>
      <c r="D3299" s="53" t="s">
        <v>4330</v>
      </c>
      <c r="E3299" s="54"/>
      <c r="F3299" s="52" t="str">
        <f>IF(INDEX(I.CCUS.EndRange,227)="","",INDEX(I.CCUS.EndRange,227))</f>
        <v/>
      </c>
      <c r="G3299" s="54"/>
      <c r="H3299" s="52" t="str">
        <f>IF(AND(I.Compliance.FulfilledCCUS&gt;0,I.CCUS.RangeCount&gt;=227,F3299=""),"Incomplete","Complete")</f>
        <v>Complete</v>
      </c>
      <c r="I3299" s="55" t="s">
        <v>3496</v>
      </c>
    </row>
    <row r="3300" spans="2:9" ht="15" customHeight="1" x14ac:dyDescent="0.25">
      <c r="B3300" s="51" t="s">
        <v>127</v>
      </c>
      <c r="C3300" s="52">
        <v>228</v>
      </c>
      <c r="D3300" s="53" t="s">
        <v>4330</v>
      </c>
      <c r="E3300" s="54"/>
      <c r="F3300" s="52" t="str">
        <f>IF(INDEX(I.CCUS.EndRange,228)="","",INDEX(I.CCUS.EndRange,228))</f>
        <v/>
      </c>
      <c r="G3300" s="54"/>
      <c r="H3300" s="52" t="str">
        <f>IF(AND(I.Compliance.FulfilledCCUS&gt;0,I.CCUS.RangeCount&gt;=228,F3300=""),"Incomplete","Complete")</f>
        <v>Complete</v>
      </c>
      <c r="I3300" s="55" t="s">
        <v>3497</v>
      </c>
    </row>
    <row r="3301" spans="2:9" ht="15" customHeight="1" x14ac:dyDescent="0.25">
      <c r="B3301" s="51" t="s">
        <v>127</v>
      </c>
      <c r="C3301" s="52">
        <v>229</v>
      </c>
      <c r="D3301" s="53" t="s">
        <v>4330</v>
      </c>
      <c r="E3301" s="54"/>
      <c r="F3301" s="52" t="str">
        <f>IF(INDEX(I.CCUS.EndRange,229)="","",INDEX(I.CCUS.EndRange,229))</f>
        <v/>
      </c>
      <c r="G3301" s="54"/>
      <c r="H3301" s="52" t="str">
        <f>IF(AND(I.Compliance.FulfilledCCUS&gt;0,I.CCUS.RangeCount&gt;=229,F3301=""),"Incomplete","Complete")</f>
        <v>Complete</v>
      </c>
      <c r="I3301" s="55" t="s">
        <v>3498</v>
      </c>
    </row>
    <row r="3302" spans="2:9" ht="15" customHeight="1" x14ac:dyDescent="0.25">
      <c r="B3302" s="51" t="s">
        <v>127</v>
      </c>
      <c r="C3302" s="52">
        <v>230</v>
      </c>
      <c r="D3302" s="53" t="s">
        <v>4330</v>
      </c>
      <c r="E3302" s="54"/>
      <c r="F3302" s="52" t="str">
        <f>IF(INDEX(I.CCUS.EndRange,230)="","",INDEX(I.CCUS.EndRange,230))</f>
        <v/>
      </c>
      <c r="G3302" s="54"/>
      <c r="H3302" s="52" t="str">
        <f>IF(AND(I.Compliance.FulfilledCCUS&gt;0,I.CCUS.RangeCount&gt;=230,F3302=""),"Incomplete","Complete")</f>
        <v>Complete</v>
      </c>
      <c r="I3302" s="55" t="s">
        <v>3499</v>
      </c>
    </row>
    <row r="3303" spans="2:9" ht="15" customHeight="1" x14ac:dyDescent="0.25">
      <c r="B3303" s="51" t="s">
        <v>127</v>
      </c>
      <c r="C3303" s="52">
        <v>231</v>
      </c>
      <c r="D3303" s="53" t="s">
        <v>4330</v>
      </c>
      <c r="E3303" s="54"/>
      <c r="F3303" s="52" t="str">
        <f>IF(INDEX(I.CCUS.EndRange,231)="","",INDEX(I.CCUS.EndRange,231))</f>
        <v/>
      </c>
      <c r="G3303" s="54"/>
      <c r="H3303" s="52" t="str">
        <f>IF(AND(I.Compliance.FulfilledCCUS&gt;0,I.CCUS.RangeCount&gt;=231,F3303=""),"Incomplete","Complete")</f>
        <v>Complete</v>
      </c>
      <c r="I3303" s="55" t="s">
        <v>3500</v>
      </c>
    </row>
    <row r="3304" spans="2:9" ht="15" customHeight="1" x14ac:dyDescent="0.25">
      <c r="B3304" s="51" t="s">
        <v>127</v>
      </c>
      <c r="C3304" s="52">
        <v>232</v>
      </c>
      <c r="D3304" s="53" t="s">
        <v>4330</v>
      </c>
      <c r="E3304" s="54"/>
      <c r="F3304" s="52" t="str">
        <f>IF(INDEX(I.CCUS.EndRange,232)="","",INDEX(I.CCUS.EndRange,232))</f>
        <v/>
      </c>
      <c r="G3304" s="54"/>
      <c r="H3304" s="52" t="str">
        <f>IF(AND(I.Compliance.FulfilledCCUS&gt;0,I.CCUS.RangeCount&gt;=232,F3304=""),"Incomplete","Complete")</f>
        <v>Complete</v>
      </c>
      <c r="I3304" s="55" t="s">
        <v>3501</v>
      </c>
    </row>
    <row r="3305" spans="2:9" ht="15" customHeight="1" x14ac:dyDescent="0.25">
      <c r="B3305" s="51" t="s">
        <v>127</v>
      </c>
      <c r="C3305" s="52">
        <v>233</v>
      </c>
      <c r="D3305" s="53" t="s">
        <v>4330</v>
      </c>
      <c r="E3305" s="54"/>
      <c r="F3305" s="52" t="str">
        <f>IF(INDEX(I.CCUS.EndRange,233)="","",INDEX(I.CCUS.EndRange,233))</f>
        <v/>
      </c>
      <c r="G3305" s="54"/>
      <c r="H3305" s="52" t="str">
        <f>IF(AND(I.Compliance.FulfilledCCUS&gt;0,I.CCUS.RangeCount&gt;=233,F3305=""),"Incomplete","Complete")</f>
        <v>Complete</v>
      </c>
      <c r="I3305" s="55" t="s">
        <v>3502</v>
      </c>
    </row>
    <row r="3306" spans="2:9" ht="15" customHeight="1" x14ac:dyDescent="0.25">
      <c r="B3306" s="51" t="s">
        <v>127</v>
      </c>
      <c r="C3306" s="52">
        <v>234</v>
      </c>
      <c r="D3306" s="53" t="s">
        <v>4330</v>
      </c>
      <c r="E3306" s="54"/>
      <c r="F3306" s="52" t="str">
        <f>IF(INDEX(I.CCUS.EndRange,234)="","",INDEX(I.CCUS.EndRange,234))</f>
        <v/>
      </c>
      <c r="G3306" s="54"/>
      <c r="H3306" s="52" t="str">
        <f>IF(AND(I.Compliance.FulfilledCCUS&gt;0,I.CCUS.RangeCount&gt;=234,F3306=""),"Incomplete","Complete")</f>
        <v>Complete</v>
      </c>
      <c r="I3306" s="55" t="s">
        <v>3503</v>
      </c>
    </row>
    <row r="3307" spans="2:9" ht="15" customHeight="1" x14ac:dyDescent="0.25">
      <c r="B3307" s="51" t="s">
        <v>127</v>
      </c>
      <c r="C3307" s="52">
        <v>235</v>
      </c>
      <c r="D3307" s="53" t="s">
        <v>4330</v>
      </c>
      <c r="E3307" s="54"/>
      <c r="F3307" s="52" t="str">
        <f>IF(INDEX(I.CCUS.EndRange,235)="","",INDEX(I.CCUS.EndRange,235))</f>
        <v/>
      </c>
      <c r="G3307" s="54"/>
      <c r="H3307" s="52" t="str">
        <f>IF(AND(I.Compliance.FulfilledCCUS&gt;0,I.CCUS.RangeCount&gt;=235,F3307=""),"Incomplete","Complete")</f>
        <v>Complete</v>
      </c>
      <c r="I3307" s="55" t="s">
        <v>3504</v>
      </c>
    </row>
    <row r="3308" spans="2:9" ht="15" customHeight="1" x14ac:dyDescent="0.25">
      <c r="B3308" s="51" t="s">
        <v>127</v>
      </c>
      <c r="C3308" s="52">
        <v>236</v>
      </c>
      <c r="D3308" s="53" t="s">
        <v>4330</v>
      </c>
      <c r="E3308" s="54"/>
      <c r="F3308" s="52" t="str">
        <f>IF(INDEX(I.CCUS.EndRange,236)="","",INDEX(I.CCUS.EndRange,236))</f>
        <v/>
      </c>
      <c r="G3308" s="54"/>
      <c r="H3308" s="52" t="str">
        <f>IF(AND(I.Compliance.FulfilledCCUS&gt;0,I.CCUS.RangeCount&gt;=236,F3308=""),"Incomplete","Complete")</f>
        <v>Complete</v>
      </c>
      <c r="I3308" s="55" t="s">
        <v>3505</v>
      </c>
    </row>
    <row r="3309" spans="2:9" ht="15" customHeight="1" x14ac:dyDescent="0.25">
      <c r="B3309" s="51" t="s">
        <v>127</v>
      </c>
      <c r="C3309" s="52">
        <v>237</v>
      </c>
      <c r="D3309" s="53" t="s">
        <v>4330</v>
      </c>
      <c r="E3309" s="54"/>
      <c r="F3309" s="52" t="str">
        <f>IF(INDEX(I.CCUS.EndRange,237)="","",INDEX(I.CCUS.EndRange,237))</f>
        <v/>
      </c>
      <c r="G3309" s="54"/>
      <c r="H3309" s="52" t="str">
        <f>IF(AND(I.Compliance.FulfilledCCUS&gt;0,I.CCUS.RangeCount&gt;=237,F3309=""),"Incomplete","Complete")</f>
        <v>Complete</v>
      </c>
      <c r="I3309" s="55" t="s">
        <v>3506</v>
      </c>
    </row>
    <row r="3310" spans="2:9" ht="15" customHeight="1" x14ac:dyDescent="0.25">
      <c r="B3310" s="51" t="s">
        <v>127</v>
      </c>
      <c r="C3310" s="52">
        <v>238</v>
      </c>
      <c r="D3310" s="53" t="s">
        <v>4330</v>
      </c>
      <c r="E3310" s="54"/>
      <c r="F3310" s="52" t="str">
        <f>IF(INDEX(I.CCUS.EndRange,238)="","",INDEX(I.CCUS.EndRange,238))</f>
        <v/>
      </c>
      <c r="G3310" s="54"/>
      <c r="H3310" s="52" t="str">
        <f>IF(AND(I.Compliance.FulfilledCCUS&gt;0,I.CCUS.RangeCount&gt;=238,F3310=""),"Incomplete","Complete")</f>
        <v>Complete</v>
      </c>
      <c r="I3310" s="55" t="s">
        <v>3507</v>
      </c>
    </row>
    <row r="3311" spans="2:9" ht="15" customHeight="1" x14ac:dyDescent="0.25">
      <c r="B3311" s="51" t="s">
        <v>127</v>
      </c>
      <c r="C3311" s="52">
        <v>239</v>
      </c>
      <c r="D3311" s="53" t="s">
        <v>4330</v>
      </c>
      <c r="E3311" s="54"/>
      <c r="F3311" s="52" t="str">
        <f>IF(INDEX(I.CCUS.EndRange,239)="","",INDEX(I.CCUS.EndRange,239))</f>
        <v/>
      </c>
      <c r="G3311" s="54"/>
      <c r="H3311" s="52" t="str">
        <f>IF(AND(I.Compliance.FulfilledCCUS&gt;0,I.CCUS.RangeCount&gt;=239,F3311=""),"Incomplete","Complete")</f>
        <v>Complete</v>
      </c>
      <c r="I3311" s="55" t="s">
        <v>3508</v>
      </c>
    </row>
    <row r="3312" spans="2:9" ht="15" customHeight="1" x14ac:dyDescent="0.25">
      <c r="B3312" s="51" t="s">
        <v>127</v>
      </c>
      <c r="C3312" s="52">
        <v>240</v>
      </c>
      <c r="D3312" s="53" t="s">
        <v>4330</v>
      </c>
      <c r="E3312" s="54"/>
      <c r="F3312" s="52" t="str">
        <f>IF(INDEX(I.CCUS.EndRange,240)="","",INDEX(I.CCUS.EndRange,240))</f>
        <v/>
      </c>
      <c r="G3312" s="54"/>
      <c r="H3312" s="52" t="str">
        <f>IF(AND(I.Compliance.FulfilledCCUS&gt;0,I.CCUS.RangeCount&gt;=240,F3312=""),"Incomplete","Complete")</f>
        <v>Complete</v>
      </c>
      <c r="I3312" s="55" t="s">
        <v>3509</v>
      </c>
    </row>
    <row r="3313" spans="2:9" ht="15" customHeight="1" x14ac:dyDescent="0.25">
      <c r="B3313" s="51" t="s">
        <v>127</v>
      </c>
      <c r="C3313" s="52">
        <v>241</v>
      </c>
      <c r="D3313" s="53" t="s">
        <v>4330</v>
      </c>
      <c r="E3313" s="54"/>
      <c r="F3313" s="52" t="str">
        <f>IF(INDEX(I.CCUS.EndRange,241)="","",INDEX(I.CCUS.EndRange,241))</f>
        <v/>
      </c>
      <c r="G3313" s="54"/>
      <c r="H3313" s="52" t="str">
        <f>IF(AND(I.Compliance.FulfilledCCUS&gt;0,I.CCUS.RangeCount&gt;=241,F3313=""),"Incomplete","Complete")</f>
        <v>Complete</v>
      </c>
      <c r="I3313" s="55" t="s">
        <v>3510</v>
      </c>
    </row>
    <row r="3314" spans="2:9" ht="15" customHeight="1" x14ac:dyDescent="0.25">
      <c r="B3314" s="51" t="s">
        <v>127</v>
      </c>
      <c r="C3314" s="52">
        <v>242</v>
      </c>
      <c r="D3314" s="53" t="s">
        <v>4330</v>
      </c>
      <c r="E3314" s="54"/>
      <c r="F3314" s="52" t="str">
        <f>IF(INDEX(I.CCUS.EndRange,242)="","",INDEX(I.CCUS.EndRange,242))</f>
        <v/>
      </c>
      <c r="G3314" s="54"/>
      <c r="H3314" s="52" t="str">
        <f>IF(AND(I.Compliance.FulfilledCCUS&gt;0,I.CCUS.RangeCount&gt;=242,F3314=""),"Incomplete","Complete")</f>
        <v>Complete</v>
      </c>
      <c r="I3314" s="55" t="s">
        <v>3511</v>
      </c>
    </row>
    <row r="3315" spans="2:9" ht="15" customHeight="1" x14ac:dyDescent="0.25">
      <c r="B3315" s="51" t="s">
        <v>127</v>
      </c>
      <c r="C3315" s="52">
        <v>243</v>
      </c>
      <c r="D3315" s="53" t="s">
        <v>4330</v>
      </c>
      <c r="E3315" s="54"/>
      <c r="F3315" s="52" t="str">
        <f>IF(INDEX(I.CCUS.EndRange,243)="","",INDEX(I.CCUS.EndRange,243))</f>
        <v/>
      </c>
      <c r="G3315" s="54"/>
      <c r="H3315" s="52" t="str">
        <f>IF(AND(I.Compliance.FulfilledCCUS&gt;0,I.CCUS.RangeCount&gt;=243,F3315=""),"Incomplete","Complete")</f>
        <v>Complete</v>
      </c>
      <c r="I3315" s="55" t="s">
        <v>3512</v>
      </c>
    </row>
    <row r="3316" spans="2:9" ht="15" customHeight="1" x14ac:dyDescent="0.25">
      <c r="B3316" s="51" t="s">
        <v>127</v>
      </c>
      <c r="C3316" s="52">
        <v>244</v>
      </c>
      <c r="D3316" s="53" t="s">
        <v>4330</v>
      </c>
      <c r="E3316" s="54"/>
      <c r="F3316" s="52" t="str">
        <f>IF(INDEX(I.CCUS.EndRange,244)="","",INDEX(I.CCUS.EndRange,244))</f>
        <v/>
      </c>
      <c r="G3316" s="54"/>
      <c r="H3316" s="52" t="str">
        <f>IF(AND(I.Compliance.FulfilledCCUS&gt;0,I.CCUS.RangeCount&gt;=244,F3316=""),"Incomplete","Complete")</f>
        <v>Complete</v>
      </c>
      <c r="I3316" s="55" t="s">
        <v>3513</v>
      </c>
    </row>
    <row r="3317" spans="2:9" ht="15" customHeight="1" x14ac:dyDescent="0.25">
      <c r="B3317" s="51" t="s">
        <v>127</v>
      </c>
      <c r="C3317" s="52">
        <v>245</v>
      </c>
      <c r="D3317" s="53" t="s">
        <v>4330</v>
      </c>
      <c r="E3317" s="54"/>
      <c r="F3317" s="52" t="str">
        <f>IF(INDEX(I.CCUS.EndRange,245)="","",INDEX(I.CCUS.EndRange,245))</f>
        <v/>
      </c>
      <c r="G3317" s="54"/>
      <c r="H3317" s="52" t="str">
        <f>IF(AND(I.Compliance.FulfilledCCUS&gt;0,I.CCUS.RangeCount&gt;=245,F3317=""),"Incomplete","Complete")</f>
        <v>Complete</v>
      </c>
      <c r="I3317" s="55" t="s">
        <v>3514</v>
      </c>
    </row>
    <row r="3318" spans="2:9" ht="15" customHeight="1" x14ac:dyDescent="0.25">
      <c r="B3318" s="51" t="s">
        <v>127</v>
      </c>
      <c r="C3318" s="52">
        <v>246</v>
      </c>
      <c r="D3318" s="53" t="s">
        <v>4330</v>
      </c>
      <c r="E3318" s="54"/>
      <c r="F3318" s="52" t="str">
        <f>IF(INDEX(I.CCUS.EndRange,246)="","",INDEX(I.CCUS.EndRange,246))</f>
        <v/>
      </c>
      <c r="G3318" s="54"/>
      <c r="H3318" s="52" t="str">
        <f>IF(AND(I.Compliance.FulfilledCCUS&gt;0,I.CCUS.RangeCount&gt;=246,F3318=""),"Incomplete","Complete")</f>
        <v>Complete</v>
      </c>
      <c r="I3318" s="55" t="s">
        <v>3515</v>
      </c>
    </row>
    <row r="3319" spans="2:9" ht="15" customHeight="1" x14ac:dyDescent="0.25">
      <c r="B3319" s="51" t="s">
        <v>127</v>
      </c>
      <c r="C3319" s="52">
        <v>247</v>
      </c>
      <c r="D3319" s="53" t="s">
        <v>4330</v>
      </c>
      <c r="E3319" s="54"/>
      <c r="F3319" s="52" t="str">
        <f>IF(INDEX(I.CCUS.EndRange,247)="","",INDEX(I.CCUS.EndRange,247))</f>
        <v/>
      </c>
      <c r="G3319" s="54"/>
      <c r="H3319" s="52" t="str">
        <f>IF(AND(I.Compliance.FulfilledCCUS&gt;0,I.CCUS.RangeCount&gt;=247,F3319=""),"Incomplete","Complete")</f>
        <v>Complete</v>
      </c>
      <c r="I3319" s="55" t="s">
        <v>3516</v>
      </c>
    </row>
    <row r="3320" spans="2:9" ht="15" customHeight="1" x14ac:dyDescent="0.25">
      <c r="B3320" s="51" t="s">
        <v>127</v>
      </c>
      <c r="C3320" s="52">
        <v>248</v>
      </c>
      <c r="D3320" s="53" t="s">
        <v>4330</v>
      </c>
      <c r="E3320" s="54"/>
      <c r="F3320" s="52" t="str">
        <f>IF(INDEX(I.CCUS.EndRange,248)="","",INDEX(I.CCUS.EndRange,248))</f>
        <v/>
      </c>
      <c r="G3320" s="54"/>
      <c r="H3320" s="52" t="str">
        <f>IF(AND(I.Compliance.FulfilledCCUS&gt;0,I.CCUS.RangeCount&gt;=248,F3320=""),"Incomplete","Complete")</f>
        <v>Complete</v>
      </c>
      <c r="I3320" s="55" t="s">
        <v>3517</v>
      </c>
    </row>
    <row r="3321" spans="2:9" ht="15" customHeight="1" x14ac:dyDescent="0.25">
      <c r="B3321" s="51" t="s">
        <v>127</v>
      </c>
      <c r="C3321" s="52">
        <v>249</v>
      </c>
      <c r="D3321" s="53" t="s">
        <v>4330</v>
      </c>
      <c r="E3321" s="54"/>
      <c r="F3321" s="52" t="str">
        <f>IF(INDEX(I.CCUS.EndRange,249)="","",INDEX(I.CCUS.EndRange,249))</f>
        <v/>
      </c>
      <c r="G3321" s="54"/>
      <c r="H3321" s="52" t="str">
        <f>IF(AND(I.Compliance.FulfilledCCUS&gt;0,I.CCUS.RangeCount&gt;=249,F3321=""),"Incomplete","Complete")</f>
        <v>Complete</v>
      </c>
      <c r="I3321" s="55" t="s">
        <v>3518</v>
      </c>
    </row>
    <row r="3322" spans="2:9" ht="15" customHeight="1" x14ac:dyDescent="0.25">
      <c r="B3322" s="51" t="s">
        <v>127</v>
      </c>
      <c r="C3322" s="52">
        <v>250</v>
      </c>
      <c r="D3322" s="53" t="s">
        <v>4330</v>
      </c>
      <c r="E3322" s="54"/>
      <c r="F3322" s="52" t="str">
        <f>IF(INDEX(I.CCUS.EndRange,250)="","",INDEX(I.CCUS.EndRange,250))</f>
        <v/>
      </c>
      <c r="G3322" s="54"/>
      <c r="H3322" s="52" t="str">
        <f>IF(AND(I.Compliance.FulfilledCCUS&gt;0,I.CCUS.RangeCount&gt;=250,F3322=""),"Incomplete","Complete")</f>
        <v>Complete</v>
      </c>
      <c r="I3322" s="55" t="s">
        <v>3519</v>
      </c>
    </row>
    <row r="3323" spans="2:9" ht="15" customHeight="1" x14ac:dyDescent="0.25">
      <c r="B3323" s="51" t="s">
        <v>127</v>
      </c>
      <c r="C3323" s="52">
        <v>251</v>
      </c>
      <c r="D3323" s="53" t="s">
        <v>4330</v>
      </c>
      <c r="E3323" s="54"/>
      <c r="F3323" s="52" t="str">
        <f>IF(INDEX(I.CCUS.EndRange,251)="","",INDEX(I.CCUS.EndRange,251))</f>
        <v/>
      </c>
      <c r="G3323" s="54"/>
      <c r="H3323" s="52" t="str">
        <f>IF(AND(I.Compliance.FulfilledCCUS&gt;0,I.CCUS.RangeCount&gt;=251,F3323=""),"Incomplete","Complete")</f>
        <v>Complete</v>
      </c>
      <c r="I3323" s="55" t="s">
        <v>3520</v>
      </c>
    </row>
    <row r="3324" spans="2:9" ht="15" customHeight="1" x14ac:dyDescent="0.25">
      <c r="B3324" s="51" t="s">
        <v>127</v>
      </c>
      <c r="C3324" s="52">
        <v>252</v>
      </c>
      <c r="D3324" s="53" t="s">
        <v>4330</v>
      </c>
      <c r="E3324" s="54"/>
      <c r="F3324" s="52" t="str">
        <f>IF(INDEX(I.CCUS.EndRange,252)="","",INDEX(I.CCUS.EndRange,252))</f>
        <v/>
      </c>
      <c r="G3324" s="54"/>
      <c r="H3324" s="52" t="str">
        <f>IF(AND(I.Compliance.FulfilledCCUS&gt;0,I.CCUS.RangeCount&gt;=252,F3324=""),"Incomplete","Complete")</f>
        <v>Complete</v>
      </c>
      <c r="I3324" s="55" t="s">
        <v>3521</v>
      </c>
    </row>
    <row r="3325" spans="2:9" ht="15" customHeight="1" x14ac:dyDescent="0.25">
      <c r="B3325" s="51" t="s">
        <v>127</v>
      </c>
      <c r="C3325" s="52">
        <v>253</v>
      </c>
      <c r="D3325" s="53" t="s">
        <v>4330</v>
      </c>
      <c r="E3325" s="54"/>
      <c r="F3325" s="52" t="str">
        <f>IF(INDEX(I.CCUS.EndRange,253)="","",INDEX(I.CCUS.EndRange,253))</f>
        <v/>
      </c>
      <c r="G3325" s="54"/>
      <c r="H3325" s="52" t="str">
        <f>IF(AND(I.Compliance.FulfilledCCUS&gt;0,I.CCUS.RangeCount&gt;=253,F3325=""),"Incomplete","Complete")</f>
        <v>Complete</v>
      </c>
      <c r="I3325" s="55" t="s">
        <v>3522</v>
      </c>
    </row>
    <row r="3326" spans="2:9" ht="15" customHeight="1" x14ac:dyDescent="0.25">
      <c r="B3326" s="51" t="s">
        <v>127</v>
      </c>
      <c r="C3326" s="52">
        <v>254</v>
      </c>
      <c r="D3326" s="53" t="s">
        <v>4330</v>
      </c>
      <c r="E3326" s="54"/>
      <c r="F3326" s="52" t="str">
        <f>IF(INDEX(I.CCUS.EndRange,254)="","",INDEX(I.CCUS.EndRange,254))</f>
        <v/>
      </c>
      <c r="G3326" s="54"/>
      <c r="H3326" s="52" t="str">
        <f>IF(AND(I.Compliance.FulfilledCCUS&gt;0,I.CCUS.RangeCount&gt;=254,F3326=""),"Incomplete","Complete")</f>
        <v>Complete</v>
      </c>
      <c r="I3326" s="55" t="s">
        <v>3523</v>
      </c>
    </row>
    <row r="3327" spans="2:9" ht="15" customHeight="1" x14ac:dyDescent="0.25">
      <c r="B3327" s="51" t="s">
        <v>127</v>
      </c>
      <c r="C3327" s="52">
        <v>255</v>
      </c>
      <c r="D3327" s="53" t="s">
        <v>4330</v>
      </c>
      <c r="E3327" s="54"/>
      <c r="F3327" s="52" t="str">
        <f>IF(INDEX(I.CCUS.EndRange,255)="","",INDEX(I.CCUS.EndRange,255))</f>
        <v/>
      </c>
      <c r="G3327" s="54"/>
      <c r="H3327" s="52" t="str">
        <f>IF(AND(I.Compliance.FulfilledCCUS&gt;0,I.CCUS.RangeCount&gt;=255,F3327=""),"Incomplete","Complete")</f>
        <v>Complete</v>
      </c>
      <c r="I3327" s="55" t="s">
        <v>3524</v>
      </c>
    </row>
    <row r="3328" spans="2:9" ht="15" customHeight="1" x14ac:dyDescent="0.25">
      <c r="B3328" s="51" t="s">
        <v>127</v>
      </c>
      <c r="C3328" s="52">
        <v>256</v>
      </c>
      <c r="D3328" s="53" t="s">
        <v>4330</v>
      </c>
      <c r="E3328" s="54"/>
      <c r="F3328" s="52" t="str">
        <f>IF(INDEX(I.CCUS.EndRange,256)="","",INDEX(I.CCUS.EndRange,256))</f>
        <v/>
      </c>
      <c r="G3328" s="54"/>
      <c r="H3328" s="52" t="str">
        <f>IF(AND(I.Compliance.FulfilledCCUS&gt;0,I.CCUS.RangeCount&gt;=256,F3328=""),"Incomplete","Complete")</f>
        <v>Complete</v>
      </c>
      <c r="I3328" s="55" t="s">
        <v>3525</v>
      </c>
    </row>
    <row r="3329" spans="2:9" ht="15" customHeight="1" x14ac:dyDescent="0.25">
      <c r="B3329" s="51" t="s">
        <v>127</v>
      </c>
      <c r="C3329" s="52">
        <v>257</v>
      </c>
      <c r="D3329" s="53" t="s">
        <v>4330</v>
      </c>
      <c r="E3329" s="54"/>
      <c r="F3329" s="52" t="str">
        <f>IF(INDEX(I.CCUS.EndRange,257)="","",INDEX(I.CCUS.EndRange,257))</f>
        <v/>
      </c>
      <c r="G3329" s="54"/>
      <c r="H3329" s="52" t="str">
        <f>IF(AND(I.Compliance.FulfilledCCUS&gt;0,I.CCUS.RangeCount&gt;=257,F3329=""),"Incomplete","Complete")</f>
        <v>Complete</v>
      </c>
      <c r="I3329" s="55" t="s">
        <v>3526</v>
      </c>
    </row>
    <row r="3330" spans="2:9" ht="15" customHeight="1" x14ac:dyDescent="0.25">
      <c r="B3330" s="51" t="s">
        <v>127</v>
      </c>
      <c r="C3330" s="52">
        <v>258</v>
      </c>
      <c r="D3330" s="53" t="s">
        <v>4330</v>
      </c>
      <c r="E3330" s="54"/>
      <c r="F3330" s="52" t="str">
        <f>IF(INDEX(I.CCUS.EndRange,258)="","",INDEX(I.CCUS.EndRange,258))</f>
        <v/>
      </c>
      <c r="G3330" s="54"/>
      <c r="H3330" s="52" t="str">
        <f>IF(AND(I.Compliance.FulfilledCCUS&gt;0,I.CCUS.RangeCount&gt;=258,F3330=""),"Incomplete","Complete")</f>
        <v>Complete</v>
      </c>
      <c r="I3330" s="55" t="s">
        <v>3527</v>
      </c>
    </row>
    <row r="3331" spans="2:9" ht="15" customHeight="1" x14ac:dyDescent="0.25">
      <c r="B3331" s="51" t="s">
        <v>127</v>
      </c>
      <c r="C3331" s="52">
        <v>259</v>
      </c>
      <c r="D3331" s="53" t="s">
        <v>4330</v>
      </c>
      <c r="E3331" s="54"/>
      <c r="F3331" s="52" t="str">
        <f>IF(INDEX(I.CCUS.EndRange,259)="","",INDEX(I.CCUS.EndRange,259))</f>
        <v/>
      </c>
      <c r="G3331" s="54"/>
      <c r="H3331" s="52" t="str">
        <f>IF(AND(I.Compliance.FulfilledCCUS&gt;0,I.CCUS.RangeCount&gt;=259,F3331=""),"Incomplete","Complete")</f>
        <v>Complete</v>
      </c>
      <c r="I3331" s="55" t="s">
        <v>3528</v>
      </c>
    </row>
    <row r="3332" spans="2:9" ht="15" customHeight="1" x14ac:dyDescent="0.25">
      <c r="B3332" s="51" t="s">
        <v>127</v>
      </c>
      <c r="C3332" s="52">
        <v>260</v>
      </c>
      <c r="D3332" s="53" t="s">
        <v>4330</v>
      </c>
      <c r="E3332" s="54"/>
      <c r="F3332" s="52" t="str">
        <f>IF(INDEX(I.CCUS.EndRange,260)="","",INDEX(I.CCUS.EndRange,260))</f>
        <v/>
      </c>
      <c r="G3332" s="54"/>
      <c r="H3332" s="52" t="str">
        <f>IF(AND(I.Compliance.FulfilledCCUS&gt;0,I.CCUS.RangeCount&gt;=260,F3332=""),"Incomplete","Complete")</f>
        <v>Complete</v>
      </c>
      <c r="I3332" s="55" t="s">
        <v>3529</v>
      </c>
    </row>
    <row r="3333" spans="2:9" ht="15" customHeight="1" x14ac:dyDescent="0.25">
      <c r="B3333" s="51" t="s">
        <v>127</v>
      </c>
      <c r="C3333" s="52">
        <v>261</v>
      </c>
      <c r="D3333" s="53" t="s">
        <v>4330</v>
      </c>
      <c r="E3333" s="54"/>
      <c r="F3333" s="52" t="str">
        <f>IF(INDEX(I.CCUS.EndRange,261)="","",INDEX(I.CCUS.EndRange,261))</f>
        <v/>
      </c>
      <c r="G3333" s="54"/>
      <c r="H3333" s="52" t="str">
        <f>IF(AND(I.Compliance.FulfilledCCUS&gt;0,I.CCUS.RangeCount&gt;=261,F3333=""),"Incomplete","Complete")</f>
        <v>Complete</v>
      </c>
      <c r="I3333" s="55" t="s">
        <v>3530</v>
      </c>
    </row>
    <row r="3334" spans="2:9" ht="15" customHeight="1" x14ac:dyDescent="0.25">
      <c r="B3334" s="51" t="s">
        <v>127</v>
      </c>
      <c r="C3334" s="52">
        <v>262</v>
      </c>
      <c r="D3334" s="53" t="s">
        <v>4330</v>
      </c>
      <c r="E3334" s="54"/>
      <c r="F3334" s="52" t="str">
        <f>IF(INDEX(I.CCUS.EndRange,262)="","",INDEX(I.CCUS.EndRange,262))</f>
        <v/>
      </c>
      <c r="G3334" s="54"/>
      <c r="H3334" s="52" t="str">
        <f>IF(AND(I.Compliance.FulfilledCCUS&gt;0,I.CCUS.RangeCount&gt;=262,F3334=""),"Incomplete","Complete")</f>
        <v>Complete</v>
      </c>
      <c r="I3334" s="55" t="s">
        <v>3531</v>
      </c>
    </row>
    <row r="3335" spans="2:9" ht="15" customHeight="1" x14ac:dyDescent="0.25">
      <c r="B3335" s="51" t="s">
        <v>127</v>
      </c>
      <c r="C3335" s="52">
        <v>263</v>
      </c>
      <c r="D3335" s="53" t="s">
        <v>4330</v>
      </c>
      <c r="E3335" s="54"/>
      <c r="F3335" s="52" t="str">
        <f>IF(INDEX(I.CCUS.EndRange,263)="","",INDEX(I.CCUS.EndRange,263))</f>
        <v/>
      </c>
      <c r="G3335" s="54"/>
      <c r="H3335" s="52" t="str">
        <f>IF(AND(I.Compliance.FulfilledCCUS&gt;0,I.CCUS.RangeCount&gt;=263,F3335=""),"Incomplete","Complete")</f>
        <v>Complete</v>
      </c>
      <c r="I3335" s="55" t="s">
        <v>3532</v>
      </c>
    </row>
    <row r="3336" spans="2:9" ht="15" customHeight="1" x14ac:dyDescent="0.25">
      <c r="B3336" s="51" t="s">
        <v>127</v>
      </c>
      <c r="C3336" s="52">
        <v>264</v>
      </c>
      <c r="D3336" s="53" t="s">
        <v>4330</v>
      </c>
      <c r="E3336" s="54"/>
      <c r="F3336" s="52" t="str">
        <f>IF(INDEX(I.CCUS.EndRange,264)="","",INDEX(I.CCUS.EndRange,264))</f>
        <v/>
      </c>
      <c r="G3336" s="54"/>
      <c r="H3336" s="52" t="str">
        <f>IF(AND(I.Compliance.FulfilledCCUS&gt;0,I.CCUS.RangeCount&gt;=264,F3336=""),"Incomplete","Complete")</f>
        <v>Complete</v>
      </c>
      <c r="I3336" s="55" t="s">
        <v>3533</v>
      </c>
    </row>
    <row r="3337" spans="2:9" ht="15" customHeight="1" x14ac:dyDescent="0.25">
      <c r="B3337" s="51" t="s">
        <v>127</v>
      </c>
      <c r="C3337" s="52">
        <v>265</v>
      </c>
      <c r="D3337" s="53" t="s">
        <v>4330</v>
      </c>
      <c r="E3337" s="54"/>
      <c r="F3337" s="52" t="str">
        <f>IF(INDEX(I.CCUS.EndRange,265)="","",INDEX(I.CCUS.EndRange,265))</f>
        <v/>
      </c>
      <c r="G3337" s="54"/>
      <c r="H3337" s="52" t="str">
        <f>IF(AND(I.Compliance.FulfilledCCUS&gt;0,I.CCUS.RangeCount&gt;=265,F3337=""),"Incomplete","Complete")</f>
        <v>Complete</v>
      </c>
      <c r="I3337" s="55" t="s">
        <v>3534</v>
      </c>
    </row>
    <row r="3338" spans="2:9" ht="15" customHeight="1" x14ac:dyDescent="0.25">
      <c r="B3338" s="51" t="s">
        <v>127</v>
      </c>
      <c r="C3338" s="52">
        <v>266</v>
      </c>
      <c r="D3338" s="53" t="s">
        <v>4330</v>
      </c>
      <c r="E3338" s="54"/>
      <c r="F3338" s="52" t="str">
        <f>IF(INDEX(I.CCUS.EndRange,266)="","",INDEX(I.CCUS.EndRange,266))</f>
        <v/>
      </c>
      <c r="G3338" s="54"/>
      <c r="H3338" s="52" t="str">
        <f>IF(AND(I.Compliance.FulfilledCCUS&gt;0,I.CCUS.RangeCount&gt;=266,F3338=""),"Incomplete","Complete")</f>
        <v>Complete</v>
      </c>
      <c r="I3338" s="55" t="s">
        <v>3535</v>
      </c>
    </row>
    <row r="3339" spans="2:9" ht="15" customHeight="1" x14ac:dyDescent="0.25">
      <c r="B3339" s="51" t="s">
        <v>127</v>
      </c>
      <c r="C3339" s="52">
        <v>267</v>
      </c>
      <c r="D3339" s="53" t="s">
        <v>4330</v>
      </c>
      <c r="E3339" s="54"/>
      <c r="F3339" s="52" t="str">
        <f>IF(INDEX(I.CCUS.EndRange,267)="","",INDEX(I.CCUS.EndRange,267))</f>
        <v/>
      </c>
      <c r="G3339" s="54"/>
      <c r="H3339" s="52" t="str">
        <f>IF(AND(I.Compliance.FulfilledCCUS&gt;0,I.CCUS.RangeCount&gt;=267,F3339=""),"Incomplete","Complete")</f>
        <v>Complete</v>
      </c>
      <c r="I3339" s="55" t="s">
        <v>3536</v>
      </c>
    </row>
    <row r="3340" spans="2:9" ht="15" customHeight="1" x14ac:dyDescent="0.25">
      <c r="B3340" s="51" t="s">
        <v>127</v>
      </c>
      <c r="C3340" s="52">
        <v>268</v>
      </c>
      <c r="D3340" s="53" t="s">
        <v>4330</v>
      </c>
      <c r="E3340" s="54"/>
      <c r="F3340" s="52" t="str">
        <f>IF(INDEX(I.CCUS.EndRange,268)="","",INDEX(I.CCUS.EndRange,268))</f>
        <v/>
      </c>
      <c r="G3340" s="54"/>
      <c r="H3340" s="52" t="str">
        <f>IF(AND(I.Compliance.FulfilledCCUS&gt;0,I.CCUS.RangeCount&gt;=268,F3340=""),"Incomplete","Complete")</f>
        <v>Complete</v>
      </c>
      <c r="I3340" s="55" t="s">
        <v>3537</v>
      </c>
    </row>
    <row r="3341" spans="2:9" ht="15" customHeight="1" x14ac:dyDescent="0.25">
      <c r="B3341" s="51" t="s">
        <v>127</v>
      </c>
      <c r="C3341" s="52">
        <v>269</v>
      </c>
      <c r="D3341" s="53" t="s">
        <v>4330</v>
      </c>
      <c r="E3341" s="54"/>
      <c r="F3341" s="52" t="str">
        <f>IF(INDEX(I.CCUS.EndRange,269)="","",INDEX(I.CCUS.EndRange,269))</f>
        <v/>
      </c>
      <c r="G3341" s="54"/>
      <c r="H3341" s="52" t="str">
        <f>IF(AND(I.Compliance.FulfilledCCUS&gt;0,I.CCUS.RangeCount&gt;=269,F3341=""),"Incomplete","Complete")</f>
        <v>Complete</v>
      </c>
      <c r="I3341" s="55" t="s">
        <v>3538</v>
      </c>
    </row>
    <row r="3342" spans="2:9" ht="15" customHeight="1" x14ac:dyDescent="0.25">
      <c r="B3342" s="51" t="s">
        <v>127</v>
      </c>
      <c r="C3342" s="52">
        <v>270</v>
      </c>
      <c r="D3342" s="53" t="s">
        <v>4330</v>
      </c>
      <c r="E3342" s="54"/>
      <c r="F3342" s="52" t="str">
        <f>IF(INDEX(I.CCUS.EndRange,270)="","",INDEX(I.CCUS.EndRange,270))</f>
        <v/>
      </c>
      <c r="G3342" s="54"/>
      <c r="H3342" s="52" t="str">
        <f>IF(AND(I.Compliance.FulfilledCCUS&gt;0,I.CCUS.RangeCount&gt;=270,F3342=""),"Incomplete","Complete")</f>
        <v>Complete</v>
      </c>
      <c r="I3342" s="55" t="s">
        <v>3539</v>
      </c>
    </row>
    <row r="3343" spans="2:9" ht="15" customHeight="1" x14ac:dyDescent="0.25">
      <c r="B3343" s="51" t="s">
        <v>127</v>
      </c>
      <c r="C3343" s="52">
        <v>271</v>
      </c>
      <c r="D3343" s="53" t="s">
        <v>4330</v>
      </c>
      <c r="E3343" s="54"/>
      <c r="F3343" s="52" t="str">
        <f>IF(INDEX(I.CCUS.EndRange,271)="","",INDEX(I.CCUS.EndRange,271))</f>
        <v/>
      </c>
      <c r="G3343" s="54"/>
      <c r="H3343" s="52" t="str">
        <f>IF(AND(I.Compliance.FulfilledCCUS&gt;0,I.CCUS.RangeCount&gt;=271,F3343=""),"Incomplete","Complete")</f>
        <v>Complete</v>
      </c>
      <c r="I3343" s="55" t="s">
        <v>3540</v>
      </c>
    </row>
    <row r="3344" spans="2:9" ht="15" customHeight="1" x14ac:dyDescent="0.25">
      <c r="B3344" s="51" t="s">
        <v>127</v>
      </c>
      <c r="C3344" s="52">
        <v>272</v>
      </c>
      <c r="D3344" s="53" t="s">
        <v>4330</v>
      </c>
      <c r="E3344" s="54"/>
      <c r="F3344" s="52" t="str">
        <f>IF(INDEX(I.CCUS.EndRange,272)="","",INDEX(I.CCUS.EndRange,272))</f>
        <v/>
      </c>
      <c r="G3344" s="54"/>
      <c r="H3344" s="52" t="str">
        <f>IF(AND(I.Compliance.FulfilledCCUS&gt;0,I.CCUS.RangeCount&gt;=272,F3344=""),"Incomplete","Complete")</f>
        <v>Complete</v>
      </c>
      <c r="I3344" s="55" t="s">
        <v>3541</v>
      </c>
    </row>
    <row r="3345" spans="2:9" ht="15" customHeight="1" x14ac:dyDescent="0.25">
      <c r="B3345" s="51" t="s">
        <v>127</v>
      </c>
      <c r="C3345" s="52">
        <v>273</v>
      </c>
      <c r="D3345" s="53" t="s">
        <v>4330</v>
      </c>
      <c r="E3345" s="54"/>
      <c r="F3345" s="52" t="str">
        <f>IF(INDEX(I.CCUS.EndRange,273)="","",INDEX(I.CCUS.EndRange,273))</f>
        <v/>
      </c>
      <c r="G3345" s="54"/>
      <c r="H3345" s="52" t="str">
        <f>IF(AND(I.Compliance.FulfilledCCUS&gt;0,I.CCUS.RangeCount&gt;=273,F3345=""),"Incomplete","Complete")</f>
        <v>Complete</v>
      </c>
      <c r="I3345" s="55" t="s">
        <v>3542</v>
      </c>
    </row>
    <row r="3346" spans="2:9" ht="15" customHeight="1" x14ac:dyDescent="0.25">
      <c r="B3346" s="51" t="s">
        <v>127</v>
      </c>
      <c r="C3346" s="52">
        <v>274</v>
      </c>
      <c r="D3346" s="53" t="s">
        <v>4330</v>
      </c>
      <c r="E3346" s="54"/>
      <c r="F3346" s="52" t="str">
        <f>IF(INDEX(I.CCUS.EndRange,274)="","",INDEX(I.CCUS.EndRange,274))</f>
        <v/>
      </c>
      <c r="G3346" s="54"/>
      <c r="H3346" s="52" t="str">
        <f>IF(AND(I.Compliance.FulfilledCCUS&gt;0,I.CCUS.RangeCount&gt;=274,F3346=""),"Incomplete","Complete")</f>
        <v>Complete</v>
      </c>
      <c r="I3346" s="55" t="s">
        <v>3543</v>
      </c>
    </row>
    <row r="3347" spans="2:9" ht="15" customHeight="1" x14ac:dyDescent="0.25">
      <c r="B3347" s="51" t="s">
        <v>127</v>
      </c>
      <c r="C3347" s="52">
        <v>275</v>
      </c>
      <c r="D3347" s="53" t="s">
        <v>4330</v>
      </c>
      <c r="E3347" s="54"/>
      <c r="F3347" s="52" t="str">
        <f>IF(INDEX(I.CCUS.EndRange,275)="","",INDEX(I.CCUS.EndRange,275))</f>
        <v/>
      </c>
      <c r="G3347" s="54"/>
      <c r="H3347" s="52" t="str">
        <f>IF(AND(I.Compliance.FulfilledCCUS&gt;0,I.CCUS.RangeCount&gt;=275,F3347=""),"Incomplete","Complete")</f>
        <v>Complete</v>
      </c>
      <c r="I3347" s="55" t="s">
        <v>3544</v>
      </c>
    </row>
    <row r="3348" spans="2:9" ht="15" customHeight="1" x14ac:dyDescent="0.25">
      <c r="B3348" s="51" t="s">
        <v>127</v>
      </c>
      <c r="C3348" s="52">
        <v>276</v>
      </c>
      <c r="D3348" s="53" t="s">
        <v>4330</v>
      </c>
      <c r="E3348" s="54"/>
      <c r="F3348" s="52" t="str">
        <f>IF(INDEX(I.CCUS.EndRange,276)="","",INDEX(I.CCUS.EndRange,276))</f>
        <v/>
      </c>
      <c r="G3348" s="54"/>
      <c r="H3348" s="52" t="str">
        <f>IF(AND(I.Compliance.FulfilledCCUS&gt;0,I.CCUS.RangeCount&gt;=276,F3348=""),"Incomplete","Complete")</f>
        <v>Complete</v>
      </c>
      <c r="I3348" s="55" t="s">
        <v>3545</v>
      </c>
    </row>
    <row r="3349" spans="2:9" ht="15" customHeight="1" x14ac:dyDescent="0.25">
      <c r="B3349" s="51" t="s">
        <v>127</v>
      </c>
      <c r="C3349" s="52">
        <v>277</v>
      </c>
      <c r="D3349" s="53" t="s">
        <v>4330</v>
      </c>
      <c r="E3349" s="54"/>
      <c r="F3349" s="52" t="str">
        <f>IF(INDEX(I.CCUS.EndRange,277)="","",INDEX(I.CCUS.EndRange,277))</f>
        <v/>
      </c>
      <c r="G3349" s="54"/>
      <c r="H3349" s="52" t="str">
        <f>IF(AND(I.Compliance.FulfilledCCUS&gt;0,I.CCUS.RangeCount&gt;=277,F3349=""),"Incomplete","Complete")</f>
        <v>Complete</v>
      </c>
      <c r="I3349" s="55" t="s">
        <v>3546</v>
      </c>
    </row>
    <row r="3350" spans="2:9" ht="15" customHeight="1" x14ac:dyDescent="0.25">
      <c r="B3350" s="51" t="s">
        <v>127</v>
      </c>
      <c r="C3350" s="52">
        <v>278</v>
      </c>
      <c r="D3350" s="53" t="s">
        <v>4330</v>
      </c>
      <c r="E3350" s="54"/>
      <c r="F3350" s="52" t="str">
        <f>IF(INDEX(I.CCUS.EndRange,278)="","",INDEX(I.CCUS.EndRange,278))</f>
        <v/>
      </c>
      <c r="G3350" s="54"/>
      <c r="H3350" s="52" t="str">
        <f>IF(AND(I.Compliance.FulfilledCCUS&gt;0,I.CCUS.RangeCount&gt;=278,F3350=""),"Incomplete","Complete")</f>
        <v>Complete</v>
      </c>
      <c r="I3350" s="55" t="s">
        <v>3547</v>
      </c>
    </row>
    <row r="3351" spans="2:9" ht="15" customHeight="1" x14ac:dyDescent="0.25">
      <c r="B3351" s="51" t="s">
        <v>127</v>
      </c>
      <c r="C3351" s="52">
        <v>279</v>
      </c>
      <c r="D3351" s="53" t="s">
        <v>4330</v>
      </c>
      <c r="E3351" s="54"/>
      <c r="F3351" s="52" t="str">
        <f>IF(INDEX(I.CCUS.EndRange,279)="","",INDEX(I.CCUS.EndRange,279))</f>
        <v/>
      </c>
      <c r="G3351" s="54"/>
      <c r="H3351" s="52" t="str">
        <f>IF(AND(I.Compliance.FulfilledCCUS&gt;0,I.CCUS.RangeCount&gt;=279,F3351=""),"Incomplete","Complete")</f>
        <v>Complete</v>
      </c>
      <c r="I3351" s="55" t="s">
        <v>3548</v>
      </c>
    </row>
    <row r="3352" spans="2:9" ht="15" customHeight="1" x14ac:dyDescent="0.25">
      <c r="B3352" s="51" t="s">
        <v>127</v>
      </c>
      <c r="C3352" s="52">
        <v>280</v>
      </c>
      <c r="D3352" s="53" t="s">
        <v>4330</v>
      </c>
      <c r="E3352" s="54"/>
      <c r="F3352" s="52" t="str">
        <f>IF(INDEX(I.CCUS.EndRange,280)="","",INDEX(I.CCUS.EndRange,280))</f>
        <v/>
      </c>
      <c r="G3352" s="54"/>
      <c r="H3352" s="52" t="str">
        <f>IF(AND(I.Compliance.FulfilledCCUS&gt;0,I.CCUS.RangeCount&gt;=280,F3352=""),"Incomplete","Complete")</f>
        <v>Complete</v>
      </c>
      <c r="I3352" s="55" t="s">
        <v>3549</v>
      </c>
    </row>
    <row r="3353" spans="2:9" ht="15" customHeight="1" x14ac:dyDescent="0.25">
      <c r="B3353" s="51" t="s">
        <v>127</v>
      </c>
      <c r="C3353" s="52">
        <v>281</v>
      </c>
      <c r="D3353" s="53" t="s">
        <v>4330</v>
      </c>
      <c r="E3353" s="54"/>
      <c r="F3353" s="52" t="str">
        <f>IF(INDEX(I.CCUS.EndRange,281)="","",INDEX(I.CCUS.EndRange,281))</f>
        <v/>
      </c>
      <c r="G3353" s="54"/>
      <c r="H3353" s="52" t="str">
        <f>IF(AND(I.Compliance.FulfilledCCUS&gt;0,I.CCUS.RangeCount&gt;=281,F3353=""),"Incomplete","Complete")</f>
        <v>Complete</v>
      </c>
      <c r="I3353" s="55" t="s">
        <v>3550</v>
      </c>
    </row>
    <row r="3354" spans="2:9" ht="15" customHeight="1" x14ac:dyDescent="0.25">
      <c r="B3354" s="51" t="s">
        <v>127</v>
      </c>
      <c r="C3354" s="52">
        <v>282</v>
      </c>
      <c r="D3354" s="53" t="s">
        <v>4330</v>
      </c>
      <c r="E3354" s="54"/>
      <c r="F3354" s="52" t="str">
        <f>IF(INDEX(I.CCUS.EndRange,282)="","",INDEX(I.CCUS.EndRange,282))</f>
        <v/>
      </c>
      <c r="G3354" s="54"/>
      <c r="H3354" s="52" t="str">
        <f>IF(AND(I.Compliance.FulfilledCCUS&gt;0,I.CCUS.RangeCount&gt;=282,F3354=""),"Incomplete","Complete")</f>
        <v>Complete</v>
      </c>
      <c r="I3354" s="55" t="s">
        <v>3551</v>
      </c>
    </row>
    <row r="3355" spans="2:9" ht="15" customHeight="1" x14ac:dyDescent="0.25">
      <c r="B3355" s="51" t="s">
        <v>127</v>
      </c>
      <c r="C3355" s="52">
        <v>283</v>
      </c>
      <c r="D3355" s="53" t="s">
        <v>4330</v>
      </c>
      <c r="E3355" s="54"/>
      <c r="F3355" s="52" t="str">
        <f>IF(INDEX(I.CCUS.EndRange,283)="","",INDEX(I.CCUS.EndRange,283))</f>
        <v/>
      </c>
      <c r="G3355" s="54"/>
      <c r="H3355" s="52" t="str">
        <f>IF(AND(I.Compliance.FulfilledCCUS&gt;0,I.CCUS.RangeCount&gt;=283,F3355=""),"Incomplete","Complete")</f>
        <v>Complete</v>
      </c>
      <c r="I3355" s="55" t="s">
        <v>3552</v>
      </c>
    </row>
    <row r="3356" spans="2:9" ht="15" customHeight="1" x14ac:dyDescent="0.25">
      <c r="B3356" s="51" t="s">
        <v>127</v>
      </c>
      <c r="C3356" s="52">
        <v>284</v>
      </c>
      <c r="D3356" s="53" t="s">
        <v>4330</v>
      </c>
      <c r="E3356" s="54"/>
      <c r="F3356" s="52" t="str">
        <f>IF(INDEX(I.CCUS.EndRange,284)="","",INDEX(I.CCUS.EndRange,284))</f>
        <v/>
      </c>
      <c r="G3356" s="54"/>
      <c r="H3356" s="52" t="str">
        <f>IF(AND(I.Compliance.FulfilledCCUS&gt;0,I.CCUS.RangeCount&gt;=284,F3356=""),"Incomplete","Complete")</f>
        <v>Complete</v>
      </c>
      <c r="I3356" s="55" t="s">
        <v>3553</v>
      </c>
    </row>
    <row r="3357" spans="2:9" ht="15" customHeight="1" x14ac:dyDescent="0.25">
      <c r="B3357" s="51" t="s">
        <v>127</v>
      </c>
      <c r="C3357" s="52">
        <v>285</v>
      </c>
      <c r="D3357" s="53" t="s">
        <v>4330</v>
      </c>
      <c r="E3357" s="54"/>
      <c r="F3357" s="52" t="str">
        <f>IF(INDEX(I.CCUS.EndRange,285)="","",INDEX(I.CCUS.EndRange,285))</f>
        <v/>
      </c>
      <c r="G3357" s="54"/>
      <c r="H3357" s="52" t="str">
        <f>IF(AND(I.Compliance.FulfilledCCUS&gt;0,I.CCUS.RangeCount&gt;=285,F3357=""),"Incomplete","Complete")</f>
        <v>Complete</v>
      </c>
      <c r="I3357" s="55" t="s">
        <v>3554</v>
      </c>
    </row>
    <row r="3358" spans="2:9" ht="15" customHeight="1" x14ac:dyDescent="0.25">
      <c r="B3358" s="51" t="s">
        <v>127</v>
      </c>
      <c r="C3358" s="52">
        <v>286</v>
      </c>
      <c r="D3358" s="53" t="s">
        <v>4330</v>
      </c>
      <c r="E3358" s="54"/>
      <c r="F3358" s="52" t="str">
        <f>IF(INDEX(I.CCUS.EndRange,286)="","",INDEX(I.CCUS.EndRange,286))</f>
        <v/>
      </c>
      <c r="G3358" s="54"/>
      <c r="H3358" s="52" t="str">
        <f>IF(AND(I.Compliance.FulfilledCCUS&gt;0,I.CCUS.RangeCount&gt;=286,F3358=""),"Incomplete","Complete")</f>
        <v>Complete</v>
      </c>
      <c r="I3358" s="55" t="s">
        <v>3555</v>
      </c>
    </row>
    <row r="3359" spans="2:9" ht="15" customHeight="1" x14ac:dyDescent="0.25">
      <c r="B3359" s="51" t="s">
        <v>127</v>
      </c>
      <c r="C3359" s="52">
        <v>287</v>
      </c>
      <c r="D3359" s="53" t="s">
        <v>4330</v>
      </c>
      <c r="E3359" s="54"/>
      <c r="F3359" s="52" t="str">
        <f>IF(INDEX(I.CCUS.EndRange,287)="","",INDEX(I.CCUS.EndRange,287))</f>
        <v/>
      </c>
      <c r="G3359" s="54"/>
      <c r="H3359" s="52" t="str">
        <f>IF(AND(I.Compliance.FulfilledCCUS&gt;0,I.CCUS.RangeCount&gt;=287,F3359=""),"Incomplete","Complete")</f>
        <v>Complete</v>
      </c>
      <c r="I3359" s="55" t="s">
        <v>3556</v>
      </c>
    </row>
    <row r="3360" spans="2:9" ht="15" customHeight="1" x14ac:dyDescent="0.25">
      <c r="B3360" s="51" t="s">
        <v>127</v>
      </c>
      <c r="C3360" s="52">
        <v>288</v>
      </c>
      <c r="D3360" s="53" t="s">
        <v>4330</v>
      </c>
      <c r="E3360" s="54"/>
      <c r="F3360" s="52" t="str">
        <f>IF(INDEX(I.CCUS.EndRange,288)="","",INDEX(I.CCUS.EndRange,288))</f>
        <v/>
      </c>
      <c r="G3360" s="54"/>
      <c r="H3360" s="52" t="str">
        <f>IF(AND(I.Compliance.FulfilledCCUS&gt;0,I.CCUS.RangeCount&gt;=288,F3360=""),"Incomplete","Complete")</f>
        <v>Complete</v>
      </c>
      <c r="I3360" s="55" t="s">
        <v>3557</v>
      </c>
    </row>
    <row r="3361" spans="2:9" ht="15" customHeight="1" x14ac:dyDescent="0.25">
      <c r="B3361" s="51" t="s">
        <v>127</v>
      </c>
      <c r="C3361" s="52">
        <v>289</v>
      </c>
      <c r="D3361" s="53" t="s">
        <v>4330</v>
      </c>
      <c r="E3361" s="54"/>
      <c r="F3361" s="52" t="str">
        <f>IF(INDEX(I.CCUS.EndRange,289)="","",INDEX(I.CCUS.EndRange,289))</f>
        <v/>
      </c>
      <c r="G3361" s="54"/>
      <c r="H3361" s="52" t="str">
        <f>IF(AND(I.Compliance.FulfilledCCUS&gt;0,I.CCUS.RangeCount&gt;=289,F3361=""),"Incomplete","Complete")</f>
        <v>Complete</v>
      </c>
      <c r="I3361" s="55" t="s">
        <v>3558</v>
      </c>
    </row>
    <row r="3362" spans="2:9" ht="15" customHeight="1" x14ac:dyDescent="0.25">
      <c r="B3362" s="51" t="s">
        <v>127</v>
      </c>
      <c r="C3362" s="52">
        <v>290</v>
      </c>
      <c r="D3362" s="53" t="s">
        <v>4330</v>
      </c>
      <c r="E3362" s="54"/>
      <c r="F3362" s="52" t="str">
        <f>IF(INDEX(I.CCUS.EndRange,290)="","",INDEX(I.CCUS.EndRange,290))</f>
        <v/>
      </c>
      <c r="G3362" s="54"/>
      <c r="H3362" s="52" t="str">
        <f>IF(AND(I.Compliance.FulfilledCCUS&gt;0,I.CCUS.RangeCount&gt;=290,F3362=""),"Incomplete","Complete")</f>
        <v>Complete</v>
      </c>
      <c r="I3362" s="55" t="s">
        <v>3559</v>
      </c>
    </row>
    <row r="3363" spans="2:9" ht="15" customHeight="1" x14ac:dyDescent="0.25">
      <c r="B3363" s="51" t="s">
        <v>127</v>
      </c>
      <c r="C3363" s="52">
        <v>291</v>
      </c>
      <c r="D3363" s="53" t="s">
        <v>4330</v>
      </c>
      <c r="E3363" s="54"/>
      <c r="F3363" s="52" t="str">
        <f>IF(INDEX(I.CCUS.EndRange,291)="","",INDEX(I.CCUS.EndRange,291))</f>
        <v/>
      </c>
      <c r="G3363" s="54"/>
      <c r="H3363" s="52" t="str">
        <f>IF(AND(I.Compliance.FulfilledCCUS&gt;0,I.CCUS.RangeCount&gt;=291,F3363=""),"Incomplete","Complete")</f>
        <v>Complete</v>
      </c>
      <c r="I3363" s="55" t="s">
        <v>3560</v>
      </c>
    </row>
    <row r="3364" spans="2:9" ht="15" customHeight="1" x14ac:dyDescent="0.25">
      <c r="B3364" s="51" t="s">
        <v>127</v>
      </c>
      <c r="C3364" s="52">
        <v>292</v>
      </c>
      <c r="D3364" s="53" t="s">
        <v>4330</v>
      </c>
      <c r="E3364" s="54"/>
      <c r="F3364" s="52" t="str">
        <f>IF(INDEX(I.CCUS.EndRange,292)="","",INDEX(I.CCUS.EndRange,292))</f>
        <v/>
      </c>
      <c r="G3364" s="54"/>
      <c r="H3364" s="52" t="str">
        <f>IF(AND(I.Compliance.FulfilledCCUS&gt;0,I.CCUS.RangeCount&gt;=292,F3364=""),"Incomplete","Complete")</f>
        <v>Complete</v>
      </c>
      <c r="I3364" s="55" t="s">
        <v>3561</v>
      </c>
    </row>
    <row r="3365" spans="2:9" ht="15" customHeight="1" x14ac:dyDescent="0.25">
      <c r="B3365" s="51" t="s">
        <v>127</v>
      </c>
      <c r="C3365" s="52">
        <v>293</v>
      </c>
      <c r="D3365" s="53" t="s">
        <v>4330</v>
      </c>
      <c r="E3365" s="54"/>
      <c r="F3365" s="52" t="str">
        <f>IF(INDEX(I.CCUS.EndRange,293)="","",INDEX(I.CCUS.EndRange,293))</f>
        <v/>
      </c>
      <c r="G3365" s="54"/>
      <c r="H3365" s="52" t="str">
        <f>IF(AND(I.Compliance.FulfilledCCUS&gt;0,I.CCUS.RangeCount&gt;=293,F3365=""),"Incomplete","Complete")</f>
        <v>Complete</v>
      </c>
      <c r="I3365" s="55" t="s">
        <v>3562</v>
      </c>
    </row>
    <row r="3366" spans="2:9" ht="15" customHeight="1" x14ac:dyDescent="0.25">
      <c r="B3366" s="51" t="s">
        <v>127</v>
      </c>
      <c r="C3366" s="52">
        <v>294</v>
      </c>
      <c r="D3366" s="53" t="s">
        <v>4330</v>
      </c>
      <c r="E3366" s="54"/>
      <c r="F3366" s="52" t="str">
        <f>IF(INDEX(I.CCUS.EndRange,294)="","",INDEX(I.CCUS.EndRange,294))</f>
        <v/>
      </c>
      <c r="G3366" s="54"/>
      <c r="H3366" s="52" t="str">
        <f>IF(AND(I.Compliance.FulfilledCCUS&gt;0,I.CCUS.RangeCount&gt;=294,F3366=""),"Incomplete","Complete")</f>
        <v>Complete</v>
      </c>
      <c r="I3366" s="55" t="s">
        <v>3563</v>
      </c>
    </row>
    <row r="3367" spans="2:9" ht="15" customHeight="1" x14ac:dyDescent="0.25">
      <c r="B3367" s="51" t="s">
        <v>127</v>
      </c>
      <c r="C3367" s="52">
        <v>295</v>
      </c>
      <c r="D3367" s="53" t="s">
        <v>4330</v>
      </c>
      <c r="E3367" s="54"/>
      <c r="F3367" s="52" t="str">
        <f>IF(INDEX(I.CCUS.EndRange,295)="","",INDEX(I.CCUS.EndRange,295))</f>
        <v/>
      </c>
      <c r="G3367" s="54"/>
      <c r="H3367" s="52" t="str">
        <f>IF(AND(I.Compliance.FulfilledCCUS&gt;0,I.CCUS.RangeCount&gt;=295,F3367=""),"Incomplete","Complete")</f>
        <v>Complete</v>
      </c>
      <c r="I3367" s="55" t="s">
        <v>3564</v>
      </c>
    </row>
    <row r="3368" spans="2:9" ht="15" customHeight="1" x14ac:dyDescent="0.25">
      <c r="B3368" s="51" t="s">
        <v>127</v>
      </c>
      <c r="C3368" s="52">
        <v>296</v>
      </c>
      <c r="D3368" s="53" t="s">
        <v>4330</v>
      </c>
      <c r="E3368" s="54"/>
      <c r="F3368" s="52" t="str">
        <f>IF(INDEX(I.CCUS.EndRange,296)="","",INDEX(I.CCUS.EndRange,296))</f>
        <v/>
      </c>
      <c r="G3368" s="54"/>
      <c r="H3368" s="52" t="str">
        <f>IF(AND(I.Compliance.FulfilledCCUS&gt;0,I.CCUS.RangeCount&gt;=296,F3368=""),"Incomplete","Complete")</f>
        <v>Complete</v>
      </c>
      <c r="I3368" s="55" t="s">
        <v>3565</v>
      </c>
    </row>
    <row r="3369" spans="2:9" ht="15" customHeight="1" x14ac:dyDescent="0.25">
      <c r="B3369" s="51" t="s">
        <v>127</v>
      </c>
      <c r="C3369" s="52">
        <v>297</v>
      </c>
      <c r="D3369" s="53" t="s">
        <v>4330</v>
      </c>
      <c r="E3369" s="54"/>
      <c r="F3369" s="52" t="str">
        <f>IF(INDEX(I.CCUS.EndRange,297)="","",INDEX(I.CCUS.EndRange,297))</f>
        <v/>
      </c>
      <c r="G3369" s="54"/>
      <c r="H3369" s="52" t="str">
        <f>IF(AND(I.Compliance.FulfilledCCUS&gt;0,I.CCUS.RangeCount&gt;=297,F3369=""),"Incomplete","Complete")</f>
        <v>Complete</v>
      </c>
      <c r="I3369" s="55" t="s">
        <v>3566</v>
      </c>
    </row>
    <row r="3370" spans="2:9" ht="15" customHeight="1" x14ac:dyDescent="0.25">
      <c r="B3370" s="51" t="s">
        <v>127</v>
      </c>
      <c r="C3370" s="52">
        <v>298</v>
      </c>
      <c r="D3370" s="53" t="s">
        <v>4330</v>
      </c>
      <c r="E3370" s="54"/>
      <c r="F3370" s="52" t="str">
        <f>IF(INDEX(I.CCUS.EndRange,298)="","",INDEX(I.CCUS.EndRange,298))</f>
        <v/>
      </c>
      <c r="G3370" s="54"/>
      <c r="H3370" s="52" t="str">
        <f>IF(AND(I.Compliance.FulfilledCCUS&gt;0,I.CCUS.RangeCount&gt;=298,F3370=""),"Incomplete","Complete")</f>
        <v>Complete</v>
      </c>
      <c r="I3370" s="55" t="s">
        <v>3567</v>
      </c>
    </row>
    <row r="3371" spans="2:9" ht="15" customHeight="1" x14ac:dyDescent="0.25">
      <c r="B3371" s="51" t="s">
        <v>127</v>
      </c>
      <c r="C3371" s="52">
        <v>299</v>
      </c>
      <c r="D3371" s="53" t="s">
        <v>4330</v>
      </c>
      <c r="E3371" s="54"/>
      <c r="F3371" s="52" t="str">
        <f>IF(INDEX(I.CCUS.EndRange,299)="","",INDEX(I.CCUS.EndRange,299))</f>
        <v/>
      </c>
      <c r="G3371" s="54"/>
      <c r="H3371" s="52" t="str">
        <f>IF(AND(I.Compliance.FulfilledCCUS&gt;0,I.CCUS.RangeCount&gt;=299,F3371=""),"Incomplete","Complete")</f>
        <v>Complete</v>
      </c>
      <c r="I3371" s="55" t="s">
        <v>3568</v>
      </c>
    </row>
    <row r="3372" spans="2:9" ht="15" customHeight="1" x14ac:dyDescent="0.25">
      <c r="B3372" s="51" t="s">
        <v>127</v>
      </c>
      <c r="C3372" s="52">
        <v>300</v>
      </c>
      <c r="D3372" s="53" t="s">
        <v>4330</v>
      </c>
      <c r="E3372" s="54"/>
      <c r="F3372" s="52" t="str">
        <f>IF(INDEX(I.CCUS.EndRange,300)="","",INDEX(I.CCUS.EndRange,300))</f>
        <v/>
      </c>
      <c r="G3372" s="54"/>
      <c r="H3372" s="52" t="str">
        <f>IF(AND(I.Compliance.FulfilledCCUS&gt;0,I.CCUS.RangeCount&gt;=300,F3372=""),"Incomplete","Complete")</f>
        <v>Complete</v>
      </c>
      <c r="I3372" s="55" t="s">
        <v>3569</v>
      </c>
    </row>
    <row r="3373" spans="2:9" ht="15" customHeight="1" x14ac:dyDescent="0.25">
      <c r="B3373" s="51" t="s">
        <v>127</v>
      </c>
      <c r="C3373" s="52">
        <v>301</v>
      </c>
      <c r="D3373" s="53" t="s">
        <v>4330</v>
      </c>
      <c r="E3373" s="54"/>
      <c r="F3373" s="52" t="str">
        <f>IF(INDEX(I.CCUS.EndRange,301)="","",INDEX(I.CCUS.EndRange,301))</f>
        <v/>
      </c>
      <c r="G3373" s="54"/>
      <c r="H3373" s="52" t="str">
        <f>IF(AND(I.Compliance.FulfilledCCUS&gt;0,I.CCUS.RangeCount&gt;=301,F3373=""),"Incomplete","Complete")</f>
        <v>Complete</v>
      </c>
      <c r="I3373" s="55" t="s">
        <v>3570</v>
      </c>
    </row>
    <row r="3374" spans="2:9" ht="15" customHeight="1" x14ac:dyDescent="0.25">
      <c r="B3374" s="51" t="s">
        <v>127</v>
      </c>
      <c r="C3374" s="52">
        <v>302</v>
      </c>
      <c r="D3374" s="53" t="s">
        <v>4330</v>
      </c>
      <c r="E3374" s="54"/>
      <c r="F3374" s="52" t="str">
        <f>IF(INDEX(I.CCUS.EndRange,302)="","",INDEX(I.CCUS.EndRange,302))</f>
        <v/>
      </c>
      <c r="G3374" s="54"/>
      <c r="H3374" s="52" t="str">
        <f>IF(AND(I.Compliance.FulfilledCCUS&gt;0,I.CCUS.RangeCount&gt;=302,F3374=""),"Incomplete","Complete")</f>
        <v>Complete</v>
      </c>
      <c r="I3374" s="55" t="s">
        <v>3571</v>
      </c>
    </row>
    <row r="3375" spans="2:9" ht="15" customHeight="1" x14ac:dyDescent="0.25">
      <c r="B3375" s="51" t="s">
        <v>127</v>
      </c>
      <c r="C3375" s="52">
        <v>303</v>
      </c>
      <c r="D3375" s="53" t="s">
        <v>4330</v>
      </c>
      <c r="E3375" s="54"/>
      <c r="F3375" s="52" t="str">
        <f>IF(INDEX(I.CCUS.EndRange,303)="","",INDEX(I.CCUS.EndRange,303))</f>
        <v/>
      </c>
      <c r="G3375" s="54"/>
      <c r="H3375" s="52" t="str">
        <f>IF(AND(I.Compliance.FulfilledCCUS&gt;0,I.CCUS.RangeCount&gt;=303,F3375=""),"Incomplete","Complete")</f>
        <v>Complete</v>
      </c>
      <c r="I3375" s="55" t="s">
        <v>3572</v>
      </c>
    </row>
    <row r="3376" spans="2:9" ht="15" customHeight="1" x14ac:dyDescent="0.25">
      <c r="B3376" s="51" t="s">
        <v>127</v>
      </c>
      <c r="C3376" s="52">
        <v>304</v>
      </c>
      <c r="D3376" s="53" t="s">
        <v>4330</v>
      </c>
      <c r="E3376" s="54"/>
      <c r="F3376" s="52" t="str">
        <f>IF(INDEX(I.CCUS.EndRange,304)="","",INDEX(I.CCUS.EndRange,304))</f>
        <v/>
      </c>
      <c r="G3376" s="54"/>
      <c r="H3376" s="52" t="str">
        <f>IF(AND(I.Compliance.FulfilledCCUS&gt;0,I.CCUS.RangeCount&gt;=304,F3376=""),"Incomplete","Complete")</f>
        <v>Complete</v>
      </c>
      <c r="I3376" s="55" t="s">
        <v>3573</v>
      </c>
    </row>
    <row r="3377" spans="2:9" ht="15" customHeight="1" x14ac:dyDescent="0.25">
      <c r="B3377" s="51" t="s">
        <v>127</v>
      </c>
      <c r="C3377" s="52">
        <v>305</v>
      </c>
      <c r="D3377" s="53" t="s">
        <v>4330</v>
      </c>
      <c r="E3377" s="54"/>
      <c r="F3377" s="52" t="str">
        <f>IF(INDEX(I.CCUS.EndRange,305)="","",INDEX(I.CCUS.EndRange,305))</f>
        <v/>
      </c>
      <c r="G3377" s="54"/>
      <c r="H3377" s="52" t="str">
        <f>IF(AND(I.Compliance.FulfilledCCUS&gt;0,I.CCUS.RangeCount&gt;=305,F3377=""),"Incomplete","Complete")</f>
        <v>Complete</v>
      </c>
      <c r="I3377" s="55" t="s">
        <v>3574</v>
      </c>
    </row>
    <row r="3378" spans="2:9" ht="15" customHeight="1" x14ac:dyDescent="0.25">
      <c r="B3378" s="51" t="s">
        <v>127</v>
      </c>
      <c r="C3378" s="52">
        <v>306</v>
      </c>
      <c r="D3378" s="53" t="s">
        <v>4330</v>
      </c>
      <c r="E3378" s="54"/>
      <c r="F3378" s="52" t="str">
        <f>IF(INDEX(I.CCUS.EndRange,306)="","",INDEX(I.CCUS.EndRange,306))</f>
        <v/>
      </c>
      <c r="G3378" s="54"/>
      <c r="H3378" s="52" t="str">
        <f>IF(AND(I.Compliance.FulfilledCCUS&gt;0,I.CCUS.RangeCount&gt;=306,F3378=""),"Incomplete","Complete")</f>
        <v>Complete</v>
      </c>
      <c r="I3378" s="55" t="s">
        <v>3575</v>
      </c>
    </row>
    <row r="3379" spans="2:9" ht="15" customHeight="1" x14ac:dyDescent="0.25">
      <c r="B3379" s="51" t="s">
        <v>127</v>
      </c>
      <c r="C3379" s="52">
        <v>307</v>
      </c>
      <c r="D3379" s="53" t="s">
        <v>4330</v>
      </c>
      <c r="E3379" s="54"/>
      <c r="F3379" s="52" t="str">
        <f>IF(INDEX(I.CCUS.EndRange,307)="","",INDEX(I.CCUS.EndRange,307))</f>
        <v/>
      </c>
      <c r="G3379" s="54"/>
      <c r="H3379" s="52" t="str">
        <f>IF(AND(I.Compliance.FulfilledCCUS&gt;0,I.CCUS.RangeCount&gt;=307,F3379=""),"Incomplete","Complete")</f>
        <v>Complete</v>
      </c>
      <c r="I3379" s="55" t="s">
        <v>3576</v>
      </c>
    </row>
    <row r="3380" spans="2:9" ht="15" customHeight="1" x14ac:dyDescent="0.25">
      <c r="B3380" s="51" t="s">
        <v>127</v>
      </c>
      <c r="C3380" s="52">
        <v>308</v>
      </c>
      <c r="D3380" s="53" t="s">
        <v>4330</v>
      </c>
      <c r="E3380" s="54"/>
      <c r="F3380" s="52" t="str">
        <f>IF(INDEX(I.CCUS.EndRange,308)="","",INDEX(I.CCUS.EndRange,308))</f>
        <v/>
      </c>
      <c r="G3380" s="54"/>
      <c r="H3380" s="52" t="str">
        <f>IF(AND(I.Compliance.FulfilledCCUS&gt;0,I.CCUS.RangeCount&gt;=308,F3380=""),"Incomplete","Complete")</f>
        <v>Complete</v>
      </c>
      <c r="I3380" s="55" t="s">
        <v>3577</v>
      </c>
    </row>
    <row r="3381" spans="2:9" ht="15" customHeight="1" x14ac:dyDescent="0.25">
      <c r="B3381" s="51" t="s">
        <v>127</v>
      </c>
      <c r="C3381" s="52">
        <v>309</v>
      </c>
      <c r="D3381" s="53" t="s">
        <v>4330</v>
      </c>
      <c r="E3381" s="54"/>
      <c r="F3381" s="52" t="str">
        <f>IF(INDEX(I.CCUS.EndRange,309)="","",INDEX(I.CCUS.EndRange,309))</f>
        <v/>
      </c>
      <c r="G3381" s="54"/>
      <c r="H3381" s="52" t="str">
        <f>IF(AND(I.Compliance.FulfilledCCUS&gt;0,I.CCUS.RangeCount&gt;=309,F3381=""),"Incomplete","Complete")</f>
        <v>Complete</v>
      </c>
      <c r="I3381" s="55" t="s">
        <v>3578</v>
      </c>
    </row>
    <row r="3382" spans="2:9" ht="15" customHeight="1" x14ac:dyDescent="0.25">
      <c r="B3382" s="51" t="s">
        <v>127</v>
      </c>
      <c r="C3382" s="52">
        <v>310</v>
      </c>
      <c r="D3382" s="53" t="s">
        <v>4330</v>
      </c>
      <c r="E3382" s="54"/>
      <c r="F3382" s="52" t="str">
        <f>IF(INDEX(I.CCUS.EndRange,310)="","",INDEX(I.CCUS.EndRange,310))</f>
        <v/>
      </c>
      <c r="G3382" s="54"/>
      <c r="H3382" s="52" t="str">
        <f>IF(AND(I.Compliance.FulfilledCCUS&gt;0,I.CCUS.RangeCount&gt;=310,F3382=""),"Incomplete","Complete")</f>
        <v>Complete</v>
      </c>
      <c r="I3382" s="55" t="s">
        <v>3579</v>
      </c>
    </row>
    <row r="3383" spans="2:9" ht="15" customHeight="1" x14ac:dyDescent="0.25">
      <c r="B3383" s="51" t="s">
        <v>127</v>
      </c>
      <c r="C3383" s="52">
        <v>311</v>
      </c>
      <c r="D3383" s="53" t="s">
        <v>4330</v>
      </c>
      <c r="E3383" s="54"/>
      <c r="F3383" s="52" t="str">
        <f>IF(INDEX(I.CCUS.EndRange,311)="","",INDEX(I.CCUS.EndRange,311))</f>
        <v/>
      </c>
      <c r="G3383" s="54"/>
      <c r="H3383" s="52" t="str">
        <f>IF(AND(I.Compliance.FulfilledCCUS&gt;0,I.CCUS.RangeCount&gt;=311,F3383=""),"Incomplete","Complete")</f>
        <v>Complete</v>
      </c>
      <c r="I3383" s="55" t="s">
        <v>3580</v>
      </c>
    </row>
    <row r="3384" spans="2:9" ht="15" customHeight="1" x14ac:dyDescent="0.25">
      <c r="B3384" s="51" t="s">
        <v>127</v>
      </c>
      <c r="C3384" s="52">
        <v>312</v>
      </c>
      <c r="D3384" s="53" t="s">
        <v>4330</v>
      </c>
      <c r="E3384" s="54"/>
      <c r="F3384" s="52" t="str">
        <f>IF(INDEX(I.CCUS.EndRange,312)="","",INDEX(I.CCUS.EndRange,312))</f>
        <v/>
      </c>
      <c r="G3384" s="54"/>
      <c r="H3384" s="52" t="str">
        <f>IF(AND(I.Compliance.FulfilledCCUS&gt;0,I.CCUS.RangeCount&gt;=312,F3384=""),"Incomplete","Complete")</f>
        <v>Complete</v>
      </c>
      <c r="I3384" s="55" t="s">
        <v>3581</v>
      </c>
    </row>
    <row r="3385" spans="2:9" ht="15" customHeight="1" x14ac:dyDescent="0.25">
      <c r="B3385" s="51" t="s">
        <v>127</v>
      </c>
      <c r="C3385" s="52">
        <v>313</v>
      </c>
      <c r="D3385" s="53" t="s">
        <v>4330</v>
      </c>
      <c r="E3385" s="54"/>
      <c r="F3385" s="52" t="str">
        <f>IF(INDEX(I.CCUS.EndRange,313)="","",INDEX(I.CCUS.EndRange,313))</f>
        <v/>
      </c>
      <c r="G3385" s="54"/>
      <c r="H3385" s="52" t="str">
        <f>IF(AND(I.Compliance.FulfilledCCUS&gt;0,I.CCUS.RangeCount&gt;=313,F3385=""),"Incomplete","Complete")</f>
        <v>Complete</v>
      </c>
      <c r="I3385" s="55" t="s">
        <v>3582</v>
      </c>
    </row>
    <row r="3386" spans="2:9" ht="15" customHeight="1" x14ac:dyDescent="0.25">
      <c r="B3386" s="51" t="s">
        <v>127</v>
      </c>
      <c r="C3386" s="52">
        <v>314</v>
      </c>
      <c r="D3386" s="53" t="s">
        <v>4330</v>
      </c>
      <c r="E3386" s="54"/>
      <c r="F3386" s="52" t="str">
        <f>IF(INDEX(I.CCUS.EndRange,314)="","",INDEX(I.CCUS.EndRange,314))</f>
        <v/>
      </c>
      <c r="G3386" s="54"/>
      <c r="H3386" s="52" t="str">
        <f>IF(AND(I.Compliance.FulfilledCCUS&gt;0,I.CCUS.RangeCount&gt;=314,F3386=""),"Incomplete","Complete")</f>
        <v>Complete</v>
      </c>
      <c r="I3386" s="55" t="s">
        <v>3583</v>
      </c>
    </row>
    <row r="3387" spans="2:9" ht="15" customHeight="1" x14ac:dyDescent="0.25">
      <c r="B3387" s="51" t="s">
        <v>127</v>
      </c>
      <c r="C3387" s="52">
        <v>315</v>
      </c>
      <c r="D3387" s="53" t="s">
        <v>4330</v>
      </c>
      <c r="E3387" s="54"/>
      <c r="F3387" s="52" t="str">
        <f>IF(INDEX(I.CCUS.EndRange,315)="","",INDEX(I.CCUS.EndRange,315))</f>
        <v/>
      </c>
      <c r="G3387" s="54"/>
      <c r="H3387" s="52" t="str">
        <f>IF(AND(I.Compliance.FulfilledCCUS&gt;0,I.CCUS.RangeCount&gt;=315,F3387=""),"Incomplete","Complete")</f>
        <v>Complete</v>
      </c>
      <c r="I3387" s="55" t="s">
        <v>3584</v>
      </c>
    </row>
    <row r="3388" spans="2:9" ht="15" customHeight="1" x14ac:dyDescent="0.25">
      <c r="B3388" s="51" t="s">
        <v>127</v>
      </c>
      <c r="C3388" s="52">
        <v>316</v>
      </c>
      <c r="D3388" s="53" t="s">
        <v>4330</v>
      </c>
      <c r="E3388" s="54"/>
      <c r="F3388" s="52" t="str">
        <f>IF(INDEX(I.CCUS.EndRange,316)="","",INDEX(I.CCUS.EndRange,316))</f>
        <v/>
      </c>
      <c r="G3388" s="54"/>
      <c r="H3388" s="52" t="str">
        <f>IF(AND(I.Compliance.FulfilledCCUS&gt;0,I.CCUS.RangeCount&gt;=316,F3388=""),"Incomplete","Complete")</f>
        <v>Complete</v>
      </c>
      <c r="I3388" s="55" t="s">
        <v>3585</v>
      </c>
    </row>
    <row r="3389" spans="2:9" ht="15" customHeight="1" x14ac:dyDescent="0.25">
      <c r="B3389" s="51" t="s">
        <v>127</v>
      </c>
      <c r="C3389" s="52">
        <v>317</v>
      </c>
      <c r="D3389" s="53" t="s">
        <v>4330</v>
      </c>
      <c r="E3389" s="54"/>
      <c r="F3389" s="52" t="str">
        <f>IF(INDEX(I.CCUS.EndRange,317)="","",INDEX(I.CCUS.EndRange,317))</f>
        <v/>
      </c>
      <c r="G3389" s="54"/>
      <c r="H3389" s="52" t="str">
        <f>IF(AND(I.Compliance.FulfilledCCUS&gt;0,I.CCUS.RangeCount&gt;=317,F3389=""),"Incomplete","Complete")</f>
        <v>Complete</v>
      </c>
      <c r="I3389" s="55" t="s">
        <v>3586</v>
      </c>
    </row>
    <row r="3390" spans="2:9" ht="15" customHeight="1" x14ac:dyDescent="0.25">
      <c r="B3390" s="51" t="s">
        <v>127</v>
      </c>
      <c r="C3390" s="52">
        <v>318</v>
      </c>
      <c r="D3390" s="53" t="s">
        <v>4330</v>
      </c>
      <c r="E3390" s="54"/>
      <c r="F3390" s="52" t="str">
        <f>IF(INDEX(I.CCUS.EndRange,318)="","",INDEX(I.CCUS.EndRange,318))</f>
        <v/>
      </c>
      <c r="G3390" s="54"/>
      <c r="H3390" s="52" t="str">
        <f>IF(AND(I.Compliance.FulfilledCCUS&gt;0,I.CCUS.RangeCount&gt;=318,F3390=""),"Incomplete","Complete")</f>
        <v>Complete</v>
      </c>
      <c r="I3390" s="55" t="s">
        <v>3587</v>
      </c>
    </row>
    <row r="3391" spans="2:9" ht="15" customHeight="1" x14ac:dyDescent="0.25">
      <c r="B3391" s="51" t="s">
        <v>127</v>
      </c>
      <c r="C3391" s="52">
        <v>319</v>
      </c>
      <c r="D3391" s="53" t="s">
        <v>4330</v>
      </c>
      <c r="E3391" s="54"/>
      <c r="F3391" s="52" t="str">
        <f>IF(INDEX(I.CCUS.EndRange,319)="","",INDEX(I.CCUS.EndRange,319))</f>
        <v/>
      </c>
      <c r="G3391" s="54"/>
      <c r="H3391" s="52" t="str">
        <f>IF(AND(I.Compliance.FulfilledCCUS&gt;0,I.CCUS.RangeCount&gt;=319,F3391=""),"Incomplete","Complete")</f>
        <v>Complete</v>
      </c>
      <c r="I3391" s="55" t="s">
        <v>3588</v>
      </c>
    </row>
    <row r="3392" spans="2:9" ht="15" customHeight="1" x14ac:dyDescent="0.25">
      <c r="B3392" s="51" t="s">
        <v>127</v>
      </c>
      <c r="C3392" s="52">
        <v>320</v>
      </c>
      <c r="D3392" s="53" t="s">
        <v>4330</v>
      </c>
      <c r="E3392" s="54"/>
      <c r="F3392" s="52" t="str">
        <f>IF(INDEX(I.CCUS.EndRange,320)="","",INDEX(I.CCUS.EndRange,320))</f>
        <v/>
      </c>
      <c r="G3392" s="54"/>
      <c r="H3392" s="52" t="str">
        <f>IF(AND(I.Compliance.FulfilledCCUS&gt;0,I.CCUS.RangeCount&gt;=320,F3392=""),"Incomplete","Complete")</f>
        <v>Complete</v>
      </c>
      <c r="I3392" s="55" t="s">
        <v>3589</v>
      </c>
    </row>
    <row r="3393" spans="2:9" ht="15" customHeight="1" x14ac:dyDescent="0.25">
      <c r="B3393" s="51" t="s">
        <v>127</v>
      </c>
      <c r="C3393" s="52">
        <v>321</v>
      </c>
      <c r="D3393" s="53" t="s">
        <v>4330</v>
      </c>
      <c r="E3393" s="54"/>
      <c r="F3393" s="52" t="str">
        <f>IF(INDEX(I.CCUS.EndRange,321)="","",INDEX(I.CCUS.EndRange,321))</f>
        <v/>
      </c>
      <c r="G3393" s="54"/>
      <c r="H3393" s="52" t="str">
        <f>IF(AND(I.Compliance.FulfilledCCUS&gt;0,I.CCUS.RangeCount&gt;=321,F3393=""),"Incomplete","Complete")</f>
        <v>Complete</v>
      </c>
      <c r="I3393" s="55" t="s">
        <v>3590</v>
      </c>
    </row>
    <row r="3394" spans="2:9" ht="15" customHeight="1" x14ac:dyDescent="0.25">
      <c r="B3394" s="51" t="s">
        <v>127</v>
      </c>
      <c r="C3394" s="52">
        <v>322</v>
      </c>
      <c r="D3394" s="53" t="s">
        <v>4330</v>
      </c>
      <c r="E3394" s="54"/>
      <c r="F3394" s="52" t="str">
        <f>IF(INDEX(I.CCUS.EndRange,322)="","",INDEX(I.CCUS.EndRange,322))</f>
        <v/>
      </c>
      <c r="G3394" s="54"/>
      <c r="H3394" s="52" t="str">
        <f>IF(AND(I.Compliance.FulfilledCCUS&gt;0,I.CCUS.RangeCount&gt;=322,F3394=""),"Incomplete","Complete")</f>
        <v>Complete</v>
      </c>
      <c r="I3394" s="55" t="s">
        <v>3591</v>
      </c>
    </row>
    <row r="3395" spans="2:9" ht="15" customHeight="1" x14ac:dyDescent="0.25">
      <c r="B3395" s="51" t="s">
        <v>127</v>
      </c>
      <c r="C3395" s="52">
        <v>323</v>
      </c>
      <c r="D3395" s="53" t="s">
        <v>4330</v>
      </c>
      <c r="E3395" s="54"/>
      <c r="F3395" s="52" t="str">
        <f>IF(INDEX(I.CCUS.EndRange,323)="","",INDEX(I.CCUS.EndRange,323))</f>
        <v/>
      </c>
      <c r="G3395" s="54"/>
      <c r="H3395" s="52" t="str">
        <f>IF(AND(I.Compliance.FulfilledCCUS&gt;0,I.CCUS.RangeCount&gt;=323,F3395=""),"Incomplete","Complete")</f>
        <v>Complete</v>
      </c>
      <c r="I3395" s="55" t="s">
        <v>3592</v>
      </c>
    </row>
    <row r="3396" spans="2:9" ht="15" customHeight="1" x14ac:dyDescent="0.25">
      <c r="B3396" s="51" t="s">
        <v>127</v>
      </c>
      <c r="C3396" s="52">
        <v>324</v>
      </c>
      <c r="D3396" s="53" t="s">
        <v>4330</v>
      </c>
      <c r="E3396" s="54"/>
      <c r="F3396" s="52" t="str">
        <f>IF(INDEX(I.CCUS.EndRange,324)="","",INDEX(I.CCUS.EndRange,324))</f>
        <v/>
      </c>
      <c r="G3396" s="54"/>
      <c r="H3396" s="52" t="str">
        <f>IF(AND(I.Compliance.FulfilledCCUS&gt;0,I.CCUS.RangeCount&gt;=324,F3396=""),"Incomplete","Complete")</f>
        <v>Complete</v>
      </c>
      <c r="I3396" s="55" t="s">
        <v>3593</v>
      </c>
    </row>
    <row r="3397" spans="2:9" ht="15" customHeight="1" x14ac:dyDescent="0.25">
      <c r="B3397" s="51" t="s">
        <v>127</v>
      </c>
      <c r="C3397" s="52">
        <v>325</v>
      </c>
      <c r="D3397" s="53" t="s">
        <v>4330</v>
      </c>
      <c r="E3397" s="54"/>
      <c r="F3397" s="52" t="str">
        <f>IF(INDEX(I.CCUS.EndRange,325)="","",INDEX(I.CCUS.EndRange,325))</f>
        <v/>
      </c>
      <c r="G3397" s="54"/>
      <c r="H3397" s="52" t="str">
        <f>IF(AND(I.Compliance.FulfilledCCUS&gt;0,I.CCUS.RangeCount&gt;=325,F3397=""),"Incomplete","Complete")</f>
        <v>Complete</v>
      </c>
      <c r="I3397" s="55" t="s">
        <v>3594</v>
      </c>
    </row>
    <row r="3398" spans="2:9" ht="15" customHeight="1" x14ac:dyDescent="0.25">
      <c r="B3398" s="51" t="s">
        <v>127</v>
      </c>
      <c r="C3398" s="52">
        <v>326</v>
      </c>
      <c r="D3398" s="53" t="s">
        <v>4330</v>
      </c>
      <c r="E3398" s="54"/>
      <c r="F3398" s="52" t="str">
        <f>IF(INDEX(I.CCUS.EndRange,326)="","",INDEX(I.CCUS.EndRange,326))</f>
        <v/>
      </c>
      <c r="G3398" s="54"/>
      <c r="H3398" s="52" t="str">
        <f>IF(AND(I.Compliance.FulfilledCCUS&gt;0,I.CCUS.RangeCount&gt;=326,F3398=""),"Incomplete","Complete")</f>
        <v>Complete</v>
      </c>
      <c r="I3398" s="55" t="s">
        <v>3595</v>
      </c>
    </row>
    <row r="3399" spans="2:9" ht="15" customHeight="1" x14ac:dyDescent="0.25">
      <c r="B3399" s="51" t="s">
        <v>127</v>
      </c>
      <c r="C3399" s="52">
        <v>327</v>
      </c>
      <c r="D3399" s="53" t="s">
        <v>4330</v>
      </c>
      <c r="E3399" s="54"/>
      <c r="F3399" s="52" t="str">
        <f>IF(INDEX(I.CCUS.EndRange,327)="","",INDEX(I.CCUS.EndRange,327))</f>
        <v/>
      </c>
      <c r="G3399" s="54"/>
      <c r="H3399" s="52" t="str">
        <f>IF(AND(I.Compliance.FulfilledCCUS&gt;0,I.CCUS.RangeCount&gt;=327,F3399=""),"Incomplete","Complete")</f>
        <v>Complete</v>
      </c>
      <c r="I3399" s="55" t="s">
        <v>3596</v>
      </c>
    </row>
    <row r="3400" spans="2:9" ht="15" customHeight="1" x14ac:dyDescent="0.25">
      <c r="B3400" s="51" t="s">
        <v>127</v>
      </c>
      <c r="C3400" s="52">
        <v>328</v>
      </c>
      <c r="D3400" s="53" t="s">
        <v>4330</v>
      </c>
      <c r="E3400" s="54"/>
      <c r="F3400" s="52" t="str">
        <f>IF(INDEX(I.CCUS.EndRange,328)="","",INDEX(I.CCUS.EndRange,328))</f>
        <v/>
      </c>
      <c r="G3400" s="54"/>
      <c r="H3400" s="52" t="str">
        <f>IF(AND(I.Compliance.FulfilledCCUS&gt;0,I.CCUS.RangeCount&gt;=328,F3400=""),"Incomplete","Complete")</f>
        <v>Complete</v>
      </c>
      <c r="I3400" s="55" t="s">
        <v>3597</v>
      </c>
    </row>
    <row r="3401" spans="2:9" ht="15" customHeight="1" x14ac:dyDescent="0.25">
      <c r="B3401" s="51" t="s">
        <v>127</v>
      </c>
      <c r="C3401" s="52">
        <v>329</v>
      </c>
      <c r="D3401" s="53" t="s">
        <v>4330</v>
      </c>
      <c r="E3401" s="54"/>
      <c r="F3401" s="52" t="str">
        <f>IF(INDEX(I.CCUS.EndRange,329)="","",INDEX(I.CCUS.EndRange,329))</f>
        <v/>
      </c>
      <c r="G3401" s="54"/>
      <c r="H3401" s="52" t="str">
        <f>IF(AND(I.Compliance.FulfilledCCUS&gt;0,I.CCUS.RangeCount&gt;=329,F3401=""),"Incomplete","Complete")</f>
        <v>Complete</v>
      </c>
      <c r="I3401" s="55" t="s">
        <v>3598</v>
      </c>
    </row>
    <row r="3402" spans="2:9" ht="15" customHeight="1" x14ac:dyDescent="0.25">
      <c r="B3402" s="51" t="s">
        <v>127</v>
      </c>
      <c r="C3402" s="52">
        <v>330</v>
      </c>
      <c r="D3402" s="53" t="s">
        <v>4330</v>
      </c>
      <c r="E3402" s="54"/>
      <c r="F3402" s="52" t="str">
        <f>IF(INDEX(I.CCUS.EndRange,330)="","",INDEX(I.CCUS.EndRange,330))</f>
        <v/>
      </c>
      <c r="G3402" s="54"/>
      <c r="H3402" s="52" t="str">
        <f>IF(AND(I.Compliance.FulfilledCCUS&gt;0,I.CCUS.RangeCount&gt;=330,F3402=""),"Incomplete","Complete")</f>
        <v>Complete</v>
      </c>
      <c r="I3402" s="55" t="s">
        <v>3599</v>
      </c>
    </row>
    <row r="3403" spans="2:9" ht="15" customHeight="1" x14ac:dyDescent="0.25">
      <c r="B3403" s="51" t="s">
        <v>127</v>
      </c>
      <c r="C3403" s="52">
        <v>331</v>
      </c>
      <c r="D3403" s="53" t="s">
        <v>4330</v>
      </c>
      <c r="E3403" s="54"/>
      <c r="F3403" s="52" t="str">
        <f>IF(INDEX(I.CCUS.EndRange,331)="","",INDEX(I.CCUS.EndRange,331))</f>
        <v/>
      </c>
      <c r="G3403" s="54"/>
      <c r="H3403" s="52" t="str">
        <f>IF(AND(I.Compliance.FulfilledCCUS&gt;0,I.CCUS.RangeCount&gt;=331,F3403=""),"Incomplete","Complete")</f>
        <v>Complete</v>
      </c>
      <c r="I3403" s="55" t="s">
        <v>3600</v>
      </c>
    </row>
    <row r="3404" spans="2:9" ht="15" customHeight="1" x14ac:dyDescent="0.25">
      <c r="B3404" s="51" t="s">
        <v>127</v>
      </c>
      <c r="C3404" s="52">
        <v>332</v>
      </c>
      <c r="D3404" s="53" t="s">
        <v>4330</v>
      </c>
      <c r="E3404" s="54"/>
      <c r="F3404" s="52" t="str">
        <f>IF(INDEX(I.CCUS.EndRange,332)="","",INDEX(I.CCUS.EndRange,332))</f>
        <v/>
      </c>
      <c r="G3404" s="54"/>
      <c r="H3404" s="52" t="str">
        <f>IF(AND(I.Compliance.FulfilledCCUS&gt;0,I.CCUS.RangeCount&gt;=332,F3404=""),"Incomplete","Complete")</f>
        <v>Complete</v>
      </c>
      <c r="I3404" s="55" t="s">
        <v>3601</v>
      </c>
    </row>
    <row r="3405" spans="2:9" ht="15" customHeight="1" x14ac:dyDescent="0.25">
      <c r="B3405" s="51" t="s">
        <v>127</v>
      </c>
      <c r="C3405" s="52">
        <v>333</v>
      </c>
      <c r="D3405" s="53" t="s">
        <v>4330</v>
      </c>
      <c r="E3405" s="54"/>
      <c r="F3405" s="52" t="str">
        <f>IF(INDEX(I.CCUS.EndRange,333)="","",INDEX(I.CCUS.EndRange,333))</f>
        <v/>
      </c>
      <c r="G3405" s="54"/>
      <c r="H3405" s="52" t="str">
        <f>IF(AND(I.Compliance.FulfilledCCUS&gt;0,I.CCUS.RangeCount&gt;=333,F3405=""),"Incomplete","Complete")</f>
        <v>Complete</v>
      </c>
      <c r="I3405" s="55" t="s">
        <v>3602</v>
      </c>
    </row>
    <row r="3406" spans="2:9" ht="15" customHeight="1" x14ac:dyDescent="0.25">
      <c r="B3406" s="51" t="s">
        <v>127</v>
      </c>
      <c r="C3406" s="52">
        <v>334</v>
      </c>
      <c r="D3406" s="53" t="s">
        <v>4330</v>
      </c>
      <c r="E3406" s="54"/>
      <c r="F3406" s="52" t="str">
        <f>IF(INDEX(I.CCUS.EndRange,334)="","",INDEX(I.CCUS.EndRange,334))</f>
        <v/>
      </c>
      <c r="G3406" s="54"/>
      <c r="H3406" s="52" t="str">
        <f>IF(AND(I.Compliance.FulfilledCCUS&gt;0,I.CCUS.RangeCount&gt;=334,F3406=""),"Incomplete","Complete")</f>
        <v>Complete</v>
      </c>
      <c r="I3406" s="55" t="s">
        <v>3603</v>
      </c>
    </row>
    <row r="3407" spans="2:9" ht="15" customHeight="1" x14ac:dyDescent="0.25">
      <c r="B3407" s="51" t="s">
        <v>127</v>
      </c>
      <c r="C3407" s="52">
        <v>335</v>
      </c>
      <c r="D3407" s="53" t="s">
        <v>4330</v>
      </c>
      <c r="E3407" s="54"/>
      <c r="F3407" s="52" t="str">
        <f>IF(INDEX(I.CCUS.EndRange,335)="","",INDEX(I.CCUS.EndRange,335))</f>
        <v/>
      </c>
      <c r="G3407" s="54"/>
      <c r="H3407" s="52" t="str">
        <f>IF(AND(I.Compliance.FulfilledCCUS&gt;0,I.CCUS.RangeCount&gt;=335,F3407=""),"Incomplete","Complete")</f>
        <v>Complete</v>
      </c>
      <c r="I3407" s="55" t="s">
        <v>3604</v>
      </c>
    </row>
    <row r="3408" spans="2:9" ht="15" customHeight="1" x14ac:dyDescent="0.25">
      <c r="B3408" s="51" t="s">
        <v>127</v>
      </c>
      <c r="C3408" s="52">
        <v>336</v>
      </c>
      <c r="D3408" s="53" t="s">
        <v>4330</v>
      </c>
      <c r="E3408" s="54"/>
      <c r="F3408" s="52" t="str">
        <f>IF(INDEX(I.CCUS.EndRange,336)="","",INDEX(I.CCUS.EndRange,336))</f>
        <v/>
      </c>
      <c r="G3408" s="54"/>
      <c r="H3408" s="52" t="str">
        <f>IF(AND(I.Compliance.FulfilledCCUS&gt;0,I.CCUS.RangeCount&gt;=336,F3408=""),"Incomplete","Complete")</f>
        <v>Complete</v>
      </c>
      <c r="I3408" s="55" t="s">
        <v>3605</v>
      </c>
    </row>
    <row r="3409" spans="2:9" ht="15" customHeight="1" x14ac:dyDescent="0.25">
      <c r="B3409" s="51" t="s">
        <v>127</v>
      </c>
      <c r="C3409" s="52">
        <v>337</v>
      </c>
      <c r="D3409" s="53" t="s">
        <v>4330</v>
      </c>
      <c r="E3409" s="54"/>
      <c r="F3409" s="52" t="str">
        <f>IF(INDEX(I.CCUS.EndRange,337)="","",INDEX(I.CCUS.EndRange,337))</f>
        <v/>
      </c>
      <c r="G3409" s="54"/>
      <c r="H3409" s="52" t="str">
        <f>IF(AND(I.Compliance.FulfilledCCUS&gt;0,I.CCUS.RangeCount&gt;=337,F3409=""),"Incomplete","Complete")</f>
        <v>Complete</v>
      </c>
      <c r="I3409" s="55" t="s">
        <v>3606</v>
      </c>
    </row>
    <row r="3410" spans="2:9" ht="15" customHeight="1" x14ac:dyDescent="0.25">
      <c r="B3410" s="51" t="s">
        <v>127</v>
      </c>
      <c r="C3410" s="52">
        <v>338</v>
      </c>
      <c r="D3410" s="53" t="s">
        <v>4330</v>
      </c>
      <c r="E3410" s="54"/>
      <c r="F3410" s="52" t="str">
        <f>IF(INDEX(I.CCUS.EndRange,338)="","",INDEX(I.CCUS.EndRange,338))</f>
        <v/>
      </c>
      <c r="G3410" s="54"/>
      <c r="H3410" s="52" t="str">
        <f>IF(AND(I.Compliance.FulfilledCCUS&gt;0,I.CCUS.RangeCount&gt;=338,F3410=""),"Incomplete","Complete")</f>
        <v>Complete</v>
      </c>
      <c r="I3410" s="55" t="s">
        <v>3607</v>
      </c>
    </row>
    <row r="3411" spans="2:9" ht="15" customHeight="1" x14ac:dyDescent="0.25">
      <c r="B3411" s="51" t="s">
        <v>127</v>
      </c>
      <c r="C3411" s="52">
        <v>339</v>
      </c>
      <c r="D3411" s="53" t="s">
        <v>4330</v>
      </c>
      <c r="E3411" s="54"/>
      <c r="F3411" s="52" t="str">
        <f>IF(INDEX(I.CCUS.EndRange,339)="","",INDEX(I.CCUS.EndRange,339))</f>
        <v/>
      </c>
      <c r="G3411" s="54"/>
      <c r="H3411" s="52" t="str">
        <f>IF(AND(I.Compliance.FulfilledCCUS&gt;0,I.CCUS.RangeCount&gt;=339,F3411=""),"Incomplete","Complete")</f>
        <v>Complete</v>
      </c>
      <c r="I3411" s="55" t="s">
        <v>3608</v>
      </c>
    </row>
    <row r="3412" spans="2:9" ht="15" customHeight="1" x14ac:dyDescent="0.25">
      <c r="B3412" s="51" t="s">
        <v>127</v>
      </c>
      <c r="C3412" s="52">
        <v>340</v>
      </c>
      <c r="D3412" s="53" t="s">
        <v>4330</v>
      </c>
      <c r="E3412" s="54"/>
      <c r="F3412" s="52" t="str">
        <f>IF(INDEX(I.CCUS.EndRange,340)="","",INDEX(I.CCUS.EndRange,340))</f>
        <v/>
      </c>
      <c r="G3412" s="54"/>
      <c r="H3412" s="52" t="str">
        <f>IF(AND(I.Compliance.FulfilledCCUS&gt;0,I.CCUS.RangeCount&gt;=340,F3412=""),"Incomplete","Complete")</f>
        <v>Complete</v>
      </c>
      <c r="I3412" s="55" t="s">
        <v>3609</v>
      </c>
    </row>
    <row r="3413" spans="2:9" ht="15" customHeight="1" x14ac:dyDescent="0.25">
      <c r="B3413" s="51" t="s">
        <v>127</v>
      </c>
      <c r="C3413" s="52">
        <v>341</v>
      </c>
      <c r="D3413" s="53" t="s">
        <v>4330</v>
      </c>
      <c r="E3413" s="54"/>
      <c r="F3413" s="52" t="str">
        <f>IF(INDEX(I.CCUS.EndRange,341)="","",INDEX(I.CCUS.EndRange,341))</f>
        <v/>
      </c>
      <c r="G3413" s="54"/>
      <c r="H3413" s="52" t="str">
        <f>IF(AND(I.Compliance.FulfilledCCUS&gt;0,I.CCUS.RangeCount&gt;=341,F3413=""),"Incomplete","Complete")</f>
        <v>Complete</v>
      </c>
      <c r="I3413" s="55" t="s">
        <v>3610</v>
      </c>
    </row>
    <row r="3414" spans="2:9" ht="15" customHeight="1" x14ac:dyDescent="0.25">
      <c r="B3414" s="51" t="s">
        <v>127</v>
      </c>
      <c r="C3414" s="52">
        <v>342</v>
      </c>
      <c r="D3414" s="53" t="s">
        <v>4330</v>
      </c>
      <c r="E3414" s="54"/>
      <c r="F3414" s="52" t="str">
        <f>IF(INDEX(I.CCUS.EndRange,342)="","",INDEX(I.CCUS.EndRange,342))</f>
        <v/>
      </c>
      <c r="G3414" s="54"/>
      <c r="H3414" s="52" t="str">
        <f>IF(AND(I.Compliance.FulfilledCCUS&gt;0,I.CCUS.RangeCount&gt;=342,F3414=""),"Incomplete","Complete")</f>
        <v>Complete</v>
      </c>
      <c r="I3414" s="55" t="s">
        <v>3611</v>
      </c>
    </row>
    <row r="3415" spans="2:9" ht="15" customHeight="1" x14ac:dyDescent="0.25">
      <c r="B3415" s="51" t="s">
        <v>127</v>
      </c>
      <c r="C3415" s="52">
        <v>343</v>
      </c>
      <c r="D3415" s="53" t="s">
        <v>4330</v>
      </c>
      <c r="E3415" s="54"/>
      <c r="F3415" s="52" t="str">
        <f>IF(INDEX(I.CCUS.EndRange,343)="","",INDEX(I.CCUS.EndRange,343))</f>
        <v/>
      </c>
      <c r="G3415" s="54"/>
      <c r="H3415" s="52" t="str">
        <f>IF(AND(I.Compliance.FulfilledCCUS&gt;0,I.CCUS.RangeCount&gt;=343,F3415=""),"Incomplete","Complete")</f>
        <v>Complete</v>
      </c>
      <c r="I3415" s="55" t="s">
        <v>3612</v>
      </c>
    </row>
    <row r="3416" spans="2:9" ht="15" customHeight="1" x14ac:dyDescent="0.25">
      <c r="B3416" s="51" t="s">
        <v>127</v>
      </c>
      <c r="C3416" s="52">
        <v>344</v>
      </c>
      <c r="D3416" s="53" t="s">
        <v>4330</v>
      </c>
      <c r="E3416" s="54"/>
      <c r="F3416" s="52" t="str">
        <f>IF(INDEX(I.CCUS.EndRange,344)="","",INDEX(I.CCUS.EndRange,344))</f>
        <v/>
      </c>
      <c r="G3416" s="54"/>
      <c r="H3416" s="52" t="str">
        <f>IF(AND(I.Compliance.FulfilledCCUS&gt;0,I.CCUS.RangeCount&gt;=344,F3416=""),"Incomplete","Complete")</f>
        <v>Complete</v>
      </c>
      <c r="I3416" s="55" t="s">
        <v>3613</v>
      </c>
    </row>
    <row r="3417" spans="2:9" ht="15" customHeight="1" x14ac:dyDescent="0.25">
      <c r="B3417" s="51" t="s">
        <v>127</v>
      </c>
      <c r="C3417" s="52">
        <v>345</v>
      </c>
      <c r="D3417" s="53" t="s">
        <v>4330</v>
      </c>
      <c r="E3417" s="54"/>
      <c r="F3417" s="52" t="str">
        <f>IF(INDEX(I.CCUS.EndRange,345)="","",INDEX(I.CCUS.EndRange,345))</f>
        <v/>
      </c>
      <c r="G3417" s="54"/>
      <c r="H3417" s="52" t="str">
        <f>IF(AND(I.Compliance.FulfilledCCUS&gt;0,I.CCUS.RangeCount&gt;=345,F3417=""),"Incomplete","Complete")</f>
        <v>Complete</v>
      </c>
      <c r="I3417" s="55" t="s">
        <v>3614</v>
      </c>
    </row>
    <row r="3418" spans="2:9" ht="15" customHeight="1" x14ac:dyDescent="0.25">
      <c r="B3418" s="51" t="s">
        <v>127</v>
      </c>
      <c r="C3418" s="52">
        <v>346</v>
      </c>
      <c r="D3418" s="53" t="s">
        <v>4330</v>
      </c>
      <c r="E3418" s="54"/>
      <c r="F3418" s="52" t="str">
        <f>IF(INDEX(I.CCUS.EndRange,346)="","",INDEX(I.CCUS.EndRange,346))</f>
        <v/>
      </c>
      <c r="G3418" s="54"/>
      <c r="H3418" s="52" t="str">
        <f>IF(AND(I.Compliance.FulfilledCCUS&gt;0,I.CCUS.RangeCount&gt;=346,F3418=""),"Incomplete","Complete")</f>
        <v>Complete</v>
      </c>
      <c r="I3418" s="55" t="s">
        <v>3615</v>
      </c>
    </row>
    <row r="3419" spans="2:9" ht="15" customHeight="1" x14ac:dyDescent="0.25">
      <c r="B3419" s="51" t="s">
        <v>127</v>
      </c>
      <c r="C3419" s="52">
        <v>347</v>
      </c>
      <c r="D3419" s="53" t="s">
        <v>4330</v>
      </c>
      <c r="E3419" s="54"/>
      <c r="F3419" s="52" t="str">
        <f>IF(INDEX(I.CCUS.EndRange,347)="","",INDEX(I.CCUS.EndRange,347))</f>
        <v/>
      </c>
      <c r="G3419" s="54"/>
      <c r="H3419" s="52" t="str">
        <f>IF(AND(I.Compliance.FulfilledCCUS&gt;0,I.CCUS.RangeCount&gt;=347,F3419=""),"Incomplete","Complete")</f>
        <v>Complete</v>
      </c>
      <c r="I3419" s="55" t="s">
        <v>3616</v>
      </c>
    </row>
    <row r="3420" spans="2:9" ht="15" customHeight="1" x14ac:dyDescent="0.25">
      <c r="B3420" s="51" t="s">
        <v>127</v>
      </c>
      <c r="C3420" s="52">
        <v>348</v>
      </c>
      <c r="D3420" s="53" t="s">
        <v>4330</v>
      </c>
      <c r="E3420" s="54"/>
      <c r="F3420" s="52" t="str">
        <f>IF(INDEX(I.CCUS.EndRange,348)="","",INDEX(I.CCUS.EndRange,348))</f>
        <v/>
      </c>
      <c r="G3420" s="54"/>
      <c r="H3420" s="52" t="str">
        <f>IF(AND(I.Compliance.FulfilledCCUS&gt;0,I.CCUS.RangeCount&gt;=348,F3420=""),"Incomplete","Complete")</f>
        <v>Complete</v>
      </c>
      <c r="I3420" s="55" t="s">
        <v>3617</v>
      </c>
    </row>
    <row r="3421" spans="2:9" ht="15" customHeight="1" x14ac:dyDescent="0.25">
      <c r="B3421" s="51" t="s">
        <v>127</v>
      </c>
      <c r="C3421" s="52">
        <v>349</v>
      </c>
      <c r="D3421" s="53" t="s">
        <v>4330</v>
      </c>
      <c r="E3421" s="54"/>
      <c r="F3421" s="52" t="str">
        <f>IF(INDEX(I.CCUS.EndRange,349)="","",INDEX(I.CCUS.EndRange,349))</f>
        <v/>
      </c>
      <c r="G3421" s="54"/>
      <c r="H3421" s="52" t="str">
        <f>IF(AND(I.Compliance.FulfilledCCUS&gt;0,I.CCUS.RangeCount&gt;=349,F3421=""),"Incomplete","Complete")</f>
        <v>Complete</v>
      </c>
      <c r="I3421" s="55" t="s">
        <v>3618</v>
      </c>
    </row>
    <row r="3422" spans="2:9" ht="15" customHeight="1" x14ac:dyDescent="0.25">
      <c r="B3422" s="51" t="s">
        <v>127</v>
      </c>
      <c r="C3422" s="52">
        <v>350</v>
      </c>
      <c r="D3422" s="53" t="s">
        <v>4330</v>
      </c>
      <c r="E3422" s="54"/>
      <c r="F3422" s="52" t="str">
        <f>IF(INDEX(I.CCUS.EndRange,350)="","",INDEX(I.CCUS.EndRange,350))</f>
        <v/>
      </c>
      <c r="G3422" s="54"/>
      <c r="H3422" s="52" t="str">
        <f>IF(AND(I.Compliance.FulfilledCCUS&gt;0,I.CCUS.RangeCount&gt;=350,F3422=""),"Incomplete","Complete")</f>
        <v>Complete</v>
      </c>
      <c r="I3422" s="55" t="s">
        <v>3619</v>
      </c>
    </row>
    <row r="3423" spans="2:9" ht="15" customHeight="1" x14ac:dyDescent="0.25">
      <c r="B3423" s="51" t="s">
        <v>127</v>
      </c>
      <c r="C3423" s="52">
        <v>351</v>
      </c>
      <c r="D3423" s="53" t="s">
        <v>4330</v>
      </c>
      <c r="E3423" s="54"/>
      <c r="F3423" s="52" t="str">
        <f>IF(INDEX(I.CCUS.EndRange,351)="","",INDEX(I.CCUS.EndRange,351))</f>
        <v/>
      </c>
      <c r="G3423" s="54"/>
      <c r="H3423" s="52" t="str">
        <f>IF(AND(I.Compliance.FulfilledCCUS&gt;0,I.CCUS.RangeCount&gt;=351,F3423=""),"Incomplete","Complete")</f>
        <v>Complete</v>
      </c>
      <c r="I3423" s="55" t="s">
        <v>3620</v>
      </c>
    </row>
    <row r="3424" spans="2:9" ht="15" customHeight="1" x14ac:dyDescent="0.25">
      <c r="B3424" s="51" t="s">
        <v>127</v>
      </c>
      <c r="C3424" s="52">
        <v>352</v>
      </c>
      <c r="D3424" s="53" t="s">
        <v>4330</v>
      </c>
      <c r="E3424" s="54"/>
      <c r="F3424" s="52" t="str">
        <f>IF(INDEX(I.CCUS.EndRange,352)="","",INDEX(I.CCUS.EndRange,352))</f>
        <v/>
      </c>
      <c r="G3424" s="54"/>
      <c r="H3424" s="52" t="str">
        <f>IF(AND(I.Compliance.FulfilledCCUS&gt;0,I.CCUS.RangeCount&gt;=352,F3424=""),"Incomplete","Complete")</f>
        <v>Complete</v>
      </c>
      <c r="I3424" s="55" t="s">
        <v>3621</v>
      </c>
    </row>
    <row r="3425" spans="2:9" ht="15" customHeight="1" x14ac:dyDescent="0.25">
      <c r="B3425" s="51" t="s">
        <v>127</v>
      </c>
      <c r="C3425" s="52">
        <v>353</v>
      </c>
      <c r="D3425" s="53" t="s">
        <v>4330</v>
      </c>
      <c r="E3425" s="54"/>
      <c r="F3425" s="52" t="str">
        <f>IF(INDEX(I.CCUS.EndRange,353)="","",INDEX(I.CCUS.EndRange,353))</f>
        <v/>
      </c>
      <c r="G3425" s="54"/>
      <c r="H3425" s="52" t="str">
        <f>IF(AND(I.Compliance.FulfilledCCUS&gt;0,I.CCUS.RangeCount&gt;=353,F3425=""),"Incomplete","Complete")</f>
        <v>Complete</v>
      </c>
      <c r="I3425" s="55" t="s">
        <v>3622</v>
      </c>
    </row>
    <row r="3426" spans="2:9" ht="15" customHeight="1" x14ac:dyDescent="0.25">
      <c r="B3426" s="51" t="s">
        <v>127</v>
      </c>
      <c r="C3426" s="52">
        <v>354</v>
      </c>
      <c r="D3426" s="53" t="s">
        <v>4330</v>
      </c>
      <c r="E3426" s="54"/>
      <c r="F3426" s="52" t="str">
        <f>IF(INDEX(I.CCUS.EndRange,354)="","",INDEX(I.CCUS.EndRange,354))</f>
        <v/>
      </c>
      <c r="G3426" s="54"/>
      <c r="H3426" s="52" t="str">
        <f>IF(AND(I.Compliance.FulfilledCCUS&gt;0,I.CCUS.RangeCount&gt;=354,F3426=""),"Incomplete","Complete")</f>
        <v>Complete</v>
      </c>
      <c r="I3426" s="55" t="s">
        <v>3623</v>
      </c>
    </row>
    <row r="3427" spans="2:9" ht="15" customHeight="1" x14ac:dyDescent="0.25">
      <c r="B3427" s="51" t="s">
        <v>127</v>
      </c>
      <c r="C3427" s="52">
        <v>355</v>
      </c>
      <c r="D3427" s="53" t="s">
        <v>4330</v>
      </c>
      <c r="E3427" s="54"/>
      <c r="F3427" s="52" t="str">
        <f>IF(INDEX(I.CCUS.EndRange,355)="","",INDEX(I.CCUS.EndRange,355))</f>
        <v/>
      </c>
      <c r="G3427" s="54"/>
      <c r="H3427" s="52" t="str">
        <f>IF(AND(I.Compliance.FulfilledCCUS&gt;0,I.CCUS.RangeCount&gt;=355,F3427=""),"Incomplete","Complete")</f>
        <v>Complete</v>
      </c>
      <c r="I3427" s="55" t="s">
        <v>3624</v>
      </c>
    </row>
    <row r="3428" spans="2:9" ht="15" customHeight="1" x14ac:dyDescent="0.25">
      <c r="B3428" s="51" t="s">
        <v>127</v>
      </c>
      <c r="C3428" s="52">
        <v>356</v>
      </c>
      <c r="D3428" s="53" t="s">
        <v>4330</v>
      </c>
      <c r="E3428" s="54"/>
      <c r="F3428" s="52" t="str">
        <f>IF(INDEX(I.CCUS.EndRange,356)="","",INDEX(I.CCUS.EndRange,356))</f>
        <v/>
      </c>
      <c r="G3428" s="54"/>
      <c r="H3428" s="52" t="str">
        <f>IF(AND(I.Compliance.FulfilledCCUS&gt;0,I.CCUS.RangeCount&gt;=356,F3428=""),"Incomplete","Complete")</f>
        <v>Complete</v>
      </c>
      <c r="I3428" s="55" t="s">
        <v>3625</v>
      </c>
    </row>
    <row r="3429" spans="2:9" ht="15" customHeight="1" x14ac:dyDescent="0.25">
      <c r="B3429" s="51" t="s">
        <v>127</v>
      </c>
      <c r="C3429" s="52">
        <v>357</v>
      </c>
      <c r="D3429" s="53" t="s">
        <v>4330</v>
      </c>
      <c r="E3429" s="54"/>
      <c r="F3429" s="52" t="str">
        <f>IF(INDEX(I.CCUS.EndRange,357)="","",INDEX(I.CCUS.EndRange,357))</f>
        <v/>
      </c>
      <c r="G3429" s="54"/>
      <c r="H3429" s="52" t="str">
        <f>IF(AND(I.Compliance.FulfilledCCUS&gt;0,I.CCUS.RangeCount&gt;=357,F3429=""),"Incomplete","Complete")</f>
        <v>Complete</v>
      </c>
      <c r="I3429" s="55" t="s">
        <v>3626</v>
      </c>
    </row>
    <row r="3430" spans="2:9" ht="15" customHeight="1" x14ac:dyDescent="0.25">
      <c r="B3430" s="51" t="s">
        <v>127</v>
      </c>
      <c r="C3430" s="52">
        <v>358</v>
      </c>
      <c r="D3430" s="53" t="s">
        <v>4330</v>
      </c>
      <c r="E3430" s="54"/>
      <c r="F3430" s="52" t="str">
        <f>IF(INDEX(I.CCUS.EndRange,358)="","",INDEX(I.CCUS.EndRange,358))</f>
        <v/>
      </c>
      <c r="G3430" s="54"/>
      <c r="H3430" s="52" t="str">
        <f>IF(AND(I.Compliance.FulfilledCCUS&gt;0,I.CCUS.RangeCount&gt;=358,F3430=""),"Incomplete","Complete")</f>
        <v>Complete</v>
      </c>
      <c r="I3430" s="55" t="s">
        <v>3627</v>
      </c>
    </row>
    <row r="3431" spans="2:9" ht="15" customHeight="1" x14ac:dyDescent="0.25">
      <c r="B3431" s="51" t="s">
        <v>127</v>
      </c>
      <c r="C3431" s="52">
        <v>359</v>
      </c>
      <c r="D3431" s="53" t="s">
        <v>4330</v>
      </c>
      <c r="E3431" s="54"/>
      <c r="F3431" s="52" t="str">
        <f>IF(INDEX(I.CCUS.EndRange,359)="","",INDEX(I.CCUS.EndRange,359))</f>
        <v/>
      </c>
      <c r="G3431" s="54"/>
      <c r="H3431" s="52" t="str">
        <f>IF(AND(I.Compliance.FulfilledCCUS&gt;0,I.CCUS.RangeCount&gt;=359,F3431=""),"Incomplete","Complete")</f>
        <v>Complete</v>
      </c>
      <c r="I3431" s="55" t="s">
        <v>3628</v>
      </c>
    </row>
    <row r="3432" spans="2:9" ht="15" customHeight="1" x14ac:dyDescent="0.25">
      <c r="B3432" s="51" t="s">
        <v>127</v>
      </c>
      <c r="C3432" s="52">
        <v>360</v>
      </c>
      <c r="D3432" s="53" t="s">
        <v>4330</v>
      </c>
      <c r="E3432" s="54"/>
      <c r="F3432" s="52" t="str">
        <f>IF(INDEX(I.CCUS.EndRange,360)="","",INDEX(I.CCUS.EndRange,360))</f>
        <v/>
      </c>
      <c r="G3432" s="54"/>
      <c r="H3432" s="52" t="str">
        <f>IF(AND(I.Compliance.FulfilledCCUS&gt;0,I.CCUS.RangeCount&gt;=360,F3432=""),"Incomplete","Complete")</f>
        <v>Complete</v>
      </c>
      <c r="I3432" s="55" t="s">
        <v>3629</v>
      </c>
    </row>
    <row r="3433" spans="2:9" ht="15" customHeight="1" x14ac:dyDescent="0.25">
      <c r="B3433" s="51" t="s">
        <v>127</v>
      </c>
      <c r="C3433" s="52">
        <v>361</v>
      </c>
      <c r="D3433" s="53" t="s">
        <v>4330</v>
      </c>
      <c r="E3433" s="54"/>
      <c r="F3433" s="52" t="str">
        <f>IF(INDEX(I.CCUS.EndRange,361)="","",INDEX(I.CCUS.EndRange,361))</f>
        <v/>
      </c>
      <c r="G3433" s="54"/>
      <c r="H3433" s="52" t="str">
        <f>IF(AND(I.Compliance.FulfilledCCUS&gt;0,I.CCUS.RangeCount&gt;=361,F3433=""),"Incomplete","Complete")</f>
        <v>Complete</v>
      </c>
      <c r="I3433" s="55" t="s">
        <v>3630</v>
      </c>
    </row>
    <row r="3434" spans="2:9" ht="15" customHeight="1" x14ac:dyDescent="0.25">
      <c r="B3434" s="51" t="s">
        <v>127</v>
      </c>
      <c r="C3434" s="52">
        <v>362</v>
      </c>
      <c r="D3434" s="53" t="s">
        <v>4330</v>
      </c>
      <c r="E3434" s="54"/>
      <c r="F3434" s="52" t="str">
        <f>IF(INDEX(I.CCUS.EndRange,362)="","",INDEX(I.CCUS.EndRange,362))</f>
        <v/>
      </c>
      <c r="G3434" s="54"/>
      <c r="H3434" s="52" t="str">
        <f>IF(AND(I.Compliance.FulfilledCCUS&gt;0,I.CCUS.RangeCount&gt;=362,F3434=""),"Incomplete","Complete")</f>
        <v>Complete</v>
      </c>
      <c r="I3434" s="55" t="s">
        <v>3631</v>
      </c>
    </row>
    <row r="3435" spans="2:9" ht="15" customHeight="1" x14ac:dyDescent="0.25">
      <c r="B3435" s="51" t="s">
        <v>127</v>
      </c>
      <c r="C3435" s="52">
        <v>363</v>
      </c>
      <c r="D3435" s="53" t="s">
        <v>4330</v>
      </c>
      <c r="E3435" s="54"/>
      <c r="F3435" s="52" t="str">
        <f>IF(INDEX(I.CCUS.EndRange,363)="","",INDEX(I.CCUS.EndRange,363))</f>
        <v/>
      </c>
      <c r="G3435" s="54"/>
      <c r="H3435" s="52" t="str">
        <f>IF(AND(I.Compliance.FulfilledCCUS&gt;0,I.CCUS.RangeCount&gt;=363,F3435=""),"Incomplete","Complete")</f>
        <v>Complete</v>
      </c>
      <c r="I3435" s="55" t="s">
        <v>3632</v>
      </c>
    </row>
    <row r="3436" spans="2:9" ht="15" customHeight="1" x14ac:dyDescent="0.25">
      <c r="B3436" s="51" t="s">
        <v>127</v>
      </c>
      <c r="C3436" s="52">
        <v>364</v>
      </c>
      <c r="D3436" s="53" t="s">
        <v>4330</v>
      </c>
      <c r="E3436" s="54"/>
      <c r="F3436" s="52" t="str">
        <f>IF(INDEX(I.CCUS.EndRange,364)="","",INDEX(I.CCUS.EndRange,364))</f>
        <v/>
      </c>
      <c r="G3436" s="54"/>
      <c r="H3436" s="52" t="str">
        <f>IF(AND(I.Compliance.FulfilledCCUS&gt;0,I.CCUS.RangeCount&gt;=364,F3436=""),"Incomplete","Complete")</f>
        <v>Complete</v>
      </c>
      <c r="I3436" s="55" t="s">
        <v>3633</v>
      </c>
    </row>
    <row r="3437" spans="2:9" ht="15" customHeight="1" x14ac:dyDescent="0.25">
      <c r="B3437" s="51" t="s">
        <v>127</v>
      </c>
      <c r="C3437" s="52">
        <v>365</v>
      </c>
      <c r="D3437" s="53" t="s">
        <v>4330</v>
      </c>
      <c r="E3437" s="54"/>
      <c r="F3437" s="52" t="str">
        <f>IF(INDEX(I.CCUS.EndRange,365)="","",INDEX(I.CCUS.EndRange,365))</f>
        <v/>
      </c>
      <c r="G3437" s="54"/>
      <c r="H3437" s="52" t="str">
        <f>IF(AND(I.Compliance.FulfilledCCUS&gt;0,I.CCUS.RangeCount&gt;=365,F3437=""),"Incomplete","Complete")</f>
        <v>Complete</v>
      </c>
      <c r="I3437" s="55" t="s">
        <v>3634</v>
      </c>
    </row>
    <row r="3438" spans="2:9" ht="15" customHeight="1" x14ac:dyDescent="0.25">
      <c r="B3438" s="51" t="s">
        <v>127</v>
      </c>
      <c r="C3438" s="52">
        <v>366</v>
      </c>
      <c r="D3438" s="53" t="s">
        <v>4330</v>
      </c>
      <c r="E3438" s="54"/>
      <c r="F3438" s="52" t="str">
        <f>IF(INDEX(I.CCUS.EndRange,366)="","",INDEX(I.CCUS.EndRange,366))</f>
        <v/>
      </c>
      <c r="G3438" s="54"/>
      <c r="H3438" s="52" t="str">
        <f>IF(AND(I.Compliance.FulfilledCCUS&gt;0,I.CCUS.RangeCount&gt;=366,F3438=""),"Incomplete","Complete")</f>
        <v>Complete</v>
      </c>
      <c r="I3438" s="55" t="s">
        <v>3635</v>
      </c>
    </row>
    <row r="3439" spans="2:9" ht="15" customHeight="1" x14ac:dyDescent="0.25">
      <c r="B3439" s="51" t="s">
        <v>127</v>
      </c>
      <c r="C3439" s="52">
        <v>367</v>
      </c>
      <c r="D3439" s="53" t="s">
        <v>4330</v>
      </c>
      <c r="E3439" s="54"/>
      <c r="F3439" s="52" t="str">
        <f>IF(INDEX(I.CCUS.EndRange,367)="","",INDEX(I.CCUS.EndRange,367))</f>
        <v/>
      </c>
      <c r="G3439" s="54"/>
      <c r="H3439" s="52" t="str">
        <f>IF(AND(I.Compliance.FulfilledCCUS&gt;0,I.CCUS.RangeCount&gt;=367,F3439=""),"Incomplete","Complete")</f>
        <v>Complete</v>
      </c>
      <c r="I3439" s="55" t="s">
        <v>3636</v>
      </c>
    </row>
    <row r="3440" spans="2:9" ht="15" customHeight="1" x14ac:dyDescent="0.25">
      <c r="B3440" s="51" t="s">
        <v>127</v>
      </c>
      <c r="C3440" s="52">
        <v>368</v>
      </c>
      <c r="D3440" s="53" t="s">
        <v>4330</v>
      </c>
      <c r="E3440" s="54"/>
      <c r="F3440" s="52" t="str">
        <f>IF(INDEX(I.CCUS.EndRange,368)="","",INDEX(I.CCUS.EndRange,368))</f>
        <v/>
      </c>
      <c r="G3440" s="54"/>
      <c r="H3440" s="52" t="str">
        <f>IF(AND(I.Compliance.FulfilledCCUS&gt;0,I.CCUS.RangeCount&gt;=368,F3440=""),"Incomplete","Complete")</f>
        <v>Complete</v>
      </c>
      <c r="I3440" s="55" t="s">
        <v>3637</v>
      </c>
    </row>
    <row r="3441" spans="2:9" ht="15" customHeight="1" x14ac:dyDescent="0.25">
      <c r="B3441" s="51" t="s">
        <v>127</v>
      </c>
      <c r="C3441" s="52">
        <v>369</v>
      </c>
      <c r="D3441" s="53" t="s">
        <v>4330</v>
      </c>
      <c r="E3441" s="54"/>
      <c r="F3441" s="52" t="str">
        <f>IF(INDEX(I.CCUS.EndRange,369)="","",INDEX(I.CCUS.EndRange,369))</f>
        <v/>
      </c>
      <c r="G3441" s="54"/>
      <c r="H3441" s="52" t="str">
        <f>IF(AND(I.Compliance.FulfilledCCUS&gt;0,I.CCUS.RangeCount&gt;=369,F3441=""),"Incomplete","Complete")</f>
        <v>Complete</v>
      </c>
      <c r="I3441" s="55" t="s">
        <v>3638</v>
      </c>
    </row>
    <row r="3442" spans="2:9" ht="15" customHeight="1" x14ac:dyDescent="0.25">
      <c r="B3442" s="51" t="s">
        <v>127</v>
      </c>
      <c r="C3442" s="52">
        <v>370</v>
      </c>
      <c r="D3442" s="53" t="s">
        <v>4330</v>
      </c>
      <c r="E3442" s="54"/>
      <c r="F3442" s="52" t="str">
        <f>IF(INDEX(I.CCUS.EndRange,370)="","",INDEX(I.CCUS.EndRange,370))</f>
        <v/>
      </c>
      <c r="G3442" s="54"/>
      <c r="H3442" s="52" t="str">
        <f>IF(AND(I.Compliance.FulfilledCCUS&gt;0,I.CCUS.RangeCount&gt;=370,F3442=""),"Incomplete","Complete")</f>
        <v>Complete</v>
      </c>
      <c r="I3442" s="55" t="s">
        <v>3639</v>
      </c>
    </row>
    <row r="3443" spans="2:9" ht="15" customHeight="1" x14ac:dyDescent="0.25">
      <c r="B3443" s="51" t="s">
        <v>127</v>
      </c>
      <c r="C3443" s="52">
        <v>371</v>
      </c>
      <c r="D3443" s="53" t="s">
        <v>4330</v>
      </c>
      <c r="E3443" s="54"/>
      <c r="F3443" s="52" t="str">
        <f>IF(INDEX(I.CCUS.EndRange,371)="","",INDEX(I.CCUS.EndRange,371))</f>
        <v/>
      </c>
      <c r="G3443" s="54"/>
      <c r="H3443" s="52" t="str">
        <f>IF(AND(I.Compliance.FulfilledCCUS&gt;0,I.CCUS.RangeCount&gt;=371,F3443=""),"Incomplete","Complete")</f>
        <v>Complete</v>
      </c>
      <c r="I3443" s="55" t="s">
        <v>3640</v>
      </c>
    </row>
    <row r="3444" spans="2:9" ht="15" customHeight="1" x14ac:dyDescent="0.25">
      <c r="B3444" s="51" t="s">
        <v>127</v>
      </c>
      <c r="C3444" s="52">
        <v>372</v>
      </c>
      <c r="D3444" s="53" t="s">
        <v>4330</v>
      </c>
      <c r="E3444" s="54"/>
      <c r="F3444" s="52" t="str">
        <f>IF(INDEX(I.CCUS.EndRange,372)="","",INDEX(I.CCUS.EndRange,372))</f>
        <v/>
      </c>
      <c r="G3444" s="54"/>
      <c r="H3444" s="52" t="str">
        <f>IF(AND(I.Compliance.FulfilledCCUS&gt;0,I.CCUS.RangeCount&gt;=372,F3444=""),"Incomplete","Complete")</f>
        <v>Complete</v>
      </c>
      <c r="I3444" s="55" t="s">
        <v>3641</v>
      </c>
    </row>
    <row r="3445" spans="2:9" ht="15" customHeight="1" x14ac:dyDescent="0.25">
      <c r="B3445" s="51" t="s">
        <v>127</v>
      </c>
      <c r="C3445" s="52">
        <v>373</v>
      </c>
      <c r="D3445" s="53" t="s">
        <v>4330</v>
      </c>
      <c r="E3445" s="54"/>
      <c r="F3445" s="52" t="str">
        <f>IF(INDEX(I.CCUS.EndRange,373)="","",INDEX(I.CCUS.EndRange,373))</f>
        <v/>
      </c>
      <c r="G3445" s="54"/>
      <c r="H3445" s="52" t="str">
        <f>IF(AND(I.Compliance.FulfilledCCUS&gt;0,I.CCUS.RangeCount&gt;=373,F3445=""),"Incomplete","Complete")</f>
        <v>Complete</v>
      </c>
      <c r="I3445" s="55" t="s">
        <v>3642</v>
      </c>
    </row>
    <row r="3446" spans="2:9" ht="15" customHeight="1" x14ac:dyDescent="0.25">
      <c r="B3446" s="51" t="s">
        <v>127</v>
      </c>
      <c r="C3446" s="52">
        <v>374</v>
      </c>
      <c r="D3446" s="53" t="s">
        <v>4330</v>
      </c>
      <c r="E3446" s="54"/>
      <c r="F3446" s="52" t="str">
        <f>IF(INDEX(I.CCUS.EndRange,374)="","",INDEX(I.CCUS.EndRange,374))</f>
        <v/>
      </c>
      <c r="G3446" s="54"/>
      <c r="H3446" s="52" t="str">
        <f>IF(AND(I.Compliance.FulfilledCCUS&gt;0,I.CCUS.RangeCount&gt;=374,F3446=""),"Incomplete","Complete")</f>
        <v>Complete</v>
      </c>
      <c r="I3446" s="55" t="s">
        <v>3643</v>
      </c>
    </row>
    <row r="3447" spans="2:9" ht="15" customHeight="1" x14ac:dyDescent="0.25">
      <c r="B3447" s="51" t="s">
        <v>127</v>
      </c>
      <c r="C3447" s="52">
        <v>375</v>
      </c>
      <c r="D3447" s="53" t="s">
        <v>4330</v>
      </c>
      <c r="E3447" s="54"/>
      <c r="F3447" s="52" t="str">
        <f>IF(INDEX(I.CCUS.EndRange,375)="","",INDEX(I.CCUS.EndRange,375))</f>
        <v/>
      </c>
      <c r="G3447" s="54"/>
      <c r="H3447" s="52" t="str">
        <f>IF(AND(I.Compliance.FulfilledCCUS&gt;0,I.CCUS.RangeCount&gt;=375,F3447=""),"Incomplete","Complete")</f>
        <v>Complete</v>
      </c>
      <c r="I3447" s="55" t="s">
        <v>3644</v>
      </c>
    </row>
    <row r="3448" spans="2:9" ht="15" customHeight="1" x14ac:dyDescent="0.25">
      <c r="B3448" s="51" t="s">
        <v>127</v>
      </c>
      <c r="C3448" s="52">
        <v>376</v>
      </c>
      <c r="D3448" s="53" t="s">
        <v>4330</v>
      </c>
      <c r="E3448" s="54"/>
      <c r="F3448" s="52" t="str">
        <f>IF(INDEX(I.CCUS.EndRange,376)="","",INDEX(I.CCUS.EndRange,376))</f>
        <v/>
      </c>
      <c r="G3448" s="54"/>
      <c r="H3448" s="52" t="str">
        <f>IF(AND(I.Compliance.FulfilledCCUS&gt;0,I.CCUS.RangeCount&gt;=376,F3448=""),"Incomplete","Complete")</f>
        <v>Complete</v>
      </c>
      <c r="I3448" s="55" t="s">
        <v>3645</v>
      </c>
    </row>
    <row r="3449" spans="2:9" ht="15" customHeight="1" x14ac:dyDescent="0.25">
      <c r="B3449" s="51" t="s">
        <v>127</v>
      </c>
      <c r="C3449" s="52">
        <v>377</v>
      </c>
      <c r="D3449" s="53" t="s">
        <v>4330</v>
      </c>
      <c r="E3449" s="54"/>
      <c r="F3449" s="52" t="str">
        <f>IF(INDEX(I.CCUS.EndRange,377)="","",INDEX(I.CCUS.EndRange,377))</f>
        <v/>
      </c>
      <c r="G3449" s="54"/>
      <c r="H3449" s="52" t="str">
        <f>IF(AND(I.Compliance.FulfilledCCUS&gt;0,I.CCUS.RangeCount&gt;=377,F3449=""),"Incomplete","Complete")</f>
        <v>Complete</v>
      </c>
      <c r="I3449" s="55" t="s">
        <v>3646</v>
      </c>
    </row>
    <row r="3450" spans="2:9" ht="15" customHeight="1" x14ac:dyDescent="0.25">
      <c r="B3450" s="51" t="s">
        <v>127</v>
      </c>
      <c r="C3450" s="52">
        <v>378</v>
      </c>
      <c r="D3450" s="53" t="s">
        <v>4330</v>
      </c>
      <c r="E3450" s="54"/>
      <c r="F3450" s="52" t="str">
        <f>IF(INDEX(I.CCUS.EndRange,378)="","",INDEX(I.CCUS.EndRange,378))</f>
        <v/>
      </c>
      <c r="G3450" s="54"/>
      <c r="H3450" s="52" t="str">
        <f>IF(AND(I.Compliance.FulfilledCCUS&gt;0,I.CCUS.RangeCount&gt;=378,F3450=""),"Incomplete","Complete")</f>
        <v>Complete</v>
      </c>
      <c r="I3450" s="55" t="s">
        <v>3647</v>
      </c>
    </row>
    <row r="3451" spans="2:9" ht="15" customHeight="1" x14ac:dyDescent="0.25">
      <c r="B3451" s="51" t="s">
        <v>127</v>
      </c>
      <c r="C3451" s="52">
        <v>379</v>
      </c>
      <c r="D3451" s="53" t="s">
        <v>4330</v>
      </c>
      <c r="E3451" s="54"/>
      <c r="F3451" s="52" t="str">
        <f>IF(INDEX(I.CCUS.EndRange,379)="","",INDEX(I.CCUS.EndRange,379))</f>
        <v/>
      </c>
      <c r="G3451" s="54"/>
      <c r="H3451" s="52" t="str">
        <f>IF(AND(I.Compliance.FulfilledCCUS&gt;0,I.CCUS.RangeCount&gt;=379,F3451=""),"Incomplete","Complete")</f>
        <v>Complete</v>
      </c>
      <c r="I3451" s="55" t="s">
        <v>3648</v>
      </c>
    </row>
    <row r="3452" spans="2:9" ht="15" customHeight="1" x14ac:dyDescent="0.25">
      <c r="B3452" s="51" t="s">
        <v>127</v>
      </c>
      <c r="C3452" s="52">
        <v>380</v>
      </c>
      <c r="D3452" s="53" t="s">
        <v>4330</v>
      </c>
      <c r="E3452" s="54"/>
      <c r="F3452" s="52" t="str">
        <f>IF(INDEX(I.CCUS.EndRange,380)="","",INDEX(I.CCUS.EndRange,380))</f>
        <v/>
      </c>
      <c r="G3452" s="54"/>
      <c r="H3452" s="52" t="str">
        <f>IF(AND(I.Compliance.FulfilledCCUS&gt;0,I.CCUS.RangeCount&gt;=380,F3452=""),"Incomplete","Complete")</f>
        <v>Complete</v>
      </c>
      <c r="I3452" s="55" t="s">
        <v>3649</v>
      </c>
    </row>
    <row r="3453" spans="2:9" ht="15" customHeight="1" x14ac:dyDescent="0.25">
      <c r="B3453" s="51" t="s">
        <v>127</v>
      </c>
      <c r="C3453" s="52">
        <v>381</v>
      </c>
      <c r="D3453" s="53" t="s">
        <v>4330</v>
      </c>
      <c r="E3453" s="54"/>
      <c r="F3453" s="52" t="str">
        <f>IF(INDEX(I.CCUS.EndRange,381)="","",INDEX(I.CCUS.EndRange,381))</f>
        <v/>
      </c>
      <c r="G3453" s="54"/>
      <c r="H3453" s="52" t="str">
        <f>IF(AND(I.Compliance.FulfilledCCUS&gt;0,I.CCUS.RangeCount&gt;=381,F3453=""),"Incomplete","Complete")</f>
        <v>Complete</v>
      </c>
      <c r="I3453" s="55" t="s">
        <v>3650</v>
      </c>
    </row>
    <row r="3454" spans="2:9" ht="15" customHeight="1" x14ac:dyDescent="0.25">
      <c r="B3454" s="51" t="s">
        <v>127</v>
      </c>
      <c r="C3454" s="52">
        <v>382</v>
      </c>
      <c r="D3454" s="53" t="s">
        <v>4330</v>
      </c>
      <c r="E3454" s="54"/>
      <c r="F3454" s="52" t="str">
        <f>IF(INDEX(I.CCUS.EndRange,382)="","",INDEX(I.CCUS.EndRange,382))</f>
        <v/>
      </c>
      <c r="G3454" s="54"/>
      <c r="H3454" s="52" t="str">
        <f>IF(AND(I.Compliance.FulfilledCCUS&gt;0,I.CCUS.RangeCount&gt;=382,F3454=""),"Incomplete","Complete")</f>
        <v>Complete</v>
      </c>
      <c r="I3454" s="55" t="s">
        <v>3651</v>
      </c>
    </row>
    <row r="3455" spans="2:9" ht="15" customHeight="1" x14ac:dyDescent="0.25">
      <c r="B3455" s="51" t="s">
        <v>127</v>
      </c>
      <c r="C3455" s="52">
        <v>383</v>
      </c>
      <c r="D3455" s="53" t="s">
        <v>4330</v>
      </c>
      <c r="E3455" s="54"/>
      <c r="F3455" s="52" t="str">
        <f>IF(INDEX(I.CCUS.EndRange,383)="","",INDEX(I.CCUS.EndRange,383))</f>
        <v/>
      </c>
      <c r="G3455" s="54"/>
      <c r="H3455" s="52" t="str">
        <f>IF(AND(I.Compliance.FulfilledCCUS&gt;0,I.CCUS.RangeCount&gt;=383,F3455=""),"Incomplete","Complete")</f>
        <v>Complete</v>
      </c>
      <c r="I3455" s="55" t="s">
        <v>3652</v>
      </c>
    </row>
    <row r="3456" spans="2:9" ht="15" customHeight="1" x14ac:dyDescent="0.25">
      <c r="B3456" s="51" t="s">
        <v>127</v>
      </c>
      <c r="C3456" s="52">
        <v>384</v>
      </c>
      <c r="D3456" s="53" t="s">
        <v>4330</v>
      </c>
      <c r="E3456" s="54"/>
      <c r="F3456" s="52" t="str">
        <f>IF(INDEX(I.CCUS.EndRange,384)="","",INDEX(I.CCUS.EndRange,384))</f>
        <v/>
      </c>
      <c r="G3456" s="54"/>
      <c r="H3456" s="52" t="str">
        <f>IF(AND(I.Compliance.FulfilledCCUS&gt;0,I.CCUS.RangeCount&gt;=384,F3456=""),"Incomplete","Complete")</f>
        <v>Complete</v>
      </c>
      <c r="I3456" s="55" t="s">
        <v>3653</v>
      </c>
    </row>
    <row r="3457" spans="2:9" ht="15" customHeight="1" x14ac:dyDescent="0.25">
      <c r="B3457" s="51" t="s">
        <v>127</v>
      </c>
      <c r="C3457" s="52">
        <v>385</v>
      </c>
      <c r="D3457" s="53" t="s">
        <v>4330</v>
      </c>
      <c r="E3457" s="54"/>
      <c r="F3457" s="52" t="str">
        <f>IF(INDEX(I.CCUS.EndRange,385)="","",INDEX(I.CCUS.EndRange,385))</f>
        <v/>
      </c>
      <c r="G3457" s="54"/>
      <c r="H3457" s="52" t="str">
        <f>IF(AND(I.Compliance.FulfilledCCUS&gt;0,I.CCUS.RangeCount&gt;=385,F3457=""),"Incomplete","Complete")</f>
        <v>Complete</v>
      </c>
      <c r="I3457" s="55" t="s">
        <v>3654</v>
      </c>
    </row>
    <row r="3458" spans="2:9" ht="15" customHeight="1" x14ac:dyDescent="0.25">
      <c r="B3458" s="51" t="s">
        <v>127</v>
      </c>
      <c r="C3458" s="52">
        <v>386</v>
      </c>
      <c r="D3458" s="53" t="s">
        <v>4330</v>
      </c>
      <c r="E3458" s="54"/>
      <c r="F3458" s="52" t="str">
        <f>IF(INDEX(I.CCUS.EndRange,386)="","",INDEX(I.CCUS.EndRange,386))</f>
        <v/>
      </c>
      <c r="G3458" s="54"/>
      <c r="H3458" s="52" t="str">
        <f>IF(AND(I.Compliance.FulfilledCCUS&gt;0,I.CCUS.RangeCount&gt;=386,F3458=""),"Incomplete","Complete")</f>
        <v>Complete</v>
      </c>
      <c r="I3458" s="55" t="s">
        <v>3655</v>
      </c>
    </row>
    <row r="3459" spans="2:9" ht="15" customHeight="1" x14ac:dyDescent="0.25">
      <c r="B3459" s="51" t="s">
        <v>127</v>
      </c>
      <c r="C3459" s="52">
        <v>387</v>
      </c>
      <c r="D3459" s="53" t="s">
        <v>4330</v>
      </c>
      <c r="E3459" s="54"/>
      <c r="F3459" s="52" t="str">
        <f>IF(INDEX(I.CCUS.EndRange,387)="","",INDEX(I.CCUS.EndRange,387))</f>
        <v/>
      </c>
      <c r="G3459" s="54"/>
      <c r="H3459" s="52" t="str">
        <f>IF(AND(I.Compliance.FulfilledCCUS&gt;0,I.CCUS.RangeCount&gt;=387,F3459=""),"Incomplete","Complete")</f>
        <v>Complete</v>
      </c>
      <c r="I3459" s="55" t="s">
        <v>3656</v>
      </c>
    </row>
    <row r="3460" spans="2:9" ht="15" customHeight="1" x14ac:dyDescent="0.25">
      <c r="B3460" s="51" t="s">
        <v>127</v>
      </c>
      <c r="C3460" s="52">
        <v>388</v>
      </c>
      <c r="D3460" s="53" t="s">
        <v>4330</v>
      </c>
      <c r="E3460" s="54"/>
      <c r="F3460" s="52" t="str">
        <f>IF(INDEX(I.CCUS.EndRange,388)="","",INDEX(I.CCUS.EndRange,388))</f>
        <v/>
      </c>
      <c r="G3460" s="54"/>
      <c r="H3460" s="52" t="str">
        <f>IF(AND(I.Compliance.FulfilledCCUS&gt;0,I.CCUS.RangeCount&gt;=388,F3460=""),"Incomplete","Complete")</f>
        <v>Complete</v>
      </c>
      <c r="I3460" s="55" t="s">
        <v>3657</v>
      </c>
    </row>
    <row r="3461" spans="2:9" ht="15" customHeight="1" x14ac:dyDescent="0.25">
      <c r="B3461" s="51" t="s">
        <v>127</v>
      </c>
      <c r="C3461" s="52">
        <v>389</v>
      </c>
      <c r="D3461" s="53" t="s">
        <v>4330</v>
      </c>
      <c r="E3461" s="54"/>
      <c r="F3461" s="52" t="str">
        <f>IF(INDEX(I.CCUS.EndRange,389)="","",INDEX(I.CCUS.EndRange,389))</f>
        <v/>
      </c>
      <c r="G3461" s="54"/>
      <c r="H3461" s="52" t="str">
        <f>IF(AND(I.Compliance.FulfilledCCUS&gt;0,I.CCUS.RangeCount&gt;=389,F3461=""),"Incomplete","Complete")</f>
        <v>Complete</v>
      </c>
      <c r="I3461" s="55" t="s">
        <v>3658</v>
      </c>
    </row>
    <row r="3462" spans="2:9" ht="15" customHeight="1" x14ac:dyDescent="0.25">
      <c r="B3462" s="51" t="s">
        <v>127</v>
      </c>
      <c r="C3462" s="52">
        <v>390</v>
      </c>
      <c r="D3462" s="53" t="s">
        <v>4330</v>
      </c>
      <c r="E3462" s="54"/>
      <c r="F3462" s="52" t="str">
        <f>IF(INDEX(I.CCUS.EndRange,390)="","",INDEX(I.CCUS.EndRange,390))</f>
        <v/>
      </c>
      <c r="G3462" s="54"/>
      <c r="H3462" s="52" t="str">
        <f>IF(AND(I.Compliance.FulfilledCCUS&gt;0,I.CCUS.RangeCount&gt;=390,F3462=""),"Incomplete","Complete")</f>
        <v>Complete</v>
      </c>
      <c r="I3462" s="55" t="s">
        <v>3659</v>
      </c>
    </row>
    <row r="3463" spans="2:9" ht="15" customHeight="1" x14ac:dyDescent="0.25">
      <c r="B3463" s="51" t="s">
        <v>127</v>
      </c>
      <c r="C3463" s="52">
        <v>391</v>
      </c>
      <c r="D3463" s="53" t="s">
        <v>4330</v>
      </c>
      <c r="E3463" s="54"/>
      <c r="F3463" s="52" t="str">
        <f>IF(INDEX(I.CCUS.EndRange,391)="","",INDEX(I.CCUS.EndRange,391))</f>
        <v/>
      </c>
      <c r="G3463" s="54"/>
      <c r="H3463" s="52" t="str">
        <f>IF(AND(I.Compliance.FulfilledCCUS&gt;0,I.CCUS.RangeCount&gt;=391,F3463=""),"Incomplete","Complete")</f>
        <v>Complete</v>
      </c>
      <c r="I3463" s="55" t="s">
        <v>3660</v>
      </c>
    </row>
    <row r="3464" spans="2:9" ht="15" customHeight="1" x14ac:dyDescent="0.25">
      <c r="B3464" s="51" t="s">
        <v>127</v>
      </c>
      <c r="C3464" s="52">
        <v>392</v>
      </c>
      <c r="D3464" s="53" t="s">
        <v>4330</v>
      </c>
      <c r="E3464" s="54"/>
      <c r="F3464" s="52" t="str">
        <f>IF(INDEX(I.CCUS.EndRange,392)="","",INDEX(I.CCUS.EndRange,392))</f>
        <v/>
      </c>
      <c r="G3464" s="54"/>
      <c r="H3464" s="52" t="str">
        <f>IF(AND(I.Compliance.FulfilledCCUS&gt;0,I.CCUS.RangeCount&gt;=392,F3464=""),"Incomplete","Complete")</f>
        <v>Complete</v>
      </c>
      <c r="I3464" s="55" t="s">
        <v>3661</v>
      </c>
    </row>
    <row r="3465" spans="2:9" ht="15" customHeight="1" x14ac:dyDescent="0.25">
      <c r="B3465" s="51" t="s">
        <v>127</v>
      </c>
      <c r="C3465" s="52">
        <v>393</v>
      </c>
      <c r="D3465" s="53" t="s">
        <v>4330</v>
      </c>
      <c r="E3465" s="54"/>
      <c r="F3465" s="52" t="str">
        <f>IF(INDEX(I.CCUS.EndRange,393)="","",INDEX(I.CCUS.EndRange,393))</f>
        <v/>
      </c>
      <c r="G3465" s="54"/>
      <c r="H3465" s="52" t="str">
        <f>IF(AND(I.Compliance.FulfilledCCUS&gt;0,I.CCUS.RangeCount&gt;=393,F3465=""),"Incomplete","Complete")</f>
        <v>Complete</v>
      </c>
      <c r="I3465" s="55" t="s">
        <v>3662</v>
      </c>
    </row>
    <row r="3466" spans="2:9" ht="15" customHeight="1" x14ac:dyDescent="0.25">
      <c r="B3466" s="51" t="s">
        <v>127</v>
      </c>
      <c r="C3466" s="52">
        <v>394</v>
      </c>
      <c r="D3466" s="53" t="s">
        <v>4330</v>
      </c>
      <c r="E3466" s="54"/>
      <c r="F3466" s="52" t="str">
        <f>IF(INDEX(I.CCUS.EndRange,394)="","",INDEX(I.CCUS.EndRange,394))</f>
        <v/>
      </c>
      <c r="G3466" s="54"/>
      <c r="H3466" s="52" t="str">
        <f>IF(AND(I.Compliance.FulfilledCCUS&gt;0,I.CCUS.RangeCount&gt;=394,F3466=""),"Incomplete","Complete")</f>
        <v>Complete</v>
      </c>
      <c r="I3466" s="55" t="s">
        <v>3663</v>
      </c>
    </row>
    <row r="3467" spans="2:9" ht="15" customHeight="1" x14ac:dyDescent="0.25">
      <c r="B3467" s="51" t="s">
        <v>127</v>
      </c>
      <c r="C3467" s="52">
        <v>395</v>
      </c>
      <c r="D3467" s="53" t="s">
        <v>4330</v>
      </c>
      <c r="E3467" s="54"/>
      <c r="F3467" s="52" t="str">
        <f>IF(INDEX(I.CCUS.EndRange,395)="","",INDEX(I.CCUS.EndRange,395))</f>
        <v/>
      </c>
      <c r="G3467" s="54"/>
      <c r="H3467" s="52" t="str">
        <f>IF(AND(I.Compliance.FulfilledCCUS&gt;0,I.CCUS.RangeCount&gt;=395,F3467=""),"Incomplete","Complete")</f>
        <v>Complete</v>
      </c>
      <c r="I3467" s="55" t="s">
        <v>3664</v>
      </c>
    </row>
    <row r="3468" spans="2:9" ht="15" customHeight="1" x14ac:dyDescent="0.25">
      <c r="B3468" s="51" t="s">
        <v>127</v>
      </c>
      <c r="C3468" s="52">
        <v>396</v>
      </c>
      <c r="D3468" s="53" t="s">
        <v>4330</v>
      </c>
      <c r="E3468" s="54"/>
      <c r="F3468" s="52" t="str">
        <f>IF(INDEX(I.CCUS.EndRange,396)="","",INDEX(I.CCUS.EndRange,396))</f>
        <v/>
      </c>
      <c r="G3468" s="54"/>
      <c r="H3468" s="52" t="str">
        <f>IF(AND(I.Compliance.FulfilledCCUS&gt;0,I.CCUS.RangeCount&gt;=396,F3468=""),"Incomplete","Complete")</f>
        <v>Complete</v>
      </c>
      <c r="I3468" s="55" t="s">
        <v>3665</v>
      </c>
    </row>
    <row r="3469" spans="2:9" ht="15" customHeight="1" x14ac:dyDescent="0.25">
      <c r="B3469" s="51" t="s">
        <v>127</v>
      </c>
      <c r="C3469" s="52">
        <v>397</v>
      </c>
      <c r="D3469" s="53" t="s">
        <v>4330</v>
      </c>
      <c r="E3469" s="54"/>
      <c r="F3469" s="52" t="str">
        <f>IF(INDEX(I.CCUS.EndRange,397)="","",INDEX(I.CCUS.EndRange,397))</f>
        <v/>
      </c>
      <c r="G3469" s="54"/>
      <c r="H3469" s="52" t="str">
        <f>IF(AND(I.Compliance.FulfilledCCUS&gt;0,I.CCUS.RangeCount&gt;=397,F3469=""),"Incomplete","Complete")</f>
        <v>Complete</v>
      </c>
      <c r="I3469" s="55" t="s">
        <v>3666</v>
      </c>
    </row>
    <row r="3470" spans="2:9" ht="15" customHeight="1" x14ac:dyDescent="0.25">
      <c r="B3470" s="51" t="s">
        <v>127</v>
      </c>
      <c r="C3470" s="52">
        <v>398</v>
      </c>
      <c r="D3470" s="53" t="s">
        <v>4330</v>
      </c>
      <c r="E3470" s="54"/>
      <c r="F3470" s="52" t="str">
        <f>IF(INDEX(I.CCUS.EndRange,398)="","",INDEX(I.CCUS.EndRange,398))</f>
        <v/>
      </c>
      <c r="G3470" s="54"/>
      <c r="H3470" s="52" t="str">
        <f>IF(AND(I.Compliance.FulfilledCCUS&gt;0,I.CCUS.RangeCount&gt;=398,F3470=""),"Incomplete","Complete")</f>
        <v>Complete</v>
      </c>
      <c r="I3470" s="55" t="s">
        <v>3667</v>
      </c>
    </row>
    <row r="3471" spans="2:9" ht="15" customHeight="1" x14ac:dyDescent="0.25">
      <c r="B3471" s="51" t="s">
        <v>127</v>
      </c>
      <c r="C3471" s="52">
        <v>399</v>
      </c>
      <c r="D3471" s="53" t="s">
        <v>4330</v>
      </c>
      <c r="E3471" s="54"/>
      <c r="F3471" s="52" t="str">
        <f>IF(INDEX(I.CCUS.EndRange,399)="","",INDEX(I.CCUS.EndRange,399))</f>
        <v/>
      </c>
      <c r="G3471" s="54"/>
      <c r="H3471" s="52" t="str">
        <f>IF(AND(I.Compliance.FulfilledCCUS&gt;0,I.CCUS.RangeCount&gt;=399,F3471=""),"Incomplete","Complete")</f>
        <v>Complete</v>
      </c>
      <c r="I3471" s="55" t="s">
        <v>3668</v>
      </c>
    </row>
    <row r="3472" spans="2:9" ht="15" customHeight="1" x14ac:dyDescent="0.25">
      <c r="B3472" s="51" t="s">
        <v>127</v>
      </c>
      <c r="C3472" s="52">
        <v>400</v>
      </c>
      <c r="D3472" s="53" t="s">
        <v>4330</v>
      </c>
      <c r="E3472" s="54"/>
      <c r="F3472" s="52" t="str">
        <f>IF(INDEX(I.CCUS.EndRange,400)="","",INDEX(I.CCUS.EndRange,400))</f>
        <v/>
      </c>
      <c r="G3472" s="54"/>
      <c r="H3472" s="52" t="str">
        <f>IF(AND(I.Compliance.FulfilledCCUS&gt;0,I.CCUS.RangeCount&gt;=400,F3472=""),"Incomplete","Complete")</f>
        <v>Complete</v>
      </c>
      <c r="I3472" s="55" t="s">
        <v>3669</v>
      </c>
    </row>
    <row r="3473" spans="2:9" ht="15" customHeight="1" x14ac:dyDescent="0.25">
      <c r="B3473" s="51" t="s">
        <v>127</v>
      </c>
      <c r="C3473" s="52">
        <v>401</v>
      </c>
      <c r="D3473" s="53" t="s">
        <v>4330</v>
      </c>
      <c r="E3473" s="54"/>
      <c r="F3473" s="52" t="str">
        <f>IF(INDEX(I.CCUS.EndRange,401)="","",INDEX(I.CCUS.EndRange,401))</f>
        <v/>
      </c>
      <c r="G3473" s="54"/>
      <c r="H3473" s="52" t="str">
        <f>IF(AND(I.Compliance.FulfilledCCUS&gt;0,I.CCUS.RangeCount&gt;=401,F3473=""),"Incomplete","Complete")</f>
        <v>Complete</v>
      </c>
      <c r="I3473" s="55" t="s">
        <v>3670</v>
      </c>
    </row>
    <row r="3474" spans="2:9" ht="15" customHeight="1" x14ac:dyDescent="0.25">
      <c r="B3474" s="51" t="s">
        <v>127</v>
      </c>
      <c r="C3474" s="52">
        <v>402</v>
      </c>
      <c r="D3474" s="53" t="s">
        <v>4330</v>
      </c>
      <c r="E3474" s="54"/>
      <c r="F3474" s="52" t="str">
        <f>IF(INDEX(I.CCUS.EndRange,402)="","",INDEX(I.CCUS.EndRange,402))</f>
        <v/>
      </c>
      <c r="G3474" s="54"/>
      <c r="H3474" s="52" t="str">
        <f>IF(AND(I.Compliance.FulfilledCCUS&gt;0,I.CCUS.RangeCount&gt;=402,F3474=""),"Incomplete","Complete")</f>
        <v>Complete</v>
      </c>
      <c r="I3474" s="55" t="s">
        <v>3671</v>
      </c>
    </row>
    <row r="3475" spans="2:9" ht="15" customHeight="1" x14ac:dyDescent="0.25">
      <c r="B3475" s="51" t="s">
        <v>127</v>
      </c>
      <c r="C3475" s="52">
        <v>403</v>
      </c>
      <c r="D3475" s="53" t="s">
        <v>4330</v>
      </c>
      <c r="E3475" s="54"/>
      <c r="F3475" s="52" t="str">
        <f>IF(INDEX(I.CCUS.EndRange,403)="","",INDEX(I.CCUS.EndRange,403))</f>
        <v/>
      </c>
      <c r="G3475" s="54"/>
      <c r="H3475" s="52" t="str">
        <f>IF(AND(I.Compliance.FulfilledCCUS&gt;0,I.CCUS.RangeCount&gt;=403,F3475=""),"Incomplete","Complete")</f>
        <v>Complete</v>
      </c>
      <c r="I3475" s="55" t="s">
        <v>3672</v>
      </c>
    </row>
    <row r="3476" spans="2:9" ht="15" customHeight="1" x14ac:dyDescent="0.25">
      <c r="B3476" s="51" t="s">
        <v>127</v>
      </c>
      <c r="C3476" s="52">
        <v>404</v>
      </c>
      <c r="D3476" s="53" t="s">
        <v>4330</v>
      </c>
      <c r="E3476" s="54"/>
      <c r="F3476" s="52" t="str">
        <f>IF(INDEX(I.CCUS.EndRange,404)="","",INDEX(I.CCUS.EndRange,404))</f>
        <v/>
      </c>
      <c r="G3476" s="54"/>
      <c r="H3476" s="52" t="str">
        <f>IF(AND(I.Compliance.FulfilledCCUS&gt;0,I.CCUS.RangeCount&gt;=404,F3476=""),"Incomplete","Complete")</f>
        <v>Complete</v>
      </c>
      <c r="I3476" s="55" t="s">
        <v>3673</v>
      </c>
    </row>
    <row r="3477" spans="2:9" ht="15" customHeight="1" x14ac:dyDescent="0.25">
      <c r="B3477" s="51" t="s">
        <v>127</v>
      </c>
      <c r="C3477" s="52">
        <v>405</v>
      </c>
      <c r="D3477" s="53" t="s">
        <v>4330</v>
      </c>
      <c r="E3477" s="54"/>
      <c r="F3477" s="52" t="str">
        <f>IF(INDEX(I.CCUS.EndRange,405)="","",INDEX(I.CCUS.EndRange,405))</f>
        <v/>
      </c>
      <c r="G3477" s="54"/>
      <c r="H3477" s="52" t="str">
        <f>IF(AND(I.Compliance.FulfilledCCUS&gt;0,I.CCUS.RangeCount&gt;=405,F3477=""),"Incomplete","Complete")</f>
        <v>Complete</v>
      </c>
      <c r="I3477" s="55" t="s">
        <v>3674</v>
      </c>
    </row>
    <row r="3478" spans="2:9" ht="15" customHeight="1" x14ac:dyDescent="0.25">
      <c r="B3478" s="51" t="s">
        <v>127</v>
      </c>
      <c r="C3478" s="52">
        <v>406</v>
      </c>
      <c r="D3478" s="53" t="s">
        <v>4330</v>
      </c>
      <c r="E3478" s="54"/>
      <c r="F3478" s="52" t="str">
        <f>IF(INDEX(I.CCUS.EndRange,406)="","",INDEX(I.CCUS.EndRange,406))</f>
        <v/>
      </c>
      <c r="G3478" s="54"/>
      <c r="H3478" s="52" t="str">
        <f>IF(AND(I.Compliance.FulfilledCCUS&gt;0,I.CCUS.RangeCount&gt;=406,F3478=""),"Incomplete","Complete")</f>
        <v>Complete</v>
      </c>
      <c r="I3478" s="55" t="s">
        <v>3675</v>
      </c>
    </row>
    <row r="3479" spans="2:9" ht="15" customHeight="1" x14ac:dyDescent="0.25">
      <c r="B3479" s="51" t="s">
        <v>127</v>
      </c>
      <c r="C3479" s="52">
        <v>407</v>
      </c>
      <c r="D3479" s="53" t="s">
        <v>4330</v>
      </c>
      <c r="E3479" s="54"/>
      <c r="F3479" s="52" t="str">
        <f>IF(INDEX(I.CCUS.EndRange,407)="","",INDEX(I.CCUS.EndRange,407))</f>
        <v/>
      </c>
      <c r="G3479" s="54"/>
      <c r="H3479" s="52" t="str">
        <f>IF(AND(I.Compliance.FulfilledCCUS&gt;0,I.CCUS.RangeCount&gt;=407,F3479=""),"Incomplete","Complete")</f>
        <v>Complete</v>
      </c>
      <c r="I3479" s="55" t="s">
        <v>3676</v>
      </c>
    </row>
    <row r="3480" spans="2:9" ht="15" customHeight="1" x14ac:dyDescent="0.25">
      <c r="B3480" s="51" t="s">
        <v>127</v>
      </c>
      <c r="C3480" s="52">
        <v>408</v>
      </c>
      <c r="D3480" s="53" t="s">
        <v>4330</v>
      </c>
      <c r="E3480" s="54"/>
      <c r="F3480" s="52" t="str">
        <f>IF(INDEX(I.CCUS.EndRange,408)="","",INDEX(I.CCUS.EndRange,408))</f>
        <v/>
      </c>
      <c r="G3480" s="54"/>
      <c r="H3480" s="52" t="str">
        <f>IF(AND(I.Compliance.FulfilledCCUS&gt;0,I.CCUS.RangeCount&gt;=408,F3480=""),"Incomplete","Complete")</f>
        <v>Complete</v>
      </c>
      <c r="I3480" s="55" t="s">
        <v>3677</v>
      </c>
    </row>
    <row r="3481" spans="2:9" ht="15" customHeight="1" x14ac:dyDescent="0.25">
      <c r="B3481" s="51" t="s">
        <v>127</v>
      </c>
      <c r="C3481" s="52">
        <v>409</v>
      </c>
      <c r="D3481" s="53" t="s">
        <v>4330</v>
      </c>
      <c r="E3481" s="54"/>
      <c r="F3481" s="52" t="str">
        <f>IF(INDEX(I.CCUS.EndRange,409)="","",INDEX(I.CCUS.EndRange,409))</f>
        <v/>
      </c>
      <c r="G3481" s="54"/>
      <c r="H3481" s="52" t="str">
        <f>IF(AND(I.Compliance.FulfilledCCUS&gt;0,I.CCUS.RangeCount&gt;=409,F3481=""),"Incomplete","Complete")</f>
        <v>Complete</v>
      </c>
      <c r="I3481" s="55" t="s">
        <v>3678</v>
      </c>
    </row>
    <row r="3482" spans="2:9" ht="15" customHeight="1" x14ac:dyDescent="0.25">
      <c r="B3482" s="51" t="s">
        <v>127</v>
      </c>
      <c r="C3482" s="52">
        <v>410</v>
      </c>
      <c r="D3482" s="53" t="s">
        <v>4330</v>
      </c>
      <c r="E3482" s="54"/>
      <c r="F3482" s="52" t="str">
        <f>IF(INDEX(I.CCUS.EndRange,410)="","",INDEX(I.CCUS.EndRange,410))</f>
        <v/>
      </c>
      <c r="G3482" s="54"/>
      <c r="H3482" s="52" t="str">
        <f>IF(AND(I.Compliance.FulfilledCCUS&gt;0,I.CCUS.RangeCount&gt;=410,F3482=""),"Incomplete","Complete")</f>
        <v>Complete</v>
      </c>
      <c r="I3482" s="55" t="s">
        <v>3679</v>
      </c>
    </row>
    <row r="3483" spans="2:9" ht="15" customHeight="1" x14ac:dyDescent="0.25">
      <c r="B3483" s="51" t="s">
        <v>127</v>
      </c>
      <c r="C3483" s="52">
        <v>411</v>
      </c>
      <c r="D3483" s="53" t="s">
        <v>4330</v>
      </c>
      <c r="E3483" s="54"/>
      <c r="F3483" s="52" t="str">
        <f>IF(INDEX(I.CCUS.EndRange,411)="","",INDEX(I.CCUS.EndRange,411))</f>
        <v/>
      </c>
      <c r="G3483" s="54"/>
      <c r="H3483" s="52" t="str">
        <f>IF(AND(I.Compliance.FulfilledCCUS&gt;0,I.CCUS.RangeCount&gt;=411,F3483=""),"Incomplete","Complete")</f>
        <v>Complete</v>
      </c>
      <c r="I3483" s="55" t="s">
        <v>3680</v>
      </c>
    </row>
    <row r="3484" spans="2:9" ht="15" customHeight="1" x14ac:dyDescent="0.25">
      <c r="B3484" s="51" t="s">
        <v>127</v>
      </c>
      <c r="C3484" s="52">
        <v>412</v>
      </c>
      <c r="D3484" s="53" t="s">
        <v>4330</v>
      </c>
      <c r="E3484" s="54"/>
      <c r="F3484" s="52" t="str">
        <f>IF(INDEX(I.CCUS.EndRange,412)="","",INDEX(I.CCUS.EndRange,412))</f>
        <v/>
      </c>
      <c r="G3484" s="54"/>
      <c r="H3484" s="52" t="str">
        <f>IF(AND(I.Compliance.FulfilledCCUS&gt;0,I.CCUS.RangeCount&gt;=412,F3484=""),"Incomplete","Complete")</f>
        <v>Complete</v>
      </c>
      <c r="I3484" s="55" t="s">
        <v>3681</v>
      </c>
    </row>
    <row r="3485" spans="2:9" ht="15" customHeight="1" x14ac:dyDescent="0.25">
      <c r="B3485" s="51" t="s">
        <v>127</v>
      </c>
      <c r="C3485" s="52">
        <v>413</v>
      </c>
      <c r="D3485" s="53" t="s">
        <v>4330</v>
      </c>
      <c r="E3485" s="54"/>
      <c r="F3485" s="52" t="str">
        <f>IF(INDEX(I.CCUS.EndRange,413)="","",INDEX(I.CCUS.EndRange,413))</f>
        <v/>
      </c>
      <c r="G3485" s="54"/>
      <c r="H3485" s="52" t="str">
        <f>IF(AND(I.Compliance.FulfilledCCUS&gt;0,I.CCUS.RangeCount&gt;=413,F3485=""),"Incomplete","Complete")</f>
        <v>Complete</v>
      </c>
      <c r="I3485" s="55" t="s">
        <v>3682</v>
      </c>
    </row>
    <row r="3486" spans="2:9" ht="15" customHeight="1" x14ac:dyDescent="0.25">
      <c r="B3486" s="51" t="s">
        <v>127</v>
      </c>
      <c r="C3486" s="52">
        <v>414</v>
      </c>
      <c r="D3486" s="53" t="s">
        <v>4330</v>
      </c>
      <c r="E3486" s="54"/>
      <c r="F3486" s="52" t="str">
        <f>IF(INDEX(I.CCUS.EndRange,414)="","",INDEX(I.CCUS.EndRange,414))</f>
        <v/>
      </c>
      <c r="G3486" s="54"/>
      <c r="H3486" s="52" t="str">
        <f>IF(AND(I.Compliance.FulfilledCCUS&gt;0,I.CCUS.RangeCount&gt;=414,F3486=""),"Incomplete","Complete")</f>
        <v>Complete</v>
      </c>
      <c r="I3486" s="55" t="s">
        <v>3683</v>
      </c>
    </row>
    <row r="3487" spans="2:9" ht="15" customHeight="1" x14ac:dyDescent="0.25">
      <c r="B3487" s="51" t="s">
        <v>127</v>
      </c>
      <c r="C3487" s="52">
        <v>415</v>
      </c>
      <c r="D3487" s="53" t="s">
        <v>4330</v>
      </c>
      <c r="E3487" s="54"/>
      <c r="F3487" s="52" t="str">
        <f>IF(INDEX(I.CCUS.EndRange,415)="","",INDEX(I.CCUS.EndRange,415))</f>
        <v/>
      </c>
      <c r="G3487" s="54"/>
      <c r="H3487" s="52" t="str">
        <f>IF(AND(I.Compliance.FulfilledCCUS&gt;0,I.CCUS.RangeCount&gt;=415,F3487=""),"Incomplete","Complete")</f>
        <v>Complete</v>
      </c>
      <c r="I3487" s="55" t="s">
        <v>3684</v>
      </c>
    </row>
    <row r="3488" spans="2:9" ht="15" customHeight="1" x14ac:dyDescent="0.25">
      <c r="B3488" s="51" t="s">
        <v>127</v>
      </c>
      <c r="C3488" s="52">
        <v>416</v>
      </c>
      <c r="D3488" s="53" t="s">
        <v>4330</v>
      </c>
      <c r="E3488" s="54"/>
      <c r="F3488" s="52" t="str">
        <f>IF(INDEX(I.CCUS.EndRange,416)="","",INDEX(I.CCUS.EndRange,416))</f>
        <v/>
      </c>
      <c r="G3488" s="54"/>
      <c r="H3488" s="52" t="str">
        <f>IF(AND(I.Compliance.FulfilledCCUS&gt;0,I.CCUS.RangeCount&gt;=416,F3488=""),"Incomplete","Complete")</f>
        <v>Complete</v>
      </c>
      <c r="I3488" s="55" t="s">
        <v>3685</v>
      </c>
    </row>
    <row r="3489" spans="2:9" ht="15" customHeight="1" x14ac:dyDescent="0.25">
      <c r="B3489" s="51" t="s">
        <v>127</v>
      </c>
      <c r="C3489" s="52">
        <v>417</v>
      </c>
      <c r="D3489" s="53" t="s">
        <v>4330</v>
      </c>
      <c r="E3489" s="54"/>
      <c r="F3489" s="52" t="str">
        <f>IF(INDEX(I.CCUS.EndRange,417)="","",INDEX(I.CCUS.EndRange,417))</f>
        <v/>
      </c>
      <c r="G3489" s="54"/>
      <c r="H3489" s="52" t="str">
        <f>IF(AND(I.Compliance.FulfilledCCUS&gt;0,I.CCUS.RangeCount&gt;=417,F3489=""),"Incomplete","Complete")</f>
        <v>Complete</v>
      </c>
      <c r="I3489" s="55" t="s">
        <v>3686</v>
      </c>
    </row>
    <row r="3490" spans="2:9" ht="15" customHeight="1" x14ac:dyDescent="0.25">
      <c r="B3490" s="51" t="s">
        <v>127</v>
      </c>
      <c r="C3490" s="52">
        <v>418</v>
      </c>
      <c r="D3490" s="53" t="s">
        <v>4330</v>
      </c>
      <c r="E3490" s="54"/>
      <c r="F3490" s="52" t="str">
        <f>IF(INDEX(I.CCUS.EndRange,418)="","",INDEX(I.CCUS.EndRange,418))</f>
        <v/>
      </c>
      <c r="G3490" s="54"/>
      <c r="H3490" s="52" t="str">
        <f>IF(AND(I.Compliance.FulfilledCCUS&gt;0,I.CCUS.RangeCount&gt;=418,F3490=""),"Incomplete","Complete")</f>
        <v>Complete</v>
      </c>
      <c r="I3490" s="55" t="s">
        <v>3687</v>
      </c>
    </row>
    <row r="3491" spans="2:9" ht="15" customHeight="1" x14ac:dyDescent="0.25">
      <c r="B3491" s="51" t="s">
        <v>127</v>
      </c>
      <c r="C3491" s="52">
        <v>419</v>
      </c>
      <c r="D3491" s="53" t="s">
        <v>4330</v>
      </c>
      <c r="E3491" s="54"/>
      <c r="F3491" s="52" t="str">
        <f>IF(INDEX(I.CCUS.EndRange,419)="","",INDEX(I.CCUS.EndRange,419))</f>
        <v/>
      </c>
      <c r="G3491" s="54"/>
      <c r="H3491" s="52" t="str">
        <f>IF(AND(I.Compliance.FulfilledCCUS&gt;0,I.CCUS.RangeCount&gt;=419,F3491=""),"Incomplete","Complete")</f>
        <v>Complete</v>
      </c>
      <c r="I3491" s="55" t="s">
        <v>3688</v>
      </c>
    </row>
    <row r="3492" spans="2:9" ht="15" customHeight="1" x14ac:dyDescent="0.25">
      <c r="B3492" s="51" t="s">
        <v>127</v>
      </c>
      <c r="C3492" s="52">
        <v>420</v>
      </c>
      <c r="D3492" s="53" t="s">
        <v>4330</v>
      </c>
      <c r="E3492" s="54"/>
      <c r="F3492" s="52" t="str">
        <f>IF(INDEX(I.CCUS.EndRange,420)="","",INDEX(I.CCUS.EndRange,420))</f>
        <v/>
      </c>
      <c r="G3492" s="54"/>
      <c r="H3492" s="52" t="str">
        <f>IF(AND(I.Compliance.FulfilledCCUS&gt;0,I.CCUS.RangeCount&gt;=420,F3492=""),"Incomplete","Complete")</f>
        <v>Complete</v>
      </c>
      <c r="I3492" s="55" t="s">
        <v>3689</v>
      </c>
    </row>
    <row r="3493" spans="2:9" ht="15" customHeight="1" x14ac:dyDescent="0.25">
      <c r="B3493" s="51" t="s">
        <v>127</v>
      </c>
      <c r="C3493" s="52">
        <v>421</v>
      </c>
      <c r="D3493" s="53" t="s">
        <v>4330</v>
      </c>
      <c r="E3493" s="54"/>
      <c r="F3493" s="52" t="str">
        <f>IF(INDEX(I.CCUS.EndRange,421)="","",INDEX(I.CCUS.EndRange,421))</f>
        <v/>
      </c>
      <c r="G3493" s="54"/>
      <c r="H3493" s="52" t="str">
        <f>IF(AND(I.Compliance.FulfilledCCUS&gt;0,I.CCUS.RangeCount&gt;=421,F3493=""),"Incomplete","Complete")</f>
        <v>Complete</v>
      </c>
      <c r="I3493" s="55" t="s">
        <v>3690</v>
      </c>
    </row>
    <row r="3494" spans="2:9" ht="15" customHeight="1" x14ac:dyDescent="0.25">
      <c r="B3494" s="51" t="s">
        <v>127</v>
      </c>
      <c r="C3494" s="52">
        <v>422</v>
      </c>
      <c r="D3494" s="53" t="s">
        <v>4330</v>
      </c>
      <c r="E3494" s="54"/>
      <c r="F3494" s="52" t="str">
        <f>IF(INDEX(I.CCUS.EndRange,422)="","",INDEX(I.CCUS.EndRange,422))</f>
        <v/>
      </c>
      <c r="G3494" s="54"/>
      <c r="H3494" s="52" t="str">
        <f>IF(AND(I.Compliance.FulfilledCCUS&gt;0,I.CCUS.RangeCount&gt;=422,F3494=""),"Incomplete","Complete")</f>
        <v>Complete</v>
      </c>
      <c r="I3494" s="55" t="s">
        <v>3691</v>
      </c>
    </row>
    <row r="3495" spans="2:9" ht="15" customHeight="1" x14ac:dyDescent="0.25">
      <c r="B3495" s="51" t="s">
        <v>127</v>
      </c>
      <c r="C3495" s="52">
        <v>423</v>
      </c>
      <c r="D3495" s="53" t="s">
        <v>4330</v>
      </c>
      <c r="E3495" s="54"/>
      <c r="F3495" s="52" t="str">
        <f>IF(INDEX(I.CCUS.EndRange,423)="","",INDEX(I.CCUS.EndRange,423))</f>
        <v/>
      </c>
      <c r="G3495" s="54"/>
      <c r="H3495" s="52" t="str">
        <f>IF(AND(I.Compliance.FulfilledCCUS&gt;0,I.CCUS.RangeCount&gt;=423,F3495=""),"Incomplete","Complete")</f>
        <v>Complete</v>
      </c>
      <c r="I3495" s="55" t="s">
        <v>3692</v>
      </c>
    </row>
    <row r="3496" spans="2:9" ht="15" customHeight="1" x14ac:dyDescent="0.25">
      <c r="B3496" s="51" t="s">
        <v>127</v>
      </c>
      <c r="C3496" s="52">
        <v>424</v>
      </c>
      <c r="D3496" s="53" t="s">
        <v>4330</v>
      </c>
      <c r="E3496" s="54"/>
      <c r="F3496" s="52" t="str">
        <f>IF(INDEX(I.CCUS.EndRange,424)="","",INDEX(I.CCUS.EndRange,424))</f>
        <v/>
      </c>
      <c r="G3496" s="54"/>
      <c r="H3496" s="52" t="str">
        <f>IF(AND(I.Compliance.FulfilledCCUS&gt;0,I.CCUS.RangeCount&gt;=424,F3496=""),"Incomplete","Complete")</f>
        <v>Complete</v>
      </c>
      <c r="I3496" s="55" t="s">
        <v>3693</v>
      </c>
    </row>
    <row r="3497" spans="2:9" ht="15" customHeight="1" x14ac:dyDescent="0.25">
      <c r="B3497" s="51" t="s">
        <v>127</v>
      </c>
      <c r="C3497" s="52">
        <v>425</v>
      </c>
      <c r="D3497" s="53" t="s">
        <v>4330</v>
      </c>
      <c r="E3497" s="54"/>
      <c r="F3497" s="52" t="str">
        <f>IF(INDEX(I.CCUS.EndRange,425)="","",INDEX(I.CCUS.EndRange,425))</f>
        <v/>
      </c>
      <c r="G3497" s="54"/>
      <c r="H3497" s="52" t="str">
        <f>IF(AND(I.Compliance.FulfilledCCUS&gt;0,I.CCUS.RangeCount&gt;=425,F3497=""),"Incomplete","Complete")</f>
        <v>Complete</v>
      </c>
      <c r="I3497" s="55" t="s">
        <v>3694</v>
      </c>
    </row>
    <row r="3498" spans="2:9" ht="15" customHeight="1" x14ac:dyDescent="0.25">
      <c r="B3498" s="51" t="s">
        <v>127</v>
      </c>
      <c r="C3498" s="52">
        <v>426</v>
      </c>
      <c r="D3498" s="53" t="s">
        <v>4330</v>
      </c>
      <c r="E3498" s="54"/>
      <c r="F3498" s="52" t="str">
        <f>IF(INDEX(I.CCUS.EndRange,426)="","",INDEX(I.CCUS.EndRange,426))</f>
        <v/>
      </c>
      <c r="G3498" s="54"/>
      <c r="H3498" s="52" t="str">
        <f>IF(AND(I.Compliance.FulfilledCCUS&gt;0,I.CCUS.RangeCount&gt;=426,F3498=""),"Incomplete","Complete")</f>
        <v>Complete</v>
      </c>
      <c r="I3498" s="55" t="s">
        <v>3695</v>
      </c>
    </row>
    <row r="3499" spans="2:9" ht="15" customHeight="1" x14ac:dyDescent="0.25">
      <c r="B3499" s="51" t="s">
        <v>127</v>
      </c>
      <c r="C3499" s="52">
        <v>427</v>
      </c>
      <c r="D3499" s="53" t="s">
        <v>4330</v>
      </c>
      <c r="E3499" s="54"/>
      <c r="F3499" s="52" t="str">
        <f>IF(INDEX(I.CCUS.EndRange,427)="","",INDEX(I.CCUS.EndRange,427))</f>
        <v/>
      </c>
      <c r="G3499" s="54"/>
      <c r="H3499" s="52" t="str">
        <f>IF(AND(I.Compliance.FulfilledCCUS&gt;0,I.CCUS.RangeCount&gt;=427,F3499=""),"Incomplete","Complete")</f>
        <v>Complete</v>
      </c>
      <c r="I3499" s="55" t="s">
        <v>3696</v>
      </c>
    </row>
    <row r="3500" spans="2:9" ht="15" customHeight="1" x14ac:dyDescent="0.25">
      <c r="B3500" s="51" t="s">
        <v>127</v>
      </c>
      <c r="C3500" s="52">
        <v>428</v>
      </c>
      <c r="D3500" s="53" t="s">
        <v>4330</v>
      </c>
      <c r="E3500" s="54"/>
      <c r="F3500" s="52" t="str">
        <f>IF(INDEX(I.CCUS.EndRange,428)="","",INDEX(I.CCUS.EndRange,428))</f>
        <v/>
      </c>
      <c r="G3500" s="54"/>
      <c r="H3500" s="52" t="str">
        <f>IF(AND(I.Compliance.FulfilledCCUS&gt;0,I.CCUS.RangeCount&gt;=428,F3500=""),"Incomplete","Complete")</f>
        <v>Complete</v>
      </c>
      <c r="I3500" s="55" t="s">
        <v>3697</v>
      </c>
    </row>
    <row r="3501" spans="2:9" ht="15" customHeight="1" x14ac:dyDescent="0.25">
      <c r="B3501" s="51" t="s">
        <v>127</v>
      </c>
      <c r="C3501" s="52">
        <v>429</v>
      </c>
      <c r="D3501" s="53" t="s">
        <v>4330</v>
      </c>
      <c r="E3501" s="54"/>
      <c r="F3501" s="52" t="str">
        <f>IF(INDEX(I.CCUS.EndRange,429)="","",INDEX(I.CCUS.EndRange,429))</f>
        <v/>
      </c>
      <c r="G3501" s="54"/>
      <c r="H3501" s="52" t="str">
        <f>IF(AND(I.Compliance.FulfilledCCUS&gt;0,I.CCUS.RangeCount&gt;=429,F3501=""),"Incomplete","Complete")</f>
        <v>Complete</v>
      </c>
      <c r="I3501" s="55" t="s">
        <v>3698</v>
      </c>
    </row>
    <row r="3502" spans="2:9" ht="15" customHeight="1" x14ac:dyDescent="0.25">
      <c r="B3502" s="51" t="s">
        <v>127</v>
      </c>
      <c r="C3502" s="52">
        <v>430</v>
      </c>
      <c r="D3502" s="53" t="s">
        <v>4330</v>
      </c>
      <c r="E3502" s="54"/>
      <c r="F3502" s="52" t="str">
        <f>IF(INDEX(I.CCUS.EndRange,430)="","",INDEX(I.CCUS.EndRange,430))</f>
        <v/>
      </c>
      <c r="G3502" s="54"/>
      <c r="H3502" s="52" t="str">
        <f>IF(AND(I.Compliance.FulfilledCCUS&gt;0,I.CCUS.RangeCount&gt;=430,F3502=""),"Incomplete","Complete")</f>
        <v>Complete</v>
      </c>
      <c r="I3502" s="55" t="s">
        <v>3699</v>
      </c>
    </row>
    <row r="3503" spans="2:9" ht="15" customHeight="1" x14ac:dyDescent="0.25">
      <c r="B3503" s="51" t="s">
        <v>127</v>
      </c>
      <c r="C3503" s="52">
        <v>431</v>
      </c>
      <c r="D3503" s="53" t="s">
        <v>4330</v>
      </c>
      <c r="E3503" s="54"/>
      <c r="F3503" s="52" t="str">
        <f>IF(INDEX(I.CCUS.EndRange,431)="","",INDEX(I.CCUS.EndRange,431))</f>
        <v/>
      </c>
      <c r="G3503" s="54"/>
      <c r="H3503" s="52" t="str">
        <f>IF(AND(I.Compliance.FulfilledCCUS&gt;0,I.CCUS.RangeCount&gt;=431,F3503=""),"Incomplete","Complete")</f>
        <v>Complete</v>
      </c>
      <c r="I3503" s="55" t="s">
        <v>3700</v>
      </c>
    </row>
    <row r="3504" spans="2:9" ht="15" customHeight="1" x14ac:dyDescent="0.25">
      <c r="B3504" s="51" t="s">
        <v>127</v>
      </c>
      <c r="C3504" s="52">
        <v>432</v>
      </c>
      <c r="D3504" s="53" t="s">
        <v>4330</v>
      </c>
      <c r="E3504" s="54"/>
      <c r="F3504" s="52" t="str">
        <f>IF(INDEX(I.CCUS.EndRange,432)="","",INDEX(I.CCUS.EndRange,432))</f>
        <v/>
      </c>
      <c r="G3504" s="54"/>
      <c r="H3504" s="52" t="str">
        <f>IF(AND(I.Compliance.FulfilledCCUS&gt;0,I.CCUS.RangeCount&gt;=432,F3504=""),"Incomplete","Complete")</f>
        <v>Complete</v>
      </c>
      <c r="I3504" s="55" t="s">
        <v>3701</v>
      </c>
    </row>
    <row r="3505" spans="2:9" ht="15" customHeight="1" x14ac:dyDescent="0.25">
      <c r="B3505" s="51" t="s">
        <v>127</v>
      </c>
      <c r="C3505" s="52">
        <v>433</v>
      </c>
      <c r="D3505" s="53" t="s">
        <v>4330</v>
      </c>
      <c r="E3505" s="54"/>
      <c r="F3505" s="52" t="str">
        <f>IF(INDEX(I.CCUS.EndRange,433)="","",INDEX(I.CCUS.EndRange,433))</f>
        <v/>
      </c>
      <c r="G3505" s="54"/>
      <c r="H3505" s="52" t="str">
        <f>IF(AND(I.Compliance.FulfilledCCUS&gt;0,I.CCUS.RangeCount&gt;=433,F3505=""),"Incomplete","Complete")</f>
        <v>Complete</v>
      </c>
      <c r="I3505" s="55" t="s">
        <v>3702</v>
      </c>
    </row>
    <row r="3506" spans="2:9" ht="15" customHeight="1" x14ac:dyDescent="0.25">
      <c r="B3506" s="51" t="s">
        <v>127</v>
      </c>
      <c r="C3506" s="52">
        <v>434</v>
      </c>
      <c r="D3506" s="53" t="s">
        <v>4330</v>
      </c>
      <c r="E3506" s="54"/>
      <c r="F3506" s="52" t="str">
        <f>IF(INDEX(I.CCUS.EndRange,434)="","",INDEX(I.CCUS.EndRange,434))</f>
        <v/>
      </c>
      <c r="G3506" s="54"/>
      <c r="H3506" s="52" t="str">
        <f>IF(AND(I.Compliance.FulfilledCCUS&gt;0,I.CCUS.RangeCount&gt;=434,F3506=""),"Incomplete","Complete")</f>
        <v>Complete</v>
      </c>
      <c r="I3506" s="55" t="s">
        <v>3703</v>
      </c>
    </row>
    <row r="3507" spans="2:9" ht="15" customHeight="1" x14ac:dyDescent="0.25">
      <c r="B3507" s="51" t="s">
        <v>127</v>
      </c>
      <c r="C3507" s="52">
        <v>435</v>
      </c>
      <c r="D3507" s="53" t="s">
        <v>4330</v>
      </c>
      <c r="E3507" s="54"/>
      <c r="F3507" s="52" t="str">
        <f>IF(INDEX(I.CCUS.EndRange,435)="","",INDEX(I.CCUS.EndRange,435))</f>
        <v/>
      </c>
      <c r="G3507" s="54"/>
      <c r="H3507" s="52" t="str">
        <f>IF(AND(I.Compliance.FulfilledCCUS&gt;0,I.CCUS.RangeCount&gt;=435,F3507=""),"Incomplete","Complete")</f>
        <v>Complete</v>
      </c>
      <c r="I3507" s="55" t="s">
        <v>3704</v>
      </c>
    </row>
    <row r="3508" spans="2:9" ht="15" customHeight="1" x14ac:dyDescent="0.25">
      <c r="B3508" s="51" t="s">
        <v>127</v>
      </c>
      <c r="C3508" s="52">
        <v>436</v>
      </c>
      <c r="D3508" s="53" t="s">
        <v>4330</v>
      </c>
      <c r="E3508" s="54"/>
      <c r="F3508" s="52" t="str">
        <f>IF(INDEX(I.CCUS.EndRange,436)="","",INDEX(I.CCUS.EndRange,436))</f>
        <v/>
      </c>
      <c r="G3508" s="54"/>
      <c r="H3508" s="52" t="str">
        <f>IF(AND(I.Compliance.FulfilledCCUS&gt;0,I.CCUS.RangeCount&gt;=436,F3508=""),"Incomplete","Complete")</f>
        <v>Complete</v>
      </c>
      <c r="I3508" s="55" t="s">
        <v>3705</v>
      </c>
    </row>
    <row r="3509" spans="2:9" ht="15" customHeight="1" x14ac:dyDescent="0.25">
      <c r="B3509" s="51" t="s">
        <v>127</v>
      </c>
      <c r="C3509" s="52">
        <v>437</v>
      </c>
      <c r="D3509" s="53" t="s">
        <v>4330</v>
      </c>
      <c r="E3509" s="54"/>
      <c r="F3509" s="52" t="str">
        <f>IF(INDEX(I.CCUS.EndRange,437)="","",INDEX(I.CCUS.EndRange,437))</f>
        <v/>
      </c>
      <c r="G3509" s="54"/>
      <c r="H3509" s="52" t="str">
        <f>IF(AND(I.Compliance.FulfilledCCUS&gt;0,I.CCUS.RangeCount&gt;=437,F3509=""),"Incomplete","Complete")</f>
        <v>Complete</v>
      </c>
      <c r="I3509" s="55" t="s">
        <v>3706</v>
      </c>
    </row>
    <row r="3510" spans="2:9" ht="15" customHeight="1" x14ac:dyDescent="0.25">
      <c r="B3510" s="51" t="s">
        <v>127</v>
      </c>
      <c r="C3510" s="52">
        <v>438</v>
      </c>
      <c r="D3510" s="53" t="s">
        <v>4330</v>
      </c>
      <c r="E3510" s="54"/>
      <c r="F3510" s="52" t="str">
        <f>IF(INDEX(I.CCUS.EndRange,438)="","",INDEX(I.CCUS.EndRange,438))</f>
        <v/>
      </c>
      <c r="G3510" s="54"/>
      <c r="H3510" s="52" t="str">
        <f>IF(AND(I.Compliance.FulfilledCCUS&gt;0,I.CCUS.RangeCount&gt;=438,F3510=""),"Incomplete","Complete")</f>
        <v>Complete</v>
      </c>
      <c r="I3510" s="55" t="s">
        <v>3707</v>
      </c>
    </row>
    <row r="3511" spans="2:9" ht="15" customHeight="1" x14ac:dyDescent="0.25">
      <c r="B3511" s="51" t="s">
        <v>127</v>
      </c>
      <c r="C3511" s="52">
        <v>439</v>
      </c>
      <c r="D3511" s="53" t="s">
        <v>4330</v>
      </c>
      <c r="E3511" s="54"/>
      <c r="F3511" s="52" t="str">
        <f>IF(INDEX(I.CCUS.EndRange,439)="","",INDEX(I.CCUS.EndRange,439))</f>
        <v/>
      </c>
      <c r="G3511" s="54"/>
      <c r="H3511" s="52" t="str">
        <f>IF(AND(I.Compliance.FulfilledCCUS&gt;0,I.CCUS.RangeCount&gt;=439,F3511=""),"Incomplete","Complete")</f>
        <v>Complete</v>
      </c>
      <c r="I3511" s="55" t="s">
        <v>3708</v>
      </c>
    </row>
    <row r="3512" spans="2:9" ht="15" customHeight="1" x14ac:dyDescent="0.25">
      <c r="B3512" s="51" t="s">
        <v>127</v>
      </c>
      <c r="C3512" s="52">
        <v>440</v>
      </c>
      <c r="D3512" s="53" t="s">
        <v>4330</v>
      </c>
      <c r="E3512" s="54"/>
      <c r="F3512" s="52" t="str">
        <f>IF(INDEX(I.CCUS.EndRange,440)="","",INDEX(I.CCUS.EndRange,440))</f>
        <v/>
      </c>
      <c r="G3512" s="54"/>
      <c r="H3512" s="52" t="str">
        <f>IF(AND(I.Compliance.FulfilledCCUS&gt;0,I.CCUS.RangeCount&gt;=440,F3512=""),"Incomplete","Complete")</f>
        <v>Complete</v>
      </c>
      <c r="I3512" s="55" t="s">
        <v>3709</v>
      </c>
    </row>
    <row r="3513" spans="2:9" ht="15" customHeight="1" x14ac:dyDescent="0.25">
      <c r="B3513" s="51" t="s">
        <v>127</v>
      </c>
      <c r="C3513" s="52">
        <v>441</v>
      </c>
      <c r="D3513" s="53" t="s">
        <v>4330</v>
      </c>
      <c r="E3513" s="54"/>
      <c r="F3513" s="52" t="str">
        <f>IF(INDEX(I.CCUS.EndRange,441)="","",INDEX(I.CCUS.EndRange,441))</f>
        <v/>
      </c>
      <c r="G3513" s="54"/>
      <c r="H3513" s="52" t="str">
        <f>IF(AND(I.Compliance.FulfilledCCUS&gt;0,I.CCUS.RangeCount&gt;=441,F3513=""),"Incomplete","Complete")</f>
        <v>Complete</v>
      </c>
      <c r="I3513" s="55" t="s">
        <v>3710</v>
      </c>
    </row>
    <row r="3514" spans="2:9" ht="15" customHeight="1" x14ac:dyDescent="0.25">
      <c r="B3514" s="51" t="s">
        <v>127</v>
      </c>
      <c r="C3514" s="52">
        <v>442</v>
      </c>
      <c r="D3514" s="53" t="s">
        <v>4330</v>
      </c>
      <c r="E3514" s="54"/>
      <c r="F3514" s="52" t="str">
        <f>IF(INDEX(I.CCUS.EndRange,442)="","",INDEX(I.CCUS.EndRange,442))</f>
        <v/>
      </c>
      <c r="G3514" s="54"/>
      <c r="H3514" s="52" t="str">
        <f>IF(AND(I.Compliance.FulfilledCCUS&gt;0,I.CCUS.RangeCount&gt;=442,F3514=""),"Incomplete","Complete")</f>
        <v>Complete</v>
      </c>
      <c r="I3514" s="55" t="s">
        <v>3711</v>
      </c>
    </row>
    <row r="3515" spans="2:9" ht="15" customHeight="1" x14ac:dyDescent="0.25">
      <c r="B3515" s="51" t="s">
        <v>127</v>
      </c>
      <c r="C3515" s="52">
        <v>443</v>
      </c>
      <c r="D3515" s="53" t="s">
        <v>4330</v>
      </c>
      <c r="E3515" s="54"/>
      <c r="F3515" s="52" t="str">
        <f>IF(INDEX(I.CCUS.EndRange,443)="","",INDEX(I.CCUS.EndRange,443))</f>
        <v/>
      </c>
      <c r="G3515" s="54"/>
      <c r="H3515" s="52" t="str">
        <f>IF(AND(I.Compliance.FulfilledCCUS&gt;0,I.CCUS.RangeCount&gt;=443,F3515=""),"Incomplete","Complete")</f>
        <v>Complete</v>
      </c>
      <c r="I3515" s="55" t="s">
        <v>3712</v>
      </c>
    </row>
    <row r="3516" spans="2:9" ht="15" customHeight="1" x14ac:dyDescent="0.25">
      <c r="B3516" s="51" t="s">
        <v>127</v>
      </c>
      <c r="C3516" s="52">
        <v>444</v>
      </c>
      <c r="D3516" s="53" t="s">
        <v>4330</v>
      </c>
      <c r="E3516" s="54"/>
      <c r="F3516" s="52" t="str">
        <f>IF(INDEX(I.CCUS.EndRange,444)="","",INDEX(I.CCUS.EndRange,444))</f>
        <v/>
      </c>
      <c r="G3516" s="54"/>
      <c r="H3516" s="52" t="str">
        <f>IF(AND(I.Compliance.FulfilledCCUS&gt;0,I.CCUS.RangeCount&gt;=444,F3516=""),"Incomplete","Complete")</f>
        <v>Complete</v>
      </c>
      <c r="I3516" s="55" t="s">
        <v>3713</v>
      </c>
    </row>
    <row r="3517" spans="2:9" ht="15" customHeight="1" x14ac:dyDescent="0.25">
      <c r="B3517" s="51" t="s">
        <v>127</v>
      </c>
      <c r="C3517" s="52">
        <v>445</v>
      </c>
      <c r="D3517" s="53" t="s">
        <v>4330</v>
      </c>
      <c r="E3517" s="54"/>
      <c r="F3517" s="52" t="str">
        <f>IF(INDEX(I.CCUS.EndRange,445)="","",INDEX(I.CCUS.EndRange,445))</f>
        <v/>
      </c>
      <c r="G3517" s="54"/>
      <c r="H3517" s="52" t="str">
        <f>IF(AND(I.Compliance.FulfilledCCUS&gt;0,I.CCUS.RangeCount&gt;=445,F3517=""),"Incomplete","Complete")</f>
        <v>Complete</v>
      </c>
      <c r="I3517" s="55" t="s">
        <v>3714</v>
      </c>
    </row>
    <row r="3518" spans="2:9" ht="15" customHeight="1" x14ac:dyDescent="0.25">
      <c r="B3518" s="51" t="s">
        <v>127</v>
      </c>
      <c r="C3518" s="52">
        <v>446</v>
      </c>
      <c r="D3518" s="53" t="s">
        <v>4330</v>
      </c>
      <c r="E3518" s="54"/>
      <c r="F3518" s="52" t="str">
        <f>IF(INDEX(I.CCUS.EndRange,446)="","",INDEX(I.CCUS.EndRange,446))</f>
        <v/>
      </c>
      <c r="G3518" s="54"/>
      <c r="H3518" s="52" t="str">
        <f>IF(AND(I.Compliance.FulfilledCCUS&gt;0,I.CCUS.RangeCount&gt;=446,F3518=""),"Incomplete","Complete")</f>
        <v>Complete</v>
      </c>
      <c r="I3518" s="55" t="s">
        <v>3715</v>
      </c>
    </row>
    <row r="3519" spans="2:9" ht="15" customHeight="1" x14ac:dyDescent="0.25">
      <c r="B3519" s="51" t="s">
        <v>127</v>
      </c>
      <c r="C3519" s="52">
        <v>447</v>
      </c>
      <c r="D3519" s="53" t="s">
        <v>4330</v>
      </c>
      <c r="E3519" s="54"/>
      <c r="F3519" s="52" t="str">
        <f>IF(INDEX(I.CCUS.EndRange,447)="","",INDEX(I.CCUS.EndRange,447))</f>
        <v/>
      </c>
      <c r="G3519" s="54"/>
      <c r="H3519" s="52" t="str">
        <f>IF(AND(I.Compliance.FulfilledCCUS&gt;0,I.CCUS.RangeCount&gt;=447,F3519=""),"Incomplete","Complete")</f>
        <v>Complete</v>
      </c>
      <c r="I3519" s="55" t="s">
        <v>3716</v>
      </c>
    </row>
    <row r="3520" spans="2:9" ht="15" customHeight="1" x14ac:dyDescent="0.25">
      <c r="B3520" s="51" t="s">
        <v>127</v>
      </c>
      <c r="C3520" s="52">
        <v>448</v>
      </c>
      <c r="D3520" s="53" t="s">
        <v>4330</v>
      </c>
      <c r="E3520" s="54"/>
      <c r="F3520" s="52" t="str">
        <f>IF(INDEX(I.CCUS.EndRange,448)="","",INDEX(I.CCUS.EndRange,448))</f>
        <v/>
      </c>
      <c r="G3520" s="54"/>
      <c r="H3520" s="52" t="str">
        <f>IF(AND(I.Compliance.FulfilledCCUS&gt;0,I.CCUS.RangeCount&gt;=448,F3520=""),"Incomplete","Complete")</f>
        <v>Complete</v>
      </c>
      <c r="I3520" s="55" t="s">
        <v>3717</v>
      </c>
    </row>
    <row r="3521" spans="2:9" ht="15" customHeight="1" x14ac:dyDescent="0.25">
      <c r="B3521" s="51" t="s">
        <v>127</v>
      </c>
      <c r="C3521" s="52">
        <v>449</v>
      </c>
      <c r="D3521" s="53" t="s">
        <v>4330</v>
      </c>
      <c r="E3521" s="54"/>
      <c r="F3521" s="52" t="str">
        <f>IF(INDEX(I.CCUS.EndRange,449)="","",INDEX(I.CCUS.EndRange,449))</f>
        <v/>
      </c>
      <c r="G3521" s="54"/>
      <c r="H3521" s="52" t="str">
        <f>IF(AND(I.Compliance.FulfilledCCUS&gt;0,I.CCUS.RangeCount&gt;=449,F3521=""),"Incomplete","Complete")</f>
        <v>Complete</v>
      </c>
      <c r="I3521" s="55" t="s">
        <v>3718</v>
      </c>
    </row>
    <row r="3522" spans="2:9" ht="15" customHeight="1" x14ac:dyDescent="0.25">
      <c r="B3522" s="51" t="s">
        <v>127</v>
      </c>
      <c r="C3522" s="52">
        <v>450</v>
      </c>
      <c r="D3522" s="53" t="s">
        <v>4330</v>
      </c>
      <c r="E3522" s="54"/>
      <c r="F3522" s="52" t="str">
        <f>IF(INDEX(I.CCUS.EndRange,450)="","",INDEX(I.CCUS.EndRange,450))</f>
        <v/>
      </c>
      <c r="G3522" s="54"/>
      <c r="H3522" s="52" t="str">
        <f>IF(AND(I.Compliance.FulfilledCCUS&gt;0,I.CCUS.RangeCount&gt;=450,F3522=""),"Incomplete","Complete")</f>
        <v>Complete</v>
      </c>
      <c r="I3522" s="55" t="s">
        <v>3719</v>
      </c>
    </row>
    <row r="3523" spans="2:9" ht="15" customHeight="1" x14ac:dyDescent="0.25">
      <c r="B3523" s="51" t="s">
        <v>127</v>
      </c>
      <c r="C3523" s="52">
        <v>451</v>
      </c>
      <c r="D3523" s="53" t="s">
        <v>4330</v>
      </c>
      <c r="E3523" s="54"/>
      <c r="F3523" s="52" t="str">
        <f>IF(INDEX(I.CCUS.EndRange,451)="","",INDEX(I.CCUS.EndRange,451))</f>
        <v/>
      </c>
      <c r="G3523" s="54"/>
      <c r="H3523" s="52" t="str">
        <f>IF(AND(I.Compliance.FulfilledCCUS&gt;0,I.CCUS.RangeCount&gt;=451,F3523=""),"Incomplete","Complete")</f>
        <v>Complete</v>
      </c>
      <c r="I3523" s="55" t="s">
        <v>3720</v>
      </c>
    </row>
    <row r="3524" spans="2:9" ht="15" customHeight="1" x14ac:dyDescent="0.25">
      <c r="B3524" s="51" t="s">
        <v>127</v>
      </c>
      <c r="C3524" s="52">
        <v>452</v>
      </c>
      <c r="D3524" s="53" t="s">
        <v>4330</v>
      </c>
      <c r="E3524" s="54"/>
      <c r="F3524" s="52" t="str">
        <f>IF(INDEX(I.CCUS.EndRange,452)="","",INDEX(I.CCUS.EndRange,452))</f>
        <v/>
      </c>
      <c r="G3524" s="54"/>
      <c r="H3524" s="52" t="str">
        <f>IF(AND(I.Compliance.FulfilledCCUS&gt;0,I.CCUS.RangeCount&gt;=452,F3524=""),"Incomplete","Complete")</f>
        <v>Complete</v>
      </c>
      <c r="I3524" s="55" t="s">
        <v>3721</v>
      </c>
    </row>
    <row r="3525" spans="2:9" ht="15" customHeight="1" x14ac:dyDescent="0.25">
      <c r="B3525" s="51" t="s">
        <v>127</v>
      </c>
      <c r="C3525" s="52">
        <v>453</v>
      </c>
      <c r="D3525" s="53" t="s">
        <v>4330</v>
      </c>
      <c r="E3525" s="54"/>
      <c r="F3525" s="52" t="str">
        <f>IF(INDEX(I.CCUS.EndRange,453)="","",INDEX(I.CCUS.EndRange,453))</f>
        <v/>
      </c>
      <c r="G3525" s="54"/>
      <c r="H3525" s="52" t="str">
        <f>IF(AND(I.Compliance.FulfilledCCUS&gt;0,I.CCUS.RangeCount&gt;=453,F3525=""),"Incomplete","Complete")</f>
        <v>Complete</v>
      </c>
      <c r="I3525" s="55" t="s">
        <v>3722</v>
      </c>
    </row>
    <row r="3526" spans="2:9" ht="15" customHeight="1" x14ac:dyDescent="0.25">
      <c r="B3526" s="51" t="s">
        <v>127</v>
      </c>
      <c r="C3526" s="52">
        <v>454</v>
      </c>
      <c r="D3526" s="53" t="s">
        <v>4330</v>
      </c>
      <c r="E3526" s="54"/>
      <c r="F3526" s="52" t="str">
        <f>IF(INDEX(I.CCUS.EndRange,454)="","",INDEX(I.CCUS.EndRange,454))</f>
        <v/>
      </c>
      <c r="G3526" s="54"/>
      <c r="H3526" s="52" t="str">
        <f>IF(AND(I.Compliance.FulfilledCCUS&gt;0,I.CCUS.RangeCount&gt;=454,F3526=""),"Incomplete","Complete")</f>
        <v>Complete</v>
      </c>
      <c r="I3526" s="55" t="s">
        <v>3723</v>
      </c>
    </row>
    <row r="3527" spans="2:9" ht="15" customHeight="1" x14ac:dyDescent="0.25">
      <c r="B3527" s="51" t="s">
        <v>127</v>
      </c>
      <c r="C3527" s="52">
        <v>455</v>
      </c>
      <c r="D3527" s="53" t="s">
        <v>4330</v>
      </c>
      <c r="E3527" s="54"/>
      <c r="F3527" s="52" t="str">
        <f>IF(INDEX(I.CCUS.EndRange,455)="","",INDEX(I.CCUS.EndRange,455))</f>
        <v/>
      </c>
      <c r="G3527" s="54"/>
      <c r="H3527" s="52" t="str">
        <f>IF(AND(I.Compliance.FulfilledCCUS&gt;0,I.CCUS.RangeCount&gt;=455,F3527=""),"Incomplete","Complete")</f>
        <v>Complete</v>
      </c>
      <c r="I3527" s="55" t="s">
        <v>3724</v>
      </c>
    </row>
    <row r="3528" spans="2:9" ht="15" customHeight="1" x14ac:dyDescent="0.25">
      <c r="B3528" s="51" t="s">
        <v>127</v>
      </c>
      <c r="C3528" s="52">
        <v>456</v>
      </c>
      <c r="D3528" s="53" t="s">
        <v>4330</v>
      </c>
      <c r="E3528" s="54"/>
      <c r="F3528" s="52" t="str">
        <f>IF(INDEX(I.CCUS.EndRange,456)="","",INDEX(I.CCUS.EndRange,456))</f>
        <v/>
      </c>
      <c r="G3528" s="54"/>
      <c r="H3528" s="52" t="str">
        <f>IF(AND(I.Compliance.FulfilledCCUS&gt;0,I.CCUS.RangeCount&gt;=456,F3528=""),"Incomplete","Complete")</f>
        <v>Complete</v>
      </c>
      <c r="I3528" s="55" t="s">
        <v>3725</v>
      </c>
    </row>
    <row r="3529" spans="2:9" ht="15" customHeight="1" x14ac:dyDescent="0.25">
      <c r="B3529" s="51" t="s">
        <v>127</v>
      </c>
      <c r="C3529" s="52">
        <v>457</v>
      </c>
      <c r="D3529" s="53" t="s">
        <v>4330</v>
      </c>
      <c r="E3529" s="54"/>
      <c r="F3529" s="52" t="str">
        <f>IF(INDEX(I.CCUS.EndRange,457)="","",INDEX(I.CCUS.EndRange,457))</f>
        <v/>
      </c>
      <c r="G3529" s="54"/>
      <c r="H3529" s="52" t="str">
        <f>IF(AND(I.Compliance.FulfilledCCUS&gt;0,I.CCUS.RangeCount&gt;=457,F3529=""),"Incomplete","Complete")</f>
        <v>Complete</v>
      </c>
      <c r="I3529" s="55" t="s">
        <v>3726</v>
      </c>
    </row>
    <row r="3530" spans="2:9" ht="15" customHeight="1" x14ac:dyDescent="0.25">
      <c r="B3530" s="51" t="s">
        <v>127</v>
      </c>
      <c r="C3530" s="52">
        <v>458</v>
      </c>
      <c r="D3530" s="53" t="s">
        <v>4330</v>
      </c>
      <c r="E3530" s="54"/>
      <c r="F3530" s="52" t="str">
        <f>IF(INDEX(I.CCUS.EndRange,458)="","",INDEX(I.CCUS.EndRange,458))</f>
        <v/>
      </c>
      <c r="G3530" s="54"/>
      <c r="H3530" s="52" t="str">
        <f>IF(AND(I.Compliance.FulfilledCCUS&gt;0,I.CCUS.RangeCount&gt;=458,F3530=""),"Incomplete","Complete")</f>
        <v>Complete</v>
      </c>
      <c r="I3530" s="55" t="s">
        <v>3727</v>
      </c>
    </row>
    <row r="3531" spans="2:9" ht="15" customHeight="1" x14ac:dyDescent="0.25">
      <c r="B3531" s="51" t="s">
        <v>127</v>
      </c>
      <c r="C3531" s="52">
        <v>459</v>
      </c>
      <c r="D3531" s="53" t="s">
        <v>4330</v>
      </c>
      <c r="E3531" s="54"/>
      <c r="F3531" s="52" t="str">
        <f>IF(INDEX(I.CCUS.EndRange,459)="","",INDEX(I.CCUS.EndRange,459))</f>
        <v/>
      </c>
      <c r="G3531" s="54"/>
      <c r="H3531" s="52" t="str">
        <f>IF(AND(I.Compliance.FulfilledCCUS&gt;0,I.CCUS.RangeCount&gt;=459,F3531=""),"Incomplete","Complete")</f>
        <v>Complete</v>
      </c>
      <c r="I3531" s="55" t="s">
        <v>3728</v>
      </c>
    </row>
    <row r="3532" spans="2:9" ht="15" customHeight="1" x14ac:dyDescent="0.25">
      <c r="B3532" s="51" t="s">
        <v>127</v>
      </c>
      <c r="C3532" s="52">
        <v>460</v>
      </c>
      <c r="D3532" s="53" t="s">
        <v>4330</v>
      </c>
      <c r="E3532" s="54"/>
      <c r="F3532" s="52" t="str">
        <f>IF(INDEX(I.CCUS.EndRange,460)="","",INDEX(I.CCUS.EndRange,460))</f>
        <v/>
      </c>
      <c r="G3532" s="54"/>
      <c r="H3532" s="52" t="str">
        <f>IF(AND(I.Compliance.FulfilledCCUS&gt;0,I.CCUS.RangeCount&gt;=460,F3532=""),"Incomplete","Complete")</f>
        <v>Complete</v>
      </c>
      <c r="I3532" s="55" t="s">
        <v>3729</v>
      </c>
    </row>
    <row r="3533" spans="2:9" ht="15" customHeight="1" x14ac:dyDescent="0.25">
      <c r="B3533" s="51" t="s">
        <v>127</v>
      </c>
      <c r="C3533" s="52">
        <v>461</v>
      </c>
      <c r="D3533" s="53" t="s">
        <v>4330</v>
      </c>
      <c r="E3533" s="54"/>
      <c r="F3533" s="52" t="str">
        <f>IF(INDEX(I.CCUS.EndRange,461)="","",INDEX(I.CCUS.EndRange,461))</f>
        <v/>
      </c>
      <c r="G3533" s="54"/>
      <c r="H3533" s="52" t="str">
        <f>IF(AND(I.Compliance.FulfilledCCUS&gt;0,I.CCUS.RangeCount&gt;=461,F3533=""),"Incomplete","Complete")</f>
        <v>Complete</v>
      </c>
      <c r="I3533" s="55" t="s">
        <v>3730</v>
      </c>
    </row>
    <row r="3534" spans="2:9" ht="15" customHeight="1" x14ac:dyDescent="0.25">
      <c r="B3534" s="51" t="s">
        <v>127</v>
      </c>
      <c r="C3534" s="52">
        <v>462</v>
      </c>
      <c r="D3534" s="53" t="s">
        <v>4330</v>
      </c>
      <c r="E3534" s="54"/>
      <c r="F3534" s="52" t="str">
        <f>IF(INDEX(I.CCUS.EndRange,462)="","",INDEX(I.CCUS.EndRange,462))</f>
        <v/>
      </c>
      <c r="G3534" s="54"/>
      <c r="H3534" s="52" t="str">
        <f>IF(AND(I.Compliance.FulfilledCCUS&gt;0,I.CCUS.RangeCount&gt;=462,F3534=""),"Incomplete","Complete")</f>
        <v>Complete</v>
      </c>
      <c r="I3534" s="55" t="s">
        <v>3731</v>
      </c>
    </row>
    <row r="3535" spans="2:9" ht="15" customHeight="1" x14ac:dyDescent="0.25">
      <c r="B3535" s="51" t="s">
        <v>127</v>
      </c>
      <c r="C3535" s="52">
        <v>463</v>
      </c>
      <c r="D3535" s="53" t="s">
        <v>4330</v>
      </c>
      <c r="E3535" s="54"/>
      <c r="F3535" s="52" t="str">
        <f>IF(INDEX(I.CCUS.EndRange,463)="","",INDEX(I.CCUS.EndRange,463))</f>
        <v/>
      </c>
      <c r="G3535" s="54"/>
      <c r="H3535" s="52" t="str">
        <f>IF(AND(I.Compliance.FulfilledCCUS&gt;0,I.CCUS.RangeCount&gt;=463,F3535=""),"Incomplete","Complete")</f>
        <v>Complete</v>
      </c>
      <c r="I3535" s="55" t="s">
        <v>3732</v>
      </c>
    </row>
    <row r="3536" spans="2:9" ht="15" customHeight="1" x14ac:dyDescent="0.25">
      <c r="B3536" s="51" t="s">
        <v>127</v>
      </c>
      <c r="C3536" s="52">
        <v>464</v>
      </c>
      <c r="D3536" s="53" t="s">
        <v>4330</v>
      </c>
      <c r="E3536" s="54"/>
      <c r="F3536" s="52" t="str">
        <f>IF(INDEX(I.CCUS.EndRange,464)="","",INDEX(I.CCUS.EndRange,464))</f>
        <v/>
      </c>
      <c r="G3536" s="54"/>
      <c r="H3536" s="52" t="str">
        <f>IF(AND(I.Compliance.FulfilledCCUS&gt;0,I.CCUS.RangeCount&gt;=464,F3536=""),"Incomplete","Complete")</f>
        <v>Complete</v>
      </c>
      <c r="I3536" s="55" t="s">
        <v>3733</v>
      </c>
    </row>
    <row r="3537" spans="2:9" ht="15" customHeight="1" x14ac:dyDescent="0.25">
      <c r="B3537" s="51" t="s">
        <v>127</v>
      </c>
      <c r="C3537" s="52">
        <v>465</v>
      </c>
      <c r="D3537" s="53" t="s">
        <v>4330</v>
      </c>
      <c r="E3537" s="54"/>
      <c r="F3537" s="52" t="str">
        <f>IF(INDEX(I.CCUS.EndRange,465)="","",INDEX(I.CCUS.EndRange,465))</f>
        <v/>
      </c>
      <c r="G3537" s="54"/>
      <c r="H3537" s="52" t="str">
        <f>IF(AND(I.Compliance.FulfilledCCUS&gt;0,I.CCUS.RangeCount&gt;=465,F3537=""),"Incomplete","Complete")</f>
        <v>Complete</v>
      </c>
      <c r="I3537" s="55" t="s">
        <v>3734</v>
      </c>
    </row>
    <row r="3538" spans="2:9" ht="15" customHeight="1" x14ac:dyDescent="0.25">
      <c r="B3538" s="51" t="s">
        <v>127</v>
      </c>
      <c r="C3538" s="52">
        <v>466</v>
      </c>
      <c r="D3538" s="53" t="s">
        <v>4330</v>
      </c>
      <c r="E3538" s="54"/>
      <c r="F3538" s="52" t="str">
        <f>IF(INDEX(I.CCUS.EndRange,466)="","",INDEX(I.CCUS.EndRange,466))</f>
        <v/>
      </c>
      <c r="G3538" s="54"/>
      <c r="H3538" s="52" t="str">
        <f>IF(AND(I.Compliance.FulfilledCCUS&gt;0,I.CCUS.RangeCount&gt;=466,F3538=""),"Incomplete","Complete")</f>
        <v>Complete</v>
      </c>
      <c r="I3538" s="55" t="s">
        <v>3735</v>
      </c>
    </row>
    <row r="3539" spans="2:9" ht="15" customHeight="1" x14ac:dyDescent="0.25">
      <c r="B3539" s="51" t="s">
        <v>127</v>
      </c>
      <c r="C3539" s="52">
        <v>467</v>
      </c>
      <c r="D3539" s="53" t="s">
        <v>4330</v>
      </c>
      <c r="E3539" s="54"/>
      <c r="F3539" s="52" t="str">
        <f>IF(INDEX(I.CCUS.EndRange,467)="","",INDEX(I.CCUS.EndRange,467))</f>
        <v/>
      </c>
      <c r="G3539" s="54"/>
      <c r="H3539" s="52" t="str">
        <f>IF(AND(I.Compliance.FulfilledCCUS&gt;0,I.CCUS.RangeCount&gt;=467,F3539=""),"Incomplete","Complete")</f>
        <v>Complete</v>
      </c>
      <c r="I3539" s="55" t="s">
        <v>3736</v>
      </c>
    </row>
    <row r="3540" spans="2:9" ht="15" customHeight="1" x14ac:dyDescent="0.25">
      <c r="B3540" s="51" t="s">
        <v>127</v>
      </c>
      <c r="C3540" s="52">
        <v>468</v>
      </c>
      <c r="D3540" s="53" t="s">
        <v>4330</v>
      </c>
      <c r="E3540" s="54"/>
      <c r="F3540" s="52" t="str">
        <f>IF(INDEX(I.CCUS.EndRange,468)="","",INDEX(I.CCUS.EndRange,468))</f>
        <v/>
      </c>
      <c r="G3540" s="54"/>
      <c r="H3540" s="52" t="str">
        <f>IF(AND(I.Compliance.FulfilledCCUS&gt;0,I.CCUS.RangeCount&gt;=468,F3540=""),"Incomplete","Complete")</f>
        <v>Complete</v>
      </c>
      <c r="I3540" s="55" t="s">
        <v>3737</v>
      </c>
    </row>
    <row r="3541" spans="2:9" ht="15" customHeight="1" x14ac:dyDescent="0.25">
      <c r="B3541" s="51" t="s">
        <v>127</v>
      </c>
      <c r="C3541" s="52">
        <v>469</v>
      </c>
      <c r="D3541" s="53" t="s">
        <v>4330</v>
      </c>
      <c r="E3541" s="54"/>
      <c r="F3541" s="52" t="str">
        <f>IF(INDEX(I.CCUS.EndRange,469)="","",INDEX(I.CCUS.EndRange,469))</f>
        <v/>
      </c>
      <c r="G3541" s="54"/>
      <c r="H3541" s="52" t="str">
        <f>IF(AND(I.Compliance.FulfilledCCUS&gt;0,I.CCUS.RangeCount&gt;=469,F3541=""),"Incomplete","Complete")</f>
        <v>Complete</v>
      </c>
      <c r="I3541" s="55" t="s">
        <v>3738</v>
      </c>
    </row>
    <row r="3542" spans="2:9" ht="15" customHeight="1" x14ac:dyDescent="0.25">
      <c r="B3542" s="51" t="s">
        <v>127</v>
      </c>
      <c r="C3542" s="52">
        <v>470</v>
      </c>
      <c r="D3542" s="53" t="s">
        <v>4330</v>
      </c>
      <c r="E3542" s="54"/>
      <c r="F3542" s="52" t="str">
        <f>IF(INDEX(I.CCUS.EndRange,470)="","",INDEX(I.CCUS.EndRange,470))</f>
        <v/>
      </c>
      <c r="G3542" s="54"/>
      <c r="H3542" s="52" t="str">
        <f>IF(AND(I.Compliance.FulfilledCCUS&gt;0,I.CCUS.RangeCount&gt;=470,F3542=""),"Incomplete","Complete")</f>
        <v>Complete</v>
      </c>
      <c r="I3542" s="55" t="s">
        <v>3739</v>
      </c>
    </row>
    <row r="3543" spans="2:9" ht="15" customHeight="1" x14ac:dyDescent="0.25">
      <c r="B3543" s="51" t="s">
        <v>127</v>
      </c>
      <c r="C3543" s="52">
        <v>471</v>
      </c>
      <c r="D3543" s="53" t="s">
        <v>4330</v>
      </c>
      <c r="E3543" s="54"/>
      <c r="F3543" s="52" t="str">
        <f>IF(INDEX(I.CCUS.EndRange,471)="","",INDEX(I.CCUS.EndRange,471))</f>
        <v/>
      </c>
      <c r="G3543" s="54"/>
      <c r="H3543" s="52" t="str">
        <f>IF(AND(I.Compliance.FulfilledCCUS&gt;0,I.CCUS.RangeCount&gt;=471,F3543=""),"Incomplete","Complete")</f>
        <v>Complete</v>
      </c>
      <c r="I3543" s="55" t="s">
        <v>3740</v>
      </c>
    </row>
    <row r="3544" spans="2:9" ht="15" customHeight="1" x14ac:dyDescent="0.25">
      <c r="B3544" s="51" t="s">
        <v>127</v>
      </c>
      <c r="C3544" s="52">
        <v>472</v>
      </c>
      <c r="D3544" s="53" t="s">
        <v>4330</v>
      </c>
      <c r="E3544" s="54"/>
      <c r="F3544" s="52" t="str">
        <f>IF(INDEX(I.CCUS.EndRange,472)="","",INDEX(I.CCUS.EndRange,472))</f>
        <v/>
      </c>
      <c r="G3544" s="54"/>
      <c r="H3544" s="52" t="str">
        <f>IF(AND(I.Compliance.FulfilledCCUS&gt;0,I.CCUS.RangeCount&gt;=472,F3544=""),"Incomplete","Complete")</f>
        <v>Complete</v>
      </c>
      <c r="I3544" s="55" t="s">
        <v>3741</v>
      </c>
    </row>
    <row r="3545" spans="2:9" ht="15" customHeight="1" x14ac:dyDescent="0.25">
      <c r="B3545" s="51" t="s">
        <v>127</v>
      </c>
      <c r="C3545" s="52">
        <v>473</v>
      </c>
      <c r="D3545" s="53" t="s">
        <v>4330</v>
      </c>
      <c r="E3545" s="54"/>
      <c r="F3545" s="52" t="str">
        <f>IF(INDEX(I.CCUS.EndRange,473)="","",INDEX(I.CCUS.EndRange,473))</f>
        <v/>
      </c>
      <c r="G3545" s="54"/>
      <c r="H3545" s="52" t="str">
        <f>IF(AND(I.Compliance.FulfilledCCUS&gt;0,I.CCUS.RangeCount&gt;=473,F3545=""),"Incomplete","Complete")</f>
        <v>Complete</v>
      </c>
      <c r="I3545" s="55" t="s">
        <v>3742</v>
      </c>
    </row>
    <row r="3546" spans="2:9" ht="15" customHeight="1" x14ac:dyDescent="0.25">
      <c r="B3546" s="51" t="s">
        <v>127</v>
      </c>
      <c r="C3546" s="52">
        <v>474</v>
      </c>
      <c r="D3546" s="53" t="s">
        <v>4330</v>
      </c>
      <c r="E3546" s="54"/>
      <c r="F3546" s="52" t="str">
        <f>IF(INDEX(I.CCUS.EndRange,474)="","",INDEX(I.CCUS.EndRange,474))</f>
        <v/>
      </c>
      <c r="G3546" s="54"/>
      <c r="H3546" s="52" t="str">
        <f>IF(AND(I.Compliance.FulfilledCCUS&gt;0,I.CCUS.RangeCount&gt;=474,F3546=""),"Incomplete","Complete")</f>
        <v>Complete</v>
      </c>
      <c r="I3546" s="55" t="s">
        <v>3743</v>
      </c>
    </row>
    <row r="3547" spans="2:9" ht="15" customHeight="1" x14ac:dyDescent="0.25">
      <c r="B3547" s="51" t="s">
        <v>127</v>
      </c>
      <c r="C3547" s="52">
        <v>475</v>
      </c>
      <c r="D3547" s="53" t="s">
        <v>4330</v>
      </c>
      <c r="E3547" s="54"/>
      <c r="F3547" s="52" t="str">
        <f>IF(INDEX(I.CCUS.EndRange,475)="","",INDEX(I.CCUS.EndRange,475))</f>
        <v/>
      </c>
      <c r="G3547" s="54"/>
      <c r="H3547" s="52" t="str">
        <f>IF(AND(I.Compliance.FulfilledCCUS&gt;0,I.CCUS.RangeCount&gt;=475,F3547=""),"Incomplete","Complete")</f>
        <v>Complete</v>
      </c>
      <c r="I3547" s="55" t="s">
        <v>3744</v>
      </c>
    </row>
    <row r="3548" spans="2:9" ht="15" customHeight="1" x14ac:dyDescent="0.25">
      <c r="B3548" s="51" t="s">
        <v>127</v>
      </c>
      <c r="C3548" s="52">
        <v>476</v>
      </c>
      <c r="D3548" s="53" t="s">
        <v>4330</v>
      </c>
      <c r="E3548" s="54"/>
      <c r="F3548" s="52" t="str">
        <f>IF(INDEX(I.CCUS.EndRange,476)="","",INDEX(I.CCUS.EndRange,476))</f>
        <v/>
      </c>
      <c r="G3548" s="54"/>
      <c r="H3548" s="52" t="str">
        <f>IF(AND(I.Compliance.FulfilledCCUS&gt;0,I.CCUS.RangeCount&gt;=476,F3548=""),"Incomplete","Complete")</f>
        <v>Complete</v>
      </c>
      <c r="I3548" s="55" t="s">
        <v>3745</v>
      </c>
    </row>
    <row r="3549" spans="2:9" ht="15" customHeight="1" x14ac:dyDescent="0.25">
      <c r="B3549" s="51" t="s">
        <v>127</v>
      </c>
      <c r="C3549" s="52">
        <v>477</v>
      </c>
      <c r="D3549" s="53" t="s">
        <v>4330</v>
      </c>
      <c r="E3549" s="54"/>
      <c r="F3549" s="52" t="str">
        <f>IF(INDEX(I.CCUS.EndRange,477)="","",INDEX(I.CCUS.EndRange,477))</f>
        <v/>
      </c>
      <c r="G3549" s="54"/>
      <c r="H3549" s="52" t="str">
        <f>IF(AND(I.Compliance.FulfilledCCUS&gt;0,I.CCUS.RangeCount&gt;=477,F3549=""),"Incomplete","Complete")</f>
        <v>Complete</v>
      </c>
      <c r="I3549" s="55" t="s">
        <v>3746</v>
      </c>
    </row>
    <row r="3550" spans="2:9" ht="15" customHeight="1" x14ac:dyDescent="0.25">
      <c r="B3550" s="51" t="s">
        <v>127</v>
      </c>
      <c r="C3550" s="52">
        <v>478</v>
      </c>
      <c r="D3550" s="53" t="s">
        <v>4330</v>
      </c>
      <c r="E3550" s="54"/>
      <c r="F3550" s="52" t="str">
        <f>IF(INDEX(I.CCUS.EndRange,478)="","",INDEX(I.CCUS.EndRange,478))</f>
        <v/>
      </c>
      <c r="G3550" s="54"/>
      <c r="H3550" s="52" t="str">
        <f>IF(AND(I.Compliance.FulfilledCCUS&gt;0,I.CCUS.RangeCount&gt;=478,F3550=""),"Incomplete","Complete")</f>
        <v>Complete</v>
      </c>
      <c r="I3550" s="55" t="s">
        <v>3747</v>
      </c>
    </row>
    <row r="3551" spans="2:9" ht="15" customHeight="1" x14ac:dyDescent="0.25">
      <c r="B3551" s="51" t="s">
        <v>127</v>
      </c>
      <c r="C3551" s="52">
        <v>479</v>
      </c>
      <c r="D3551" s="53" t="s">
        <v>4330</v>
      </c>
      <c r="E3551" s="54"/>
      <c r="F3551" s="52" t="str">
        <f>IF(INDEX(I.CCUS.EndRange,479)="","",INDEX(I.CCUS.EndRange,479))</f>
        <v/>
      </c>
      <c r="G3551" s="54"/>
      <c r="H3551" s="52" t="str">
        <f>IF(AND(I.Compliance.FulfilledCCUS&gt;0,I.CCUS.RangeCount&gt;=479,F3551=""),"Incomplete","Complete")</f>
        <v>Complete</v>
      </c>
      <c r="I3551" s="55" t="s">
        <v>3748</v>
      </c>
    </row>
    <row r="3552" spans="2:9" ht="15" customHeight="1" x14ac:dyDescent="0.25">
      <c r="B3552" s="51" t="s">
        <v>127</v>
      </c>
      <c r="C3552" s="52">
        <v>480</v>
      </c>
      <c r="D3552" s="53" t="s">
        <v>4330</v>
      </c>
      <c r="E3552" s="54"/>
      <c r="F3552" s="52" t="str">
        <f>IF(INDEX(I.CCUS.EndRange,480)="","",INDEX(I.CCUS.EndRange,480))</f>
        <v/>
      </c>
      <c r="G3552" s="54"/>
      <c r="H3552" s="52" t="str">
        <f>IF(AND(I.Compliance.FulfilledCCUS&gt;0,I.CCUS.RangeCount&gt;=480,F3552=""),"Incomplete","Complete")</f>
        <v>Complete</v>
      </c>
      <c r="I3552" s="55" t="s">
        <v>3749</v>
      </c>
    </row>
    <row r="3553" spans="2:9" ht="15" customHeight="1" x14ac:dyDescent="0.25">
      <c r="B3553" s="51" t="s">
        <v>127</v>
      </c>
      <c r="C3553" s="52">
        <v>481</v>
      </c>
      <c r="D3553" s="53" t="s">
        <v>4330</v>
      </c>
      <c r="E3553" s="54"/>
      <c r="F3553" s="52" t="str">
        <f>IF(INDEX(I.CCUS.EndRange,481)="","",INDEX(I.CCUS.EndRange,481))</f>
        <v/>
      </c>
      <c r="G3553" s="54"/>
      <c r="H3553" s="52" t="str">
        <f>IF(AND(I.Compliance.FulfilledCCUS&gt;0,I.CCUS.RangeCount&gt;=481,F3553=""),"Incomplete","Complete")</f>
        <v>Complete</v>
      </c>
      <c r="I3553" s="55" t="s">
        <v>3750</v>
      </c>
    </row>
    <row r="3554" spans="2:9" ht="15" customHeight="1" x14ac:dyDescent="0.25">
      <c r="B3554" s="51" t="s">
        <v>127</v>
      </c>
      <c r="C3554" s="52">
        <v>482</v>
      </c>
      <c r="D3554" s="53" t="s">
        <v>4330</v>
      </c>
      <c r="E3554" s="54"/>
      <c r="F3554" s="52" t="str">
        <f>IF(INDEX(I.CCUS.EndRange,482)="","",INDEX(I.CCUS.EndRange,482))</f>
        <v/>
      </c>
      <c r="G3554" s="54"/>
      <c r="H3554" s="52" t="str">
        <f>IF(AND(I.Compliance.FulfilledCCUS&gt;0,I.CCUS.RangeCount&gt;=482,F3554=""),"Incomplete","Complete")</f>
        <v>Complete</v>
      </c>
      <c r="I3554" s="55" t="s">
        <v>3751</v>
      </c>
    </row>
    <row r="3555" spans="2:9" ht="15" customHeight="1" x14ac:dyDescent="0.25">
      <c r="B3555" s="51" t="s">
        <v>127</v>
      </c>
      <c r="C3555" s="52">
        <v>483</v>
      </c>
      <c r="D3555" s="53" t="s">
        <v>4330</v>
      </c>
      <c r="E3555" s="54"/>
      <c r="F3555" s="52" t="str">
        <f>IF(INDEX(I.CCUS.EndRange,483)="","",INDEX(I.CCUS.EndRange,483))</f>
        <v/>
      </c>
      <c r="G3555" s="54"/>
      <c r="H3555" s="52" t="str">
        <f>IF(AND(I.Compliance.FulfilledCCUS&gt;0,I.CCUS.RangeCount&gt;=483,F3555=""),"Incomplete","Complete")</f>
        <v>Complete</v>
      </c>
      <c r="I3555" s="55" t="s">
        <v>3752</v>
      </c>
    </row>
    <row r="3556" spans="2:9" ht="15" customHeight="1" x14ac:dyDescent="0.25">
      <c r="B3556" s="51" t="s">
        <v>127</v>
      </c>
      <c r="C3556" s="52">
        <v>484</v>
      </c>
      <c r="D3556" s="53" t="s">
        <v>4330</v>
      </c>
      <c r="E3556" s="54"/>
      <c r="F3556" s="52" t="str">
        <f>IF(INDEX(I.CCUS.EndRange,484)="","",INDEX(I.CCUS.EndRange,484))</f>
        <v/>
      </c>
      <c r="G3556" s="54"/>
      <c r="H3556" s="52" t="str">
        <f>IF(AND(I.Compliance.FulfilledCCUS&gt;0,I.CCUS.RangeCount&gt;=484,F3556=""),"Incomplete","Complete")</f>
        <v>Complete</v>
      </c>
      <c r="I3556" s="55" t="s">
        <v>3753</v>
      </c>
    </row>
    <row r="3557" spans="2:9" ht="15" customHeight="1" x14ac:dyDescent="0.25">
      <c r="B3557" s="51" t="s">
        <v>127</v>
      </c>
      <c r="C3557" s="52">
        <v>485</v>
      </c>
      <c r="D3557" s="53" t="s">
        <v>4330</v>
      </c>
      <c r="E3557" s="54"/>
      <c r="F3557" s="52" t="str">
        <f>IF(INDEX(I.CCUS.EndRange,485)="","",INDEX(I.CCUS.EndRange,485))</f>
        <v/>
      </c>
      <c r="G3557" s="54"/>
      <c r="H3557" s="52" t="str">
        <f>IF(AND(I.Compliance.FulfilledCCUS&gt;0,I.CCUS.RangeCount&gt;=485,F3557=""),"Incomplete","Complete")</f>
        <v>Complete</v>
      </c>
      <c r="I3557" s="55" t="s">
        <v>3754</v>
      </c>
    </row>
    <row r="3558" spans="2:9" ht="15" customHeight="1" x14ac:dyDescent="0.25">
      <c r="B3558" s="51" t="s">
        <v>127</v>
      </c>
      <c r="C3558" s="52">
        <v>486</v>
      </c>
      <c r="D3558" s="53" t="s">
        <v>4330</v>
      </c>
      <c r="E3558" s="54"/>
      <c r="F3558" s="52" t="str">
        <f>IF(INDEX(I.CCUS.EndRange,486)="","",INDEX(I.CCUS.EndRange,486))</f>
        <v/>
      </c>
      <c r="G3558" s="54"/>
      <c r="H3558" s="52" t="str">
        <f>IF(AND(I.Compliance.FulfilledCCUS&gt;0,I.CCUS.RangeCount&gt;=486,F3558=""),"Incomplete","Complete")</f>
        <v>Complete</v>
      </c>
      <c r="I3558" s="55" t="s">
        <v>3755</v>
      </c>
    </row>
    <row r="3559" spans="2:9" ht="15" customHeight="1" x14ac:dyDescent="0.25">
      <c r="B3559" s="51" t="s">
        <v>127</v>
      </c>
      <c r="C3559" s="52">
        <v>487</v>
      </c>
      <c r="D3559" s="53" t="s">
        <v>4330</v>
      </c>
      <c r="E3559" s="54"/>
      <c r="F3559" s="52" t="str">
        <f>IF(INDEX(I.CCUS.EndRange,487)="","",INDEX(I.CCUS.EndRange,487))</f>
        <v/>
      </c>
      <c r="G3559" s="54"/>
      <c r="H3559" s="52" t="str">
        <f>IF(AND(I.Compliance.FulfilledCCUS&gt;0,I.CCUS.RangeCount&gt;=487,F3559=""),"Incomplete","Complete")</f>
        <v>Complete</v>
      </c>
      <c r="I3559" s="55" t="s">
        <v>3756</v>
      </c>
    </row>
    <row r="3560" spans="2:9" ht="15" customHeight="1" x14ac:dyDescent="0.25">
      <c r="B3560" s="51" t="s">
        <v>127</v>
      </c>
      <c r="C3560" s="52">
        <v>488</v>
      </c>
      <c r="D3560" s="53" t="s">
        <v>4330</v>
      </c>
      <c r="E3560" s="54"/>
      <c r="F3560" s="52" t="str">
        <f>IF(INDEX(I.CCUS.EndRange,488)="","",INDEX(I.CCUS.EndRange,488))</f>
        <v/>
      </c>
      <c r="G3560" s="54"/>
      <c r="H3560" s="52" t="str">
        <f>IF(AND(I.Compliance.FulfilledCCUS&gt;0,I.CCUS.RangeCount&gt;=488,F3560=""),"Incomplete","Complete")</f>
        <v>Complete</v>
      </c>
      <c r="I3560" s="55" t="s">
        <v>3757</v>
      </c>
    </row>
    <row r="3561" spans="2:9" ht="15" customHeight="1" x14ac:dyDescent="0.25">
      <c r="B3561" s="51" t="s">
        <v>127</v>
      </c>
      <c r="C3561" s="52">
        <v>489</v>
      </c>
      <c r="D3561" s="53" t="s">
        <v>4330</v>
      </c>
      <c r="E3561" s="54"/>
      <c r="F3561" s="52" t="str">
        <f>IF(INDEX(I.CCUS.EndRange,489)="","",INDEX(I.CCUS.EndRange,489))</f>
        <v/>
      </c>
      <c r="G3561" s="54"/>
      <c r="H3561" s="52" t="str">
        <f>IF(AND(I.Compliance.FulfilledCCUS&gt;0,I.CCUS.RangeCount&gt;=489,F3561=""),"Incomplete","Complete")</f>
        <v>Complete</v>
      </c>
      <c r="I3561" s="55" t="s">
        <v>3758</v>
      </c>
    </row>
    <row r="3562" spans="2:9" ht="15" customHeight="1" x14ac:dyDescent="0.25">
      <c r="B3562" s="51" t="s">
        <v>127</v>
      </c>
      <c r="C3562" s="52">
        <v>490</v>
      </c>
      <c r="D3562" s="53" t="s">
        <v>4330</v>
      </c>
      <c r="E3562" s="54"/>
      <c r="F3562" s="52" t="str">
        <f>IF(INDEX(I.CCUS.EndRange,490)="","",INDEX(I.CCUS.EndRange,490))</f>
        <v/>
      </c>
      <c r="G3562" s="54"/>
      <c r="H3562" s="52" t="str">
        <f>IF(AND(I.Compliance.FulfilledCCUS&gt;0,I.CCUS.RangeCount&gt;=490,F3562=""),"Incomplete","Complete")</f>
        <v>Complete</v>
      </c>
      <c r="I3562" s="55" t="s">
        <v>3759</v>
      </c>
    </row>
    <row r="3563" spans="2:9" ht="15" customHeight="1" x14ac:dyDescent="0.25">
      <c r="B3563" s="51" t="s">
        <v>127</v>
      </c>
      <c r="C3563" s="52">
        <v>491</v>
      </c>
      <c r="D3563" s="53" t="s">
        <v>4330</v>
      </c>
      <c r="E3563" s="54"/>
      <c r="F3563" s="52" t="str">
        <f>IF(INDEX(I.CCUS.EndRange,491)="","",INDEX(I.CCUS.EndRange,491))</f>
        <v/>
      </c>
      <c r="G3563" s="54"/>
      <c r="H3563" s="52" t="str">
        <f>IF(AND(I.Compliance.FulfilledCCUS&gt;0,I.CCUS.RangeCount&gt;=491,F3563=""),"Incomplete","Complete")</f>
        <v>Complete</v>
      </c>
      <c r="I3563" s="55" t="s">
        <v>3760</v>
      </c>
    </row>
    <row r="3564" spans="2:9" ht="15" customHeight="1" x14ac:dyDescent="0.25">
      <c r="B3564" s="51" t="s">
        <v>127</v>
      </c>
      <c r="C3564" s="52">
        <v>492</v>
      </c>
      <c r="D3564" s="53" t="s">
        <v>4330</v>
      </c>
      <c r="E3564" s="54"/>
      <c r="F3564" s="52" t="str">
        <f>IF(INDEX(I.CCUS.EndRange,492)="","",INDEX(I.CCUS.EndRange,492))</f>
        <v/>
      </c>
      <c r="G3564" s="54"/>
      <c r="H3564" s="52" t="str">
        <f>IF(AND(I.Compliance.FulfilledCCUS&gt;0,I.CCUS.RangeCount&gt;=492,F3564=""),"Incomplete","Complete")</f>
        <v>Complete</v>
      </c>
      <c r="I3564" s="55" t="s">
        <v>3761</v>
      </c>
    </row>
    <row r="3565" spans="2:9" ht="15" customHeight="1" x14ac:dyDescent="0.25">
      <c r="B3565" s="51" t="s">
        <v>127</v>
      </c>
      <c r="C3565" s="52">
        <v>493</v>
      </c>
      <c r="D3565" s="53" t="s">
        <v>4330</v>
      </c>
      <c r="E3565" s="54"/>
      <c r="F3565" s="52" t="str">
        <f>IF(INDEX(I.CCUS.EndRange,493)="","",INDEX(I.CCUS.EndRange,493))</f>
        <v/>
      </c>
      <c r="G3565" s="54"/>
      <c r="H3565" s="52" t="str">
        <f>IF(AND(I.Compliance.FulfilledCCUS&gt;0,I.CCUS.RangeCount&gt;=493,F3565=""),"Incomplete","Complete")</f>
        <v>Complete</v>
      </c>
      <c r="I3565" s="55" t="s">
        <v>3762</v>
      </c>
    </row>
    <row r="3566" spans="2:9" ht="15" customHeight="1" x14ac:dyDescent="0.25">
      <c r="B3566" s="51" t="s">
        <v>127</v>
      </c>
      <c r="C3566" s="52">
        <v>494</v>
      </c>
      <c r="D3566" s="53" t="s">
        <v>4330</v>
      </c>
      <c r="E3566" s="54"/>
      <c r="F3566" s="52" t="str">
        <f>IF(INDEX(I.CCUS.EndRange,494)="","",INDEX(I.CCUS.EndRange,494))</f>
        <v/>
      </c>
      <c r="G3566" s="54"/>
      <c r="H3566" s="52" t="str">
        <f>IF(AND(I.Compliance.FulfilledCCUS&gt;0,I.CCUS.RangeCount&gt;=494,F3566=""),"Incomplete","Complete")</f>
        <v>Complete</v>
      </c>
      <c r="I3566" s="55" t="s">
        <v>3763</v>
      </c>
    </row>
    <row r="3567" spans="2:9" ht="15" customHeight="1" x14ac:dyDescent="0.25">
      <c r="B3567" s="51" t="s">
        <v>127</v>
      </c>
      <c r="C3567" s="52">
        <v>495</v>
      </c>
      <c r="D3567" s="53" t="s">
        <v>4330</v>
      </c>
      <c r="E3567" s="54"/>
      <c r="F3567" s="52" t="str">
        <f>IF(INDEX(I.CCUS.EndRange,495)="","",INDEX(I.CCUS.EndRange,495))</f>
        <v/>
      </c>
      <c r="G3567" s="54"/>
      <c r="H3567" s="52" t="str">
        <f>IF(AND(I.Compliance.FulfilledCCUS&gt;0,I.CCUS.RangeCount&gt;=495,F3567=""),"Incomplete","Complete")</f>
        <v>Complete</v>
      </c>
      <c r="I3567" s="55" t="s">
        <v>3764</v>
      </c>
    </row>
    <row r="3568" spans="2:9" ht="15" customHeight="1" x14ac:dyDescent="0.25">
      <c r="B3568" s="51" t="s">
        <v>127</v>
      </c>
      <c r="C3568" s="52">
        <v>496</v>
      </c>
      <c r="D3568" s="53" t="s">
        <v>4330</v>
      </c>
      <c r="E3568" s="54"/>
      <c r="F3568" s="52" t="str">
        <f>IF(INDEX(I.CCUS.EndRange,496)="","",INDEX(I.CCUS.EndRange,496))</f>
        <v/>
      </c>
      <c r="G3568" s="54"/>
      <c r="H3568" s="52" t="str">
        <f>IF(AND(I.Compliance.FulfilledCCUS&gt;0,I.CCUS.RangeCount&gt;=496,F3568=""),"Incomplete","Complete")</f>
        <v>Complete</v>
      </c>
      <c r="I3568" s="55" t="s">
        <v>3765</v>
      </c>
    </row>
    <row r="3569" spans="2:9" ht="15" customHeight="1" x14ac:dyDescent="0.25">
      <c r="B3569" s="51" t="s">
        <v>127</v>
      </c>
      <c r="C3569" s="52">
        <v>497</v>
      </c>
      <c r="D3569" s="53" t="s">
        <v>4330</v>
      </c>
      <c r="E3569" s="54"/>
      <c r="F3569" s="52" t="str">
        <f>IF(INDEX(I.CCUS.EndRange,497)="","",INDEX(I.CCUS.EndRange,497))</f>
        <v/>
      </c>
      <c r="G3569" s="54"/>
      <c r="H3569" s="52" t="str">
        <f>IF(AND(I.Compliance.FulfilledCCUS&gt;0,I.CCUS.RangeCount&gt;=497,F3569=""),"Incomplete","Complete")</f>
        <v>Complete</v>
      </c>
      <c r="I3569" s="55" t="s">
        <v>3766</v>
      </c>
    </row>
    <row r="3570" spans="2:9" ht="15" customHeight="1" x14ac:dyDescent="0.25">
      <c r="B3570" s="51" t="s">
        <v>127</v>
      </c>
      <c r="C3570" s="52">
        <v>498</v>
      </c>
      <c r="D3570" s="53" t="s">
        <v>4330</v>
      </c>
      <c r="E3570" s="54"/>
      <c r="F3570" s="52" t="str">
        <f>IF(INDEX(I.CCUS.EndRange,498)="","",INDEX(I.CCUS.EndRange,498))</f>
        <v/>
      </c>
      <c r="G3570" s="54"/>
      <c r="H3570" s="52" t="str">
        <f>IF(AND(I.Compliance.FulfilledCCUS&gt;0,I.CCUS.RangeCount&gt;=498,F3570=""),"Incomplete","Complete")</f>
        <v>Complete</v>
      </c>
      <c r="I3570" s="55" t="s">
        <v>3767</v>
      </c>
    </row>
    <row r="3571" spans="2:9" ht="15" customHeight="1" x14ac:dyDescent="0.25">
      <c r="B3571" s="51" t="s">
        <v>127</v>
      </c>
      <c r="C3571" s="52">
        <v>499</v>
      </c>
      <c r="D3571" s="53" t="s">
        <v>4330</v>
      </c>
      <c r="E3571" s="54"/>
      <c r="F3571" s="52" t="str">
        <f>IF(INDEX(I.CCUS.EndRange,499)="","",INDEX(I.CCUS.EndRange,499))</f>
        <v/>
      </c>
      <c r="G3571" s="54"/>
      <c r="H3571" s="52" t="str">
        <f>IF(AND(I.Compliance.FulfilledCCUS&gt;0,I.CCUS.RangeCount&gt;=499,F3571=""),"Incomplete","Complete")</f>
        <v>Complete</v>
      </c>
      <c r="I3571" s="55" t="s">
        <v>3768</v>
      </c>
    </row>
    <row r="3572" spans="2:9" ht="15" customHeight="1" x14ac:dyDescent="0.25">
      <c r="B3572" s="51" t="s">
        <v>127</v>
      </c>
      <c r="C3572" s="52">
        <v>500</v>
      </c>
      <c r="D3572" s="53" t="s">
        <v>4330</v>
      </c>
      <c r="E3572" s="54"/>
      <c r="F3572" s="52" t="str">
        <f>IF(INDEX(I.CCUS.EndRange,500)="","",INDEX(I.CCUS.EndRange,500))</f>
        <v/>
      </c>
      <c r="G3572" s="54"/>
      <c r="H3572" s="52" t="str">
        <f>IF(AND(I.Compliance.FulfilledCCUS&gt;0,I.CCUS.RangeCount&gt;=500,F3572=""),"Incomplete","Complete")</f>
        <v>Complete</v>
      </c>
      <c r="I3572" s="55" t="s">
        <v>3769</v>
      </c>
    </row>
    <row r="3573" spans="2:9" ht="15" customHeight="1" x14ac:dyDescent="0.25">
      <c r="B3573" s="51" t="s">
        <v>127</v>
      </c>
      <c r="C3573" s="52">
        <v>501</v>
      </c>
      <c r="D3573" s="53" t="s">
        <v>4330</v>
      </c>
      <c r="E3573" s="54"/>
      <c r="F3573" s="52" t="str">
        <f>IF(INDEX(I.CCUS.EndRange,501)="","",INDEX(I.CCUS.EndRange,501))</f>
        <v/>
      </c>
      <c r="G3573" s="54"/>
      <c r="H3573" s="52" t="str">
        <f>IF(AND(I.Compliance.FulfilledCCUS&gt;0,I.CCUS.RangeCount&gt;=501,F3573=""),"Incomplete","Complete")</f>
        <v>Complete</v>
      </c>
      <c r="I3573" s="55" t="s">
        <v>3770</v>
      </c>
    </row>
    <row r="3574" spans="2:9" ht="15" customHeight="1" x14ac:dyDescent="0.25">
      <c r="B3574" s="51" t="s">
        <v>127</v>
      </c>
      <c r="C3574" s="52">
        <v>502</v>
      </c>
      <c r="D3574" s="53" t="s">
        <v>4330</v>
      </c>
      <c r="E3574" s="54"/>
      <c r="F3574" s="52" t="str">
        <f>IF(INDEX(I.CCUS.EndRange,502)="","",INDEX(I.CCUS.EndRange,502))</f>
        <v/>
      </c>
      <c r="G3574" s="54"/>
      <c r="H3574" s="52" t="str">
        <f>IF(AND(I.Compliance.FulfilledCCUS&gt;0,I.CCUS.RangeCount&gt;=502,F3574=""),"Incomplete","Complete")</f>
        <v>Complete</v>
      </c>
      <c r="I3574" s="55" t="s">
        <v>3771</v>
      </c>
    </row>
    <row r="3575" spans="2:9" ht="15" customHeight="1" x14ac:dyDescent="0.25">
      <c r="B3575" s="51" t="s">
        <v>127</v>
      </c>
      <c r="C3575" s="52">
        <v>503</v>
      </c>
      <c r="D3575" s="53" t="s">
        <v>4330</v>
      </c>
      <c r="E3575" s="54"/>
      <c r="F3575" s="52" t="str">
        <f>IF(INDEX(I.CCUS.EndRange,503)="","",INDEX(I.CCUS.EndRange,503))</f>
        <v/>
      </c>
      <c r="G3575" s="54"/>
      <c r="H3575" s="52" t="str">
        <f>IF(AND(I.Compliance.FulfilledCCUS&gt;0,I.CCUS.RangeCount&gt;=503,F3575=""),"Incomplete","Complete")</f>
        <v>Complete</v>
      </c>
      <c r="I3575" s="55" t="s">
        <v>3772</v>
      </c>
    </row>
    <row r="3576" spans="2:9" ht="15" customHeight="1" x14ac:dyDescent="0.25">
      <c r="B3576" s="51" t="s">
        <v>127</v>
      </c>
      <c r="C3576" s="52">
        <v>504</v>
      </c>
      <c r="D3576" s="53" t="s">
        <v>4330</v>
      </c>
      <c r="E3576" s="54"/>
      <c r="F3576" s="52" t="str">
        <f>IF(INDEX(I.CCUS.EndRange,504)="","",INDEX(I.CCUS.EndRange,504))</f>
        <v/>
      </c>
      <c r="G3576" s="54"/>
      <c r="H3576" s="52" t="str">
        <f>IF(AND(I.Compliance.FulfilledCCUS&gt;0,I.CCUS.RangeCount&gt;=504,F3576=""),"Incomplete","Complete")</f>
        <v>Complete</v>
      </c>
      <c r="I3576" s="55" t="s">
        <v>3773</v>
      </c>
    </row>
    <row r="3577" spans="2:9" ht="15" customHeight="1" x14ac:dyDescent="0.25">
      <c r="B3577" s="51" t="s">
        <v>127</v>
      </c>
      <c r="C3577" s="52">
        <v>505</v>
      </c>
      <c r="D3577" s="53" t="s">
        <v>4330</v>
      </c>
      <c r="E3577" s="54"/>
      <c r="F3577" s="52" t="str">
        <f>IF(INDEX(I.CCUS.EndRange,505)="","",INDEX(I.CCUS.EndRange,505))</f>
        <v/>
      </c>
      <c r="G3577" s="54"/>
      <c r="H3577" s="52" t="str">
        <f>IF(AND(I.Compliance.FulfilledCCUS&gt;0,I.CCUS.RangeCount&gt;=505,F3577=""),"Incomplete","Complete")</f>
        <v>Complete</v>
      </c>
      <c r="I3577" s="55" t="s">
        <v>3774</v>
      </c>
    </row>
    <row r="3578" spans="2:9" ht="15" customHeight="1" x14ac:dyDescent="0.25">
      <c r="B3578" s="51" t="s">
        <v>127</v>
      </c>
      <c r="C3578" s="52">
        <v>506</v>
      </c>
      <c r="D3578" s="53" t="s">
        <v>4330</v>
      </c>
      <c r="E3578" s="54"/>
      <c r="F3578" s="52" t="str">
        <f>IF(INDEX(I.CCUS.EndRange,506)="","",INDEX(I.CCUS.EndRange,506))</f>
        <v/>
      </c>
      <c r="G3578" s="54"/>
      <c r="H3578" s="52" t="str">
        <f>IF(AND(I.Compliance.FulfilledCCUS&gt;0,I.CCUS.RangeCount&gt;=506,F3578=""),"Incomplete","Complete")</f>
        <v>Complete</v>
      </c>
      <c r="I3578" s="55" t="s">
        <v>3775</v>
      </c>
    </row>
    <row r="3579" spans="2:9" ht="15" customHeight="1" x14ac:dyDescent="0.25">
      <c r="B3579" s="51" t="s">
        <v>127</v>
      </c>
      <c r="C3579" s="52">
        <v>507</v>
      </c>
      <c r="D3579" s="53" t="s">
        <v>4330</v>
      </c>
      <c r="E3579" s="54"/>
      <c r="F3579" s="52" t="str">
        <f>IF(INDEX(I.CCUS.EndRange,507)="","",INDEX(I.CCUS.EndRange,507))</f>
        <v/>
      </c>
      <c r="G3579" s="54"/>
      <c r="H3579" s="52" t="str">
        <f>IF(AND(I.Compliance.FulfilledCCUS&gt;0,I.CCUS.RangeCount&gt;=507,F3579=""),"Incomplete","Complete")</f>
        <v>Complete</v>
      </c>
      <c r="I3579" s="55" t="s">
        <v>3776</v>
      </c>
    </row>
    <row r="3580" spans="2:9" ht="15" customHeight="1" x14ac:dyDescent="0.25">
      <c r="B3580" s="51" t="s">
        <v>127</v>
      </c>
      <c r="C3580" s="52">
        <v>508</v>
      </c>
      <c r="D3580" s="53" t="s">
        <v>4330</v>
      </c>
      <c r="E3580" s="54"/>
      <c r="F3580" s="52" t="str">
        <f>IF(INDEX(I.CCUS.EndRange,508)="","",INDEX(I.CCUS.EndRange,508))</f>
        <v/>
      </c>
      <c r="G3580" s="54"/>
      <c r="H3580" s="52" t="str">
        <f>IF(AND(I.Compliance.FulfilledCCUS&gt;0,I.CCUS.RangeCount&gt;=508,F3580=""),"Incomplete","Complete")</f>
        <v>Complete</v>
      </c>
      <c r="I3580" s="55" t="s">
        <v>3777</v>
      </c>
    </row>
    <row r="3581" spans="2:9" ht="15" customHeight="1" x14ac:dyDescent="0.25">
      <c r="B3581" s="51" t="s">
        <v>127</v>
      </c>
      <c r="C3581" s="52">
        <v>509</v>
      </c>
      <c r="D3581" s="53" t="s">
        <v>4330</v>
      </c>
      <c r="E3581" s="54"/>
      <c r="F3581" s="52" t="str">
        <f>IF(INDEX(I.CCUS.EndRange,509)="","",INDEX(I.CCUS.EndRange,509))</f>
        <v/>
      </c>
      <c r="G3581" s="54"/>
      <c r="H3581" s="52" t="str">
        <f>IF(AND(I.Compliance.FulfilledCCUS&gt;0,I.CCUS.RangeCount&gt;=509,F3581=""),"Incomplete","Complete")</f>
        <v>Complete</v>
      </c>
      <c r="I3581" s="55" t="s">
        <v>3778</v>
      </c>
    </row>
    <row r="3582" spans="2:9" ht="15" customHeight="1" x14ac:dyDescent="0.25">
      <c r="B3582" s="51" t="s">
        <v>127</v>
      </c>
      <c r="C3582" s="52">
        <v>510</v>
      </c>
      <c r="D3582" s="53" t="s">
        <v>4330</v>
      </c>
      <c r="E3582" s="54"/>
      <c r="F3582" s="52" t="str">
        <f>IF(INDEX(I.CCUS.EndRange,510)="","",INDEX(I.CCUS.EndRange,510))</f>
        <v/>
      </c>
      <c r="G3582" s="54"/>
      <c r="H3582" s="52" t="str">
        <f>IF(AND(I.Compliance.FulfilledCCUS&gt;0,I.CCUS.RangeCount&gt;=510,F3582=""),"Incomplete","Complete")</f>
        <v>Complete</v>
      </c>
      <c r="I3582" s="55" t="s">
        <v>3779</v>
      </c>
    </row>
    <row r="3583" spans="2:9" ht="15" customHeight="1" x14ac:dyDescent="0.25">
      <c r="B3583" s="51" t="s">
        <v>127</v>
      </c>
      <c r="C3583" s="52">
        <v>511</v>
      </c>
      <c r="D3583" s="53" t="s">
        <v>4330</v>
      </c>
      <c r="E3583" s="54"/>
      <c r="F3583" s="52" t="str">
        <f>IF(INDEX(I.CCUS.EndRange,511)="","",INDEX(I.CCUS.EndRange,511))</f>
        <v/>
      </c>
      <c r="G3583" s="54"/>
      <c r="H3583" s="52" t="str">
        <f>IF(AND(I.Compliance.FulfilledCCUS&gt;0,I.CCUS.RangeCount&gt;=511,F3583=""),"Incomplete","Complete")</f>
        <v>Complete</v>
      </c>
      <c r="I3583" s="55" t="s">
        <v>3780</v>
      </c>
    </row>
    <row r="3584" spans="2:9" ht="15" customHeight="1" x14ac:dyDescent="0.25">
      <c r="B3584" s="51" t="s">
        <v>127</v>
      </c>
      <c r="C3584" s="52">
        <v>512</v>
      </c>
      <c r="D3584" s="53" t="s">
        <v>4330</v>
      </c>
      <c r="E3584" s="54"/>
      <c r="F3584" s="52" t="str">
        <f>IF(INDEX(I.CCUS.EndRange,512)="","",INDEX(I.CCUS.EndRange,512))</f>
        <v/>
      </c>
      <c r="G3584" s="54"/>
      <c r="H3584" s="52" t="str">
        <f>IF(AND(I.Compliance.FulfilledCCUS&gt;0,I.CCUS.RangeCount&gt;=512,F3584=""),"Incomplete","Complete")</f>
        <v>Complete</v>
      </c>
      <c r="I3584" s="55" t="s">
        <v>3781</v>
      </c>
    </row>
    <row r="3585" spans="2:9" ht="15" customHeight="1" x14ac:dyDescent="0.25">
      <c r="B3585" s="51" t="s">
        <v>127</v>
      </c>
      <c r="C3585" s="52">
        <v>513</v>
      </c>
      <c r="D3585" s="53" t="s">
        <v>4330</v>
      </c>
      <c r="E3585" s="54"/>
      <c r="F3585" s="52" t="str">
        <f>IF(INDEX(I.CCUS.EndRange,513)="","",INDEX(I.CCUS.EndRange,513))</f>
        <v/>
      </c>
      <c r="G3585" s="54"/>
      <c r="H3585" s="52" t="str">
        <f>IF(AND(I.Compliance.FulfilledCCUS&gt;0,I.CCUS.RangeCount&gt;=513,F3585=""),"Incomplete","Complete")</f>
        <v>Complete</v>
      </c>
      <c r="I3585" s="55" t="s">
        <v>3782</v>
      </c>
    </row>
    <row r="3586" spans="2:9" ht="15" customHeight="1" x14ac:dyDescent="0.25">
      <c r="B3586" s="51" t="s">
        <v>127</v>
      </c>
      <c r="C3586" s="52">
        <v>514</v>
      </c>
      <c r="D3586" s="53" t="s">
        <v>4330</v>
      </c>
      <c r="E3586" s="54"/>
      <c r="F3586" s="52" t="str">
        <f>IF(INDEX(I.CCUS.EndRange,514)="","",INDEX(I.CCUS.EndRange,514))</f>
        <v/>
      </c>
      <c r="G3586" s="54"/>
      <c r="H3586" s="52" t="str">
        <f>IF(AND(I.Compliance.FulfilledCCUS&gt;0,I.CCUS.RangeCount&gt;=514,F3586=""),"Incomplete","Complete")</f>
        <v>Complete</v>
      </c>
      <c r="I3586" s="55" t="s">
        <v>3783</v>
      </c>
    </row>
    <row r="3587" spans="2:9" ht="15" customHeight="1" x14ac:dyDescent="0.25">
      <c r="B3587" s="51" t="s">
        <v>127</v>
      </c>
      <c r="C3587" s="52">
        <v>515</v>
      </c>
      <c r="D3587" s="53" t="s">
        <v>4330</v>
      </c>
      <c r="E3587" s="54"/>
      <c r="F3587" s="52" t="str">
        <f>IF(INDEX(I.CCUS.EndRange,515)="","",INDEX(I.CCUS.EndRange,515))</f>
        <v/>
      </c>
      <c r="G3587" s="54"/>
      <c r="H3587" s="52" t="str">
        <f>IF(AND(I.Compliance.FulfilledCCUS&gt;0,I.CCUS.RangeCount&gt;=515,F3587=""),"Incomplete","Complete")</f>
        <v>Complete</v>
      </c>
      <c r="I3587" s="55" t="s">
        <v>3784</v>
      </c>
    </row>
    <row r="3588" spans="2:9" ht="15" customHeight="1" x14ac:dyDescent="0.25">
      <c r="B3588" s="51" t="s">
        <v>127</v>
      </c>
      <c r="C3588" s="52">
        <v>516</v>
      </c>
      <c r="D3588" s="53" t="s">
        <v>4330</v>
      </c>
      <c r="E3588" s="54"/>
      <c r="F3588" s="52" t="str">
        <f>IF(INDEX(I.CCUS.EndRange,516)="","",INDEX(I.CCUS.EndRange,516))</f>
        <v/>
      </c>
      <c r="G3588" s="54"/>
      <c r="H3588" s="52" t="str">
        <f>IF(AND(I.Compliance.FulfilledCCUS&gt;0,I.CCUS.RangeCount&gt;=516,F3588=""),"Incomplete","Complete")</f>
        <v>Complete</v>
      </c>
      <c r="I3588" s="55" t="s">
        <v>3785</v>
      </c>
    </row>
    <row r="3589" spans="2:9" ht="15" customHeight="1" x14ac:dyDescent="0.25">
      <c r="B3589" s="51" t="s">
        <v>127</v>
      </c>
      <c r="C3589" s="52">
        <v>517</v>
      </c>
      <c r="D3589" s="53" t="s">
        <v>4330</v>
      </c>
      <c r="E3589" s="54"/>
      <c r="F3589" s="52" t="str">
        <f>IF(INDEX(I.CCUS.EndRange,517)="","",INDEX(I.CCUS.EndRange,517))</f>
        <v/>
      </c>
      <c r="G3589" s="54"/>
      <c r="H3589" s="52" t="str">
        <f>IF(AND(I.Compliance.FulfilledCCUS&gt;0,I.CCUS.RangeCount&gt;=517,F3589=""),"Incomplete","Complete")</f>
        <v>Complete</v>
      </c>
      <c r="I3589" s="55" t="s">
        <v>3786</v>
      </c>
    </row>
    <row r="3590" spans="2:9" ht="15" customHeight="1" x14ac:dyDescent="0.25">
      <c r="B3590" s="51" t="s">
        <v>127</v>
      </c>
      <c r="C3590" s="52">
        <v>518</v>
      </c>
      <c r="D3590" s="53" t="s">
        <v>4330</v>
      </c>
      <c r="E3590" s="54"/>
      <c r="F3590" s="52" t="str">
        <f>IF(INDEX(I.CCUS.EndRange,518)="","",INDEX(I.CCUS.EndRange,518))</f>
        <v/>
      </c>
      <c r="G3590" s="54"/>
      <c r="H3590" s="52" t="str">
        <f>IF(AND(I.Compliance.FulfilledCCUS&gt;0,I.CCUS.RangeCount&gt;=518,F3590=""),"Incomplete","Complete")</f>
        <v>Complete</v>
      </c>
      <c r="I3590" s="55" t="s">
        <v>3787</v>
      </c>
    </row>
    <row r="3591" spans="2:9" ht="15" customHeight="1" x14ac:dyDescent="0.25">
      <c r="B3591" s="51" t="s">
        <v>127</v>
      </c>
      <c r="C3591" s="52">
        <v>519</v>
      </c>
      <c r="D3591" s="53" t="s">
        <v>4330</v>
      </c>
      <c r="E3591" s="54"/>
      <c r="F3591" s="52" t="str">
        <f>IF(INDEX(I.CCUS.EndRange,519)="","",INDEX(I.CCUS.EndRange,519))</f>
        <v/>
      </c>
      <c r="G3591" s="54"/>
      <c r="H3591" s="52" t="str">
        <f>IF(AND(I.Compliance.FulfilledCCUS&gt;0,I.CCUS.RangeCount&gt;=519,F3591=""),"Incomplete","Complete")</f>
        <v>Complete</v>
      </c>
      <c r="I3591" s="55" t="s">
        <v>3788</v>
      </c>
    </row>
    <row r="3592" spans="2:9" ht="15" customHeight="1" x14ac:dyDescent="0.25">
      <c r="B3592" s="51" t="s">
        <v>127</v>
      </c>
      <c r="C3592" s="52">
        <v>520</v>
      </c>
      <c r="D3592" s="53" t="s">
        <v>4330</v>
      </c>
      <c r="E3592" s="54"/>
      <c r="F3592" s="52" t="str">
        <f>IF(INDEX(I.CCUS.EndRange,520)="","",INDEX(I.CCUS.EndRange,520))</f>
        <v/>
      </c>
      <c r="G3592" s="54"/>
      <c r="H3592" s="52" t="str">
        <f>IF(AND(I.Compliance.FulfilledCCUS&gt;0,I.CCUS.RangeCount&gt;=520,F3592=""),"Incomplete","Complete")</f>
        <v>Complete</v>
      </c>
      <c r="I3592" s="55" t="s">
        <v>3789</v>
      </c>
    </row>
    <row r="3593" spans="2:9" ht="15" customHeight="1" x14ac:dyDescent="0.25">
      <c r="B3593" s="51" t="s">
        <v>127</v>
      </c>
      <c r="C3593" s="52">
        <v>521</v>
      </c>
      <c r="D3593" s="53" t="s">
        <v>4330</v>
      </c>
      <c r="E3593" s="54"/>
      <c r="F3593" s="52" t="str">
        <f>IF(INDEX(I.CCUS.EndRange,521)="","",INDEX(I.CCUS.EndRange,521))</f>
        <v/>
      </c>
      <c r="G3593" s="54"/>
      <c r="H3593" s="52" t="str">
        <f>IF(AND(I.Compliance.FulfilledCCUS&gt;0,I.CCUS.RangeCount&gt;=521,F3593=""),"Incomplete","Complete")</f>
        <v>Complete</v>
      </c>
      <c r="I3593" s="55" t="s">
        <v>3790</v>
      </c>
    </row>
    <row r="3594" spans="2:9" ht="15" customHeight="1" x14ac:dyDescent="0.25">
      <c r="B3594" s="51" t="s">
        <v>127</v>
      </c>
      <c r="C3594" s="52">
        <v>522</v>
      </c>
      <c r="D3594" s="53" t="s">
        <v>4330</v>
      </c>
      <c r="E3594" s="54"/>
      <c r="F3594" s="52" t="str">
        <f>IF(INDEX(I.CCUS.EndRange,522)="","",INDEX(I.CCUS.EndRange,522))</f>
        <v/>
      </c>
      <c r="G3594" s="54"/>
      <c r="H3594" s="52" t="str">
        <f>IF(AND(I.Compliance.FulfilledCCUS&gt;0,I.CCUS.RangeCount&gt;=522,F3594=""),"Incomplete","Complete")</f>
        <v>Complete</v>
      </c>
      <c r="I3594" s="55" t="s">
        <v>3791</v>
      </c>
    </row>
    <row r="3595" spans="2:9" ht="15" customHeight="1" x14ac:dyDescent="0.25">
      <c r="B3595" s="51" t="s">
        <v>127</v>
      </c>
      <c r="C3595" s="52">
        <v>523</v>
      </c>
      <c r="D3595" s="53" t="s">
        <v>4330</v>
      </c>
      <c r="E3595" s="54"/>
      <c r="F3595" s="52" t="str">
        <f>IF(INDEX(I.CCUS.EndRange,523)="","",INDEX(I.CCUS.EndRange,523))</f>
        <v/>
      </c>
      <c r="G3595" s="54"/>
      <c r="H3595" s="52" t="str">
        <f>IF(AND(I.Compliance.FulfilledCCUS&gt;0,I.CCUS.RangeCount&gt;=523,F3595=""),"Incomplete","Complete")</f>
        <v>Complete</v>
      </c>
      <c r="I3595" s="55" t="s">
        <v>3792</v>
      </c>
    </row>
    <row r="3596" spans="2:9" ht="15" customHeight="1" x14ac:dyDescent="0.25">
      <c r="B3596" s="51" t="s">
        <v>127</v>
      </c>
      <c r="C3596" s="52">
        <v>524</v>
      </c>
      <c r="D3596" s="53" t="s">
        <v>4330</v>
      </c>
      <c r="E3596" s="54"/>
      <c r="F3596" s="52" t="str">
        <f>IF(INDEX(I.CCUS.EndRange,524)="","",INDEX(I.CCUS.EndRange,524))</f>
        <v/>
      </c>
      <c r="G3596" s="54"/>
      <c r="H3596" s="52" t="str">
        <f>IF(AND(I.Compliance.FulfilledCCUS&gt;0,I.CCUS.RangeCount&gt;=524,F3596=""),"Incomplete","Complete")</f>
        <v>Complete</v>
      </c>
      <c r="I3596" s="55" t="s">
        <v>3793</v>
      </c>
    </row>
    <row r="3597" spans="2:9" ht="15" customHeight="1" x14ac:dyDescent="0.25">
      <c r="B3597" s="51" t="s">
        <v>127</v>
      </c>
      <c r="C3597" s="52">
        <v>525</v>
      </c>
      <c r="D3597" s="53" t="s">
        <v>4330</v>
      </c>
      <c r="E3597" s="54"/>
      <c r="F3597" s="52" t="str">
        <f>IF(INDEX(I.CCUS.EndRange,525)="","",INDEX(I.CCUS.EndRange,525))</f>
        <v/>
      </c>
      <c r="G3597" s="54"/>
      <c r="H3597" s="52" t="str">
        <f>IF(AND(I.Compliance.FulfilledCCUS&gt;0,I.CCUS.RangeCount&gt;=525,F3597=""),"Incomplete","Complete")</f>
        <v>Complete</v>
      </c>
      <c r="I3597" s="55" t="s">
        <v>3794</v>
      </c>
    </row>
    <row r="3598" spans="2:9" ht="15" customHeight="1" x14ac:dyDescent="0.25">
      <c r="B3598" s="51" t="s">
        <v>127</v>
      </c>
      <c r="C3598" s="52">
        <v>526</v>
      </c>
      <c r="D3598" s="53" t="s">
        <v>4330</v>
      </c>
      <c r="E3598" s="54"/>
      <c r="F3598" s="52" t="str">
        <f>IF(INDEX(I.CCUS.EndRange,526)="","",INDEX(I.CCUS.EndRange,526))</f>
        <v/>
      </c>
      <c r="G3598" s="54"/>
      <c r="H3598" s="52" t="str">
        <f>IF(AND(I.Compliance.FulfilledCCUS&gt;0,I.CCUS.RangeCount&gt;=526,F3598=""),"Incomplete","Complete")</f>
        <v>Complete</v>
      </c>
      <c r="I3598" s="55" t="s">
        <v>3795</v>
      </c>
    </row>
    <row r="3599" spans="2:9" ht="15" customHeight="1" x14ac:dyDescent="0.25">
      <c r="B3599" s="51" t="s">
        <v>127</v>
      </c>
      <c r="C3599" s="52">
        <v>527</v>
      </c>
      <c r="D3599" s="53" t="s">
        <v>4330</v>
      </c>
      <c r="E3599" s="54"/>
      <c r="F3599" s="52" t="str">
        <f>IF(INDEX(I.CCUS.EndRange,527)="","",INDEX(I.CCUS.EndRange,527))</f>
        <v/>
      </c>
      <c r="G3599" s="54"/>
      <c r="H3599" s="52" t="str">
        <f>IF(AND(I.Compliance.FulfilledCCUS&gt;0,I.CCUS.RangeCount&gt;=527,F3599=""),"Incomplete","Complete")</f>
        <v>Complete</v>
      </c>
      <c r="I3599" s="55" t="s">
        <v>3796</v>
      </c>
    </row>
    <row r="3600" spans="2:9" ht="15" customHeight="1" x14ac:dyDescent="0.25">
      <c r="B3600" s="51" t="s">
        <v>127</v>
      </c>
      <c r="C3600" s="52">
        <v>528</v>
      </c>
      <c r="D3600" s="53" t="s">
        <v>4330</v>
      </c>
      <c r="E3600" s="54"/>
      <c r="F3600" s="52" t="str">
        <f>IF(INDEX(I.CCUS.EndRange,528)="","",INDEX(I.CCUS.EndRange,528))</f>
        <v/>
      </c>
      <c r="G3600" s="54"/>
      <c r="H3600" s="52" t="str">
        <f>IF(AND(I.Compliance.FulfilledCCUS&gt;0,I.CCUS.RangeCount&gt;=528,F3600=""),"Incomplete","Complete")</f>
        <v>Complete</v>
      </c>
      <c r="I3600" s="55" t="s">
        <v>3797</v>
      </c>
    </row>
    <row r="3601" spans="2:9" ht="15" customHeight="1" x14ac:dyDescent="0.25">
      <c r="B3601" s="51" t="s">
        <v>127</v>
      </c>
      <c r="C3601" s="52">
        <v>529</v>
      </c>
      <c r="D3601" s="53" t="s">
        <v>4330</v>
      </c>
      <c r="E3601" s="54"/>
      <c r="F3601" s="52" t="str">
        <f>IF(INDEX(I.CCUS.EndRange,529)="","",INDEX(I.CCUS.EndRange,529))</f>
        <v/>
      </c>
      <c r="G3601" s="54"/>
      <c r="H3601" s="52" t="str">
        <f>IF(AND(I.Compliance.FulfilledCCUS&gt;0,I.CCUS.RangeCount&gt;=529,F3601=""),"Incomplete","Complete")</f>
        <v>Complete</v>
      </c>
      <c r="I3601" s="55" t="s">
        <v>3798</v>
      </c>
    </row>
    <row r="3602" spans="2:9" ht="15" customHeight="1" x14ac:dyDescent="0.25">
      <c r="B3602" s="51" t="s">
        <v>127</v>
      </c>
      <c r="C3602" s="52">
        <v>530</v>
      </c>
      <c r="D3602" s="53" t="s">
        <v>4330</v>
      </c>
      <c r="E3602" s="54"/>
      <c r="F3602" s="52" t="str">
        <f>IF(INDEX(I.CCUS.EndRange,530)="","",INDEX(I.CCUS.EndRange,530))</f>
        <v/>
      </c>
      <c r="G3602" s="54"/>
      <c r="H3602" s="52" t="str">
        <f>IF(AND(I.Compliance.FulfilledCCUS&gt;0,I.CCUS.RangeCount&gt;=530,F3602=""),"Incomplete","Complete")</f>
        <v>Complete</v>
      </c>
      <c r="I3602" s="55" t="s">
        <v>3799</v>
      </c>
    </row>
    <row r="3603" spans="2:9" ht="15" customHeight="1" x14ac:dyDescent="0.25">
      <c r="B3603" s="51" t="s">
        <v>127</v>
      </c>
      <c r="C3603" s="52">
        <v>531</v>
      </c>
      <c r="D3603" s="53" t="s">
        <v>4330</v>
      </c>
      <c r="E3603" s="54"/>
      <c r="F3603" s="52" t="str">
        <f>IF(INDEX(I.CCUS.EndRange,531)="","",INDEX(I.CCUS.EndRange,531))</f>
        <v/>
      </c>
      <c r="G3603" s="54"/>
      <c r="H3603" s="52" t="str">
        <f>IF(AND(I.Compliance.FulfilledCCUS&gt;0,I.CCUS.RangeCount&gt;=531,F3603=""),"Incomplete","Complete")</f>
        <v>Complete</v>
      </c>
      <c r="I3603" s="55" t="s">
        <v>3800</v>
      </c>
    </row>
    <row r="3604" spans="2:9" ht="15" customHeight="1" x14ac:dyDescent="0.25">
      <c r="B3604" s="51" t="s">
        <v>127</v>
      </c>
      <c r="C3604" s="52">
        <v>532</v>
      </c>
      <c r="D3604" s="53" t="s">
        <v>4330</v>
      </c>
      <c r="E3604" s="54"/>
      <c r="F3604" s="52" t="str">
        <f>IF(INDEX(I.CCUS.EndRange,532)="","",INDEX(I.CCUS.EndRange,532))</f>
        <v/>
      </c>
      <c r="G3604" s="54"/>
      <c r="H3604" s="52" t="str">
        <f>IF(AND(I.Compliance.FulfilledCCUS&gt;0,I.CCUS.RangeCount&gt;=532,F3604=""),"Incomplete","Complete")</f>
        <v>Complete</v>
      </c>
      <c r="I3604" s="55" t="s">
        <v>3801</v>
      </c>
    </row>
    <row r="3605" spans="2:9" ht="15" customHeight="1" x14ac:dyDescent="0.25">
      <c r="B3605" s="51" t="s">
        <v>127</v>
      </c>
      <c r="C3605" s="52">
        <v>533</v>
      </c>
      <c r="D3605" s="53" t="s">
        <v>4330</v>
      </c>
      <c r="E3605" s="54"/>
      <c r="F3605" s="52" t="str">
        <f>IF(INDEX(I.CCUS.EndRange,533)="","",INDEX(I.CCUS.EndRange,533))</f>
        <v/>
      </c>
      <c r="G3605" s="54"/>
      <c r="H3605" s="52" t="str">
        <f>IF(AND(I.Compliance.FulfilledCCUS&gt;0,I.CCUS.RangeCount&gt;=533,F3605=""),"Incomplete","Complete")</f>
        <v>Complete</v>
      </c>
      <c r="I3605" s="55" t="s">
        <v>3802</v>
      </c>
    </row>
    <row r="3606" spans="2:9" ht="15" customHeight="1" x14ac:dyDescent="0.25">
      <c r="B3606" s="51" t="s">
        <v>127</v>
      </c>
      <c r="C3606" s="52">
        <v>534</v>
      </c>
      <c r="D3606" s="53" t="s">
        <v>4330</v>
      </c>
      <c r="E3606" s="54"/>
      <c r="F3606" s="52" t="str">
        <f>IF(INDEX(I.CCUS.EndRange,534)="","",INDEX(I.CCUS.EndRange,534))</f>
        <v/>
      </c>
      <c r="G3606" s="54"/>
      <c r="H3606" s="52" t="str">
        <f>IF(AND(I.Compliance.FulfilledCCUS&gt;0,I.CCUS.RangeCount&gt;=534,F3606=""),"Incomplete","Complete")</f>
        <v>Complete</v>
      </c>
      <c r="I3606" s="55" t="s">
        <v>3803</v>
      </c>
    </row>
    <row r="3607" spans="2:9" ht="15" customHeight="1" x14ac:dyDescent="0.25">
      <c r="B3607" s="51" t="s">
        <v>127</v>
      </c>
      <c r="C3607" s="52">
        <v>535</v>
      </c>
      <c r="D3607" s="53" t="s">
        <v>4330</v>
      </c>
      <c r="E3607" s="54"/>
      <c r="F3607" s="52" t="str">
        <f>IF(INDEX(I.CCUS.EndRange,535)="","",INDEX(I.CCUS.EndRange,535))</f>
        <v/>
      </c>
      <c r="G3607" s="54"/>
      <c r="H3607" s="52" t="str">
        <f>IF(AND(I.Compliance.FulfilledCCUS&gt;0,I.CCUS.RangeCount&gt;=535,F3607=""),"Incomplete","Complete")</f>
        <v>Complete</v>
      </c>
      <c r="I3607" s="55" t="s">
        <v>3804</v>
      </c>
    </row>
    <row r="3608" spans="2:9" ht="15" customHeight="1" x14ac:dyDescent="0.25">
      <c r="B3608" s="51" t="s">
        <v>127</v>
      </c>
      <c r="C3608" s="52">
        <v>536</v>
      </c>
      <c r="D3608" s="53" t="s">
        <v>4330</v>
      </c>
      <c r="E3608" s="54"/>
      <c r="F3608" s="52" t="str">
        <f>IF(INDEX(I.CCUS.EndRange,536)="","",INDEX(I.CCUS.EndRange,536))</f>
        <v/>
      </c>
      <c r="G3608" s="54"/>
      <c r="H3608" s="52" t="str">
        <f>IF(AND(I.Compliance.FulfilledCCUS&gt;0,I.CCUS.RangeCount&gt;=536,F3608=""),"Incomplete","Complete")</f>
        <v>Complete</v>
      </c>
      <c r="I3608" s="55" t="s">
        <v>3805</v>
      </c>
    </row>
    <row r="3609" spans="2:9" ht="15" customHeight="1" x14ac:dyDescent="0.25">
      <c r="B3609" s="51" t="s">
        <v>127</v>
      </c>
      <c r="C3609" s="52">
        <v>537</v>
      </c>
      <c r="D3609" s="53" t="s">
        <v>4330</v>
      </c>
      <c r="E3609" s="54"/>
      <c r="F3609" s="52" t="str">
        <f>IF(INDEX(I.CCUS.EndRange,537)="","",INDEX(I.CCUS.EndRange,537))</f>
        <v/>
      </c>
      <c r="G3609" s="54"/>
      <c r="H3609" s="52" t="str">
        <f>IF(AND(I.Compliance.FulfilledCCUS&gt;0,I.CCUS.RangeCount&gt;=537,F3609=""),"Incomplete","Complete")</f>
        <v>Complete</v>
      </c>
      <c r="I3609" s="55" t="s">
        <v>3806</v>
      </c>
    </row>
    <row r="3610" spans="2:9" ht="15" customHeight="1" x14ac:dyDescent="0.25">
      <c r="B3610" s="51" t="s">
        <v>127</v>
      </c>
      <c r="C3610" s="52">
        <v>538</v>
      </c>
      <c r="D3610" s="53" t="s">
        <v>4330</v>
      </c>
      <c r="E3610" s="54"/>
      <c r="F3610" s="52" t="str">
        <f>IF(INDEX(I.CCUS.EndRange,538)="","",INDEX(I.CCUS.EndRange,538))</f>
        <v/>
      </c>
      <c r="G3610" s="54"/>
      <c r="H3610" s="52" t="str">
        <f>IF(AND(I.Compliance.FulfilledCCUS&gt;0,I.CCUS.RangeCount&gt;=538,F3610=""),"Incomplete","Complete")</f>
        <v>Complete</v>
      </c>
      <c r="I3610" s="55" t="s">
        <v>3807</v>
      </c>
    </row>
    <row r="3611" spans="2:9" ht="15" customHeight="1" x14ac:dyDescent="0.25">
      <c r="B3611" s="51" t="s">
        <v>127</v>
      </c>
      <c r="C3611" s="52">
        <v>539</v>
      </c>
      <c r="D3611" s="53" t="s">
        <v>4330</v>
      </c>
      <c r="E3611" s="54"/>
      <c r="F3611" s="52" t="str">
        <f>IF(INDEX(I.CCUS.EndRange,539)="","",INDEX(I.CCUS.EndRange,539))</f>
        <v/>
      </c>
      <c r="G3611" s="54"/>
      <c r="H3611" s="52" t="str">
        <f>IF(AND(I.Compliance.FulfilledCCUS&gt;0,I.CCUS.RangeCount&gt;=539,F3611=""),"Incomplete","Complete")</f>
        <v>Complete</v>
      </c>
      <c r="I3611" s="55" t="s">
        <v>3808</v>
      </c>
    </row>
    <row r="3612" spans="2:9" ht="15" customHeight="1" x14ac:dyDescent="0.25">
      <c r="B3612" s="51" t="s">
        <v>127</v>
      </c>
      <c r="C3612" s="52">
        <v>540</v>
      </c>
      <c r="D3612" s="53" t="s">
        <v>4330</v>
      </c>
      <c r="E3612" s="54"/>
      <c r="F3612" s="52" t="str">
        <f>IF(INDEX(I.CCUS.EndRange,540)="","",INDEX(I.CCUS.EndRange,540))</f>
        <v/>
      </c>
      <c r="G3612" s="54"/>
      <c r="H3612" s="52" t="str">
        <f>IF(AND(I.Compliance.FulfilledCCUS&gt;0,I.CCUS.RangeCount&gt;=540,F3612=""),"Incomplete","Complete")</f>
        <v>Complete</v>
      </c>
      <c r="I3612" s="55" t="s">
        <v>3809</v>
      </c>
    </row>
    <row r="3613" spans="2:9" ht="15" customHeight="1" x14ac:dyDescent="0.25">
      <c r="B3613" s="51" t="s">
        <v>127</v>
      </c>
      <c r="C3613" s="52">
        <v>541</v>
      </c>
      <c r="D3613" s="53" t="s">
        <v>4330</v>
      </c>
      <c r="E3613" s="54"/>
      <c r="F3613" s="52" t="str">
        <f>IF(INDEX(I.CCUS.EndRange,541)="","",INDEX(I.CCUS.EndRange,541))</f>
        <v/>
      </c>
      <c r="G3613" s="54"/>
      <c r="H3613" s="52" t="str">
        <f>IF(AND(I.Compliance.FulfilledCCUS&gt;0,I.CCUS.RangeCount&gt;=541,F3613=""),"Incomplete","Complete")</f>
        <v>Complete</v>
      </c>
      <c r="I3613" s="55" t="s">
        <v>3810</v>
      </c>
    </row>
    <row r="3614" spans="2:9" ht="15" customHeight="1" x14ac:dyDescent="0.25">
      <c r="B3614" s="51" t="s">
        <v>127</v>
      </c>
      <c r="C3614" s="52">
        <v>542</v>
      </c>
      <c r="D3614" s="53" t="s">
        <v>4330</v>
      </c>
      <c r="E3614" s="54"/>
      <c r="F3614" s="52" t="str">
        <f>IF(INDEX(I.CCUS.EndRange,542)="","",INDEX(I.CCUS.EndRange,542))</f>
        <v/>
      </c>
      <c r="G3614" s="54"/>
      <c r="H3614" s="52" t="str">
        <f>IF(AND(I.Compliance.FulfilledCCUS&gt;0,I.CCUS.RangeCount&gt;=542,F3614=""),"Incomplete","Complete")</f>
        <v>Complete</v>
      </c>
      <c r="I3614" s="55" t="s">
        <v>3811</v>
      </c>
    </row>
    <row r="3615" spans="2:9" ht="15" customHeight="1" x14ac:dyDescent="0.25">
      <c r="B3615" s="51" t="s">
        <v>127</v>
      </c>
      <c r="C3615" s="52">
        <v>543</v>
      </c>
      <c r="D3615" s="53" t="s">
        <v>4330</v>
      </c>
      <c r="E3615" s="54"/>
      <c r="F3615" s="52" t="str">
        <f>IF(INDEX(I.CCUS.EndRange,543)="","",INDEX(I.CCUS.EndRange,543))</f>
        <v/>
      </c>
      <c r="G3615" s="54"/>
      <c r="H3615" s="52" t="str">
        <f>IF(AND(I.Compliance.FulfilledCCUS&gt;0,I.CCUS.RangeCount&gt;=543,F3615=""),"Incomplete","Complete")</f>
        <v>Complete</v>
      </c>
      <c r="I3615" s="55" t="s">
        <v>3812</v>
      </c>
    </row>
    <row r="3616" spans="2:9" ht="15" customHeight="1" x14ac:dyDescent="0.25">
      <c r="B3616" s="51" t="s">
        <v>127</v>
      </c>
      <c r="C3616" s="52">
        <v>544</v>
      </c>
      <c r="D3616" s="53" t="s">
        <v>4330</v>
      </c>
      <c r="E3616" s="54"/>
      <c r="F3616" s="52" t="str">
        <f>IF(INDEX(I.CCUS.EndRange,544)="","",INDEX(I.CCUS.EndRange,544))</f>
        <v/>
      </c>
      <c r="G3616" s="54"/>
      <c r="H3616" s="52" t="str">
        <f>IF(AND(I.Compliance.FulfilledCCUS&gt;0,I.CCUS.RangeCount&gt;=544,F3616=""),"Incomplete","Complete")</f>
        <v>Complete</v>
      </c>
      <c r="I3616" s="55" t="s">
        <v>3813</v>
      </c>
    </row>
    <row r="3617" spans="2:9" ht="15" customHeight="1" x14ac:dyDescent="0.25">
      <c r="B3617" s="51" t="s">
        <v>127</v>
      </c>
      <c r="C3617" s="52">
        <v>545</v>
      </c>
      <c r="D3617" s="53" t="s">
        <v>4330</v>
      </c>
      <c r="E3617" s="54"/>
      <c r="F3617" s="52" t="str">
        <f>IF(INDEX(I.CCUS.EndRange,545)="","",INDEX(I.CCUS.EndRange,545))</f>
        <v/>
      </c>
      <c r="G3617" s="54"/>
      <c r="H3617" s="52" t="str">
        <f>IF(AND(I.Compliance.FulfilledCCUS&gt;0,I.CCUS.RangeCount&gt;=545,F3617=""),"Incomplete","Complete")</f>
        <v>Complete</v>
      </c>
      <c r="I3617" s="55" t="s">
        <v>3814</v>
      </c>
    </row>
    <row r="3618" spans="2:9" ht="15" customHeight="1" x14ac:dyDescent="0.25">
      <c r="B3618" s="51" t="s">
        <v>127</v>
      </c>
      <c r="C3618" s="52">
        <v>546</v>
      </c>
      <c r="D3618" s="53" t="s">
        <v>4330</v>
      </c>
      <c r="E3618" s="54"/>
      <c r="F3618" s="52" t="str">
        <f>IF(INDEX(I.CCUS.EndRange,546)="","",INDEX(I.CCUS.EndRange,546))</f>
        <v/>
      </c>
      <c r="G3618" s="54"/>
      <c r="H3618" s="52" t="str">
        <f>IF(AND(I.Compliance.FulfilledCCUS&gt;0,I.CCUS.RangeCount&gt;=546,F3618=""),"Incomplete","Complete")</f>
        <v>Complete</v>
      </c>
      <c r="I3618" s="55" t="s">
        <v>3815</v>
      </c>
    </row>
    <row r="3619" spans="2:9" ht="15" customHeight="1" x14ac:dyDescent="0.25">
      <c r="B3619" s="51" t="s">
        <v>127</v>
      </c>
      <c r="C3619" s="52">
        <v>547</v>
      </c>
      <c r="D3619" s="53" t="s">
        <v>4330</v>
      </c>
      <c r="E3619" s="54"/>
      <c r="F3619" s="52" t="str">
        <f>IF(INDEX(I.CCUS.EndRange,547)="","",INDEX(I.CCUS.EndRange,547))</f>
        <v/>
      </c>
      <c r="G3619" s="54"/>
      <c r="H3619" s="52" t="str">
        <f>IF(AND(I.Compliance.FulfilledCCUS&gt;0,I.CCUS.RangeCount&gt;=547,F3619=""),"Incomplete","Complete")</f>
        <v>Complete</v>
      </c>
      <c r="I3619" s="55" t="s">
        <v>3816</v>
      </c>
    </row>
    <row r="3620" spans="2:9" ht="15" customHeight="1" x14ac:dyDescent="0.25">
      <c r="B3620" s="51" t="s">
        <v>127</v>
      </c>
      <c r="C3620" s="52">
        <v>548</v>
      </c>
      <c r="D3620" s="53" t="s">
        <v>4330</v>
      </c>
      <c r="E3620" s="54"/>
      <c r="F3620" s="52" t="str">
        <f>IF(INDEX(I.CCUS.EndRange,548)="","",INDEX(I.CCUS.EndRange,548))</f>
        <v/>
      </c>
      <c r="G3620" s="54"/>
      <c r="H3620" s="52" t="str">
        <f>IF(AND(I.Compliance.FulfilledCCUS&gt;0,I.CCUS.RangeCount&gt;=548,F3620=""),"Incomplete","Complete")</f>
        <v>Complete</v>
      </c>
      <c r="I3620" s="55" t="s">
        <v>3817</v>
      </c>
    </row>
    <row r="3621" spans="2:9" ht="15" customHeight="1" x14ac:dyDescent="0.25">
      <c r="B3621" s="51" t="s">
        <v>127</v>
      </c>
      <c r="C3621" s="52">
        <v>549</v>
      </c>
      <c r="D3621" s="53" t="s">
        <v>4330</v>
      </c>
      <c r="E3621" s="54"/>
      <c r="F3621" s="52" t="str">
        <f>IF(INDEX(I.CCUS.EndRange,549)="","",INDEX(I.CCUS.EndRange,549))</f>
        <v/>
      </c>
      <c r="G3621" s="54"/>
      <c r="H3621" s="52" t="str">
        <f>IF(AND(I.Compliance.FulfilledCCUS&gt;0,I.CCUS.RangeCount&gt;=549,F3621=""),"Incomplete","Complete")</f>
        <v>Complete</v>
      </c>
      <c r="I3621" s="55" t="s">
        <v>3818</v>
      </c>
    </row>
    <row r="3622" spans="2:9" ht="15" customHeight="1" x14ac:dyDescent="0.25">
      <c r="B3622" s="51" t="s">
        <v>127</v>
      </c>
      <c r="C3622" s="52">
        <v>550</v>
      </c>
      <c r="D3622" s="53" t="s">
        <v>4330</v>
      </c>
      <c r="E3622" s="54"/>
      <c r="F3622" s="52" t="str">
        <f>IF(INDEX(I.CCUS.EndRange,550)="","",INDEX(I.CCUS.EndRange,550))</f>
        <v/>
      </c>
      <c r="G3622" s="54"/>
      <c r="H3622" s="52" t="str">
        <f>IF(AND(I.Compliance.FulfilledCCUS&gt;0,I.CCUS.RangeCount&gt;=550,F3622=""),"Incomplete","Complete")</f>
        <v>Complete</v>
      </c>
      <c r="I3622" s="55" t="s">
        <v>3819</v>
      </c>
    </row>
    <row r="3623" spans="2:9" ht="15" customHeight="1" x14ac:dyDescent="0.25">
      <c r="B3623" s="51" t="s">
        <v>127</v>
      </c>
      <c r="C3623" s="52">
        <v>551</v>
      </c>
      <c r="D3623" s="53" t="s">
        <v>4330</v>
      </c>
      <c r="E3623" s="54"/>
      <c r="F3623" s="52" t="str">
        <f>IF(INDEX(I.CCUS.EndRange,551)="","",INDEX(I.CCUS.EndRange,551))</f>
        <v/>
      </c>
      <c r="G3623" s="54"/>
      <c r="H3623" s="52" t="str">
        <f>IF(AND(I.Compliance.FulfilledCCUS&gt;0,I.CCUS.RangeCount&gt;=551,F3623=""),"Incomplete","Complete")</f>
        <v>Complete</v>
      </c>
      <c r="I3623" s="55" t="s">
        <v>3820</v>
      </c>
    </row>
    <row r="3624" spans="2:9" ht="15" customHeight="1" x14ac:dyDescent="0.25">
      <c r="B3624" s="51" t="s">
        <v>127</v>
      </c>
      <c r="C3624" s="52">
        <v>552</v>
      </c>
      <c r="D3624" s="53" t="s">
        <v>4330</v>
      </c>
      <c r="E3624" s="54"/>
      <c r="F3624" s="52" t="str">
        <f>IF(INDEX(I.CCUS.EndRange,552)="","",INDEX(I.CCUS.EndRange,552))</f>
        <v/>
      </c>
      <c r="G3624" s="54"/>
      <c r="H3624" s="52" t="str">
        <f>IF(AND(I.Compliance.FulfilledCCUS&gt;0,I.CCUS.RangeCount&gt;=552,F3624=""),"Incomplete","Complete")</f>
        <v>Complete</v>
      </c>
      <c r="I3624" s="55" t="s">
        <v>3821</v>
      </c>
    </row>
    <row r="3625" spans="2:9" ht="15" customHeight="1" x14ac:dyDescent="0.25">
      <c r="B3625" s="51" t="s">
        <v>127</v>
      </c>
      <c r="C3625" s="52">
        <v>553</v>
      </c>
      <c r="D3625" s="53" t="s">
        <v>4330</v>
      </c>
      <c r="E3625" s="54"/>
      <c r="F3625" s="52" t="str">
        <f>IF(INDEX(I.CCUS.EndRange,553)="","",INDEX(I.CCUS.EndRange,553))</f>
        <v/>
      </c>
      <c r="G3625" s="54"/>
      <c r="H3625" s="52" t="str">
        <f>IF(AND(I.Compliance.FulfilledCCUS&gt;0,I.CCUS.RangeCount&gt;=553,F3625=""),"Incomplete","Complete")</f>
        <v>Complete</v>
      </c>
      <c r="I3625" s="55" t="s">
        <v>3822</v>
      </c>
    </row>
    <row r="3626" spans="2:9" ht="15" customHeight="1" x14ac:dyDescent="0.25">
      <c r="B3626" s="51" t="s">
        <v>127</v>
      </c>
      <c r="C3626" s="52">
        <v>554</v>
      </c>
      <c r="D3626" s="53" t="s">
        <v>4330</v>
      </c>
      <c r="E3626" s="54"/>
      <c r="F3626" s="52" t="str">
        <f>IF(INDEX(I.CCUS.EndRange,554)="","",INDEX(I.CCUS.EndRange,554))</f>
        <v/>
      </c>
      <c r="G3626" s="54"/>
      <c r="H3626" s="52" t="str">
        <f>IF(AND(I.Compliance.FulfilledCCUS&gt;0,I.CCUS.RangeCount&gt;=554,F3626=""),"Incomplete","Complete")</f>
        <v>Complete</v>
      </c>
      <c r="I3626" s="55" t="s">
        <v>3823</v>
      </c>
    </row>
    <row r="3627" spans="2:9" ht="15" customHeight="1" x14ac:dyDescent="0.25">
      <c r="B3627" s="51" t="s">
        <v>127</v>
      </c>
      <c r="C3627" s="52">
        <v>555</v>
      </c>
      <c r="D3627" s="53" t="s">
        <v>4330</v>
      </c>
      <c r="E3627" s="54"/>
      <c r="F3627" s="52" t="str">
        <f>IF(INDEX(I.CCUS.EndRange,555)="","",INDEX(I.CCUS.EndRange,555))</f>
        <v/>
      </c>
      <c r="G3627" s="54"/>
      <c r="H3627" s="52" t="str">
        <f>IF(AND(I.Compliance.FulfilledCCUS&gt;0,I.CCUS.RangeCount&gt;=555,F3627=""),"Incomplete","Complete")</f>
        <v>Complete</v>
      </c>
      <c r="I3627" s="55" t="s">
        <v>3824</v>
      </c>
    </row>
    <row r="3628" spans="2:9" ht="15" customHeight="1" x14ac:dyDescent="0.25">
      <c r="B3628" s="51" t="s">
        <v>127</v>
      </c>
      <c r="C3628" s="52">
        <v>556</v>
      </c>
      <c r="D3628" s="53" t="s">
        <v>4330</v>
      </c>
      <c r="E3628" s="54"/>
      <c r="F3628" s="52" t="str">
        <f>IF(INDEX(I.CCUS.EndRange,556)="","",INDEX(I.CCUS.EndRange,556))</f>
        <v/>
      </c>
      <c r="G3628" s="54"/>
      <c r="H3628" s="52" t="str">
        <f>IF(AND(I.Compliance.FulfilledCCUS&gt;0,I.CCUS.RangeCount&gt;=556,F3628=""),"Incomplete","Complete")</f>
        <v>Complete</v>
      </c>
      <c r="I3628" s="55" t="s">
        <v>3825</v>
      </c>
    </row>
    <row r="3629" spans="2:9" ht="15" customHeight="1" x14ac:dyDescent="0.25">
      <c r="B3629" s="51" t="s">
        <v>127</v>
      </c>
      <c r="C3629" s="52">
        <v>557</v>
      </c>
      <c r="D3629" s="53" t="s">
        <v>4330</v>
      </c>
      <c r="E3629" s="54"/>
      <c r="F3629" s="52" t="str">
        <f>IF(INDEX(I.CCUS.EndRange,557)="","",INDEX(I.CCUS.EndRange,557))</f>
        <v/>
      </c>
      <c r="G3629" s="54"/>
      <c r="H3629" s="52" t="str">
        <f>IF(AND(I.Compliance.FulfilledCCUS&gt;0,I.CCUS.RangeCount&gt;=557,F3629=""),"Incomplete","Complete")</f>
        <v>Complete</v>
      </c>
      <c r="I3629" s="55" t="s">
        <v>3826</v>
      </c>
    </row>
    <row r="3630" spans="2:9" ht="15" customHeight="1" x14ac:dyDescent="0.25">
      <c r="B3630" s="51" t="s">
        <v>127</v>
      </c>
      <c r="C3630" s="52">
        <v>558</v>
      </c>
      <c r="D3630" s="53" t="s">
        <v>4330</v>
      </c>
      <c r="E3630" s="54"/>
      <c r="F3630" s="52" t="str">
        <f>IF(INDEX(I.CCUS.EndRange,558)="","",INDEX(I.CCUS.EndRange,558))</f>
        <v/>
      </c>
      <c r="G3630" s="54"/>
      <c r="H3630" s="52" t="str">
        <f>IF(AND(I.Compliance.FulfilledCCUS&gt;0,I.CCUS.RangeCount&gt;=558,F3630=""),"Incomplete","Complete")</f>
        <v>Complete</v>
      </c>
      <c r="I3630" s="55" t="s">
        <v>3827</v>
      </c>
    </row>
    <row r="3631" spans="2:9" ht="15" customHeight="1" x14ac:dyDescent="0.25">
      <c r="B3631" s="51" t="s">
        <v>127</v>
      </c>
      <c r="C3631" s="52">
        <v>559</v>
      </c>
      <c r="D3631" s="53" t="s">
        <v>4330</v>
      </c>
      <c r="E3631" s="54"/>
      <c r="F3631" s="52" t="str">
        <f>IF(INDEX(I.CCUS.EndRange,559)="","",INDEX(I.CCUS.EndRange,559))</f>
        <v/>
      </c>
      <c r="G3631" s="54"/>
      <c r="H3631" s="52" t="str">
        <f>IF(AND(I.Compliance.FulfilledCCUS&gt;0,I.CCUS.RangeCount&gt;=559,F3631=""),"Incomplete","Complete")</f>
        <v>Complete</v>
      </c>
      <c r="I3631" s="55" t="s">
        <v>3828</v>
      </c>
    </row>
    <row r="3632" spans="2:9" ht="15" customHeight="1" x14ac:dyDescent="0.25">
      <c r="B3632" s="51" t="s">
        <v>127</v>
      </c>
      <c r="C3632" s="52">
        <v>560</v>
      </c>
      <c r="D3632" s="53" t="s">
        <v>4330</v>
      </c>
      <c r="E3632" s="54"/>
      <c r="F3632" s="52" t="str">
        <f>IF(INDEX(I.CCUS.EndRange,560)="","",INDEX(I.CCUS.EndRange,560))</f>
        <v/>
      </c>
      <c r="G3632" s="54"/>
      <c r="H3632" s="52" t="str">
        <f>IF(AND(I.Compliance.FulfilledCCUS&gt;0,I.CCUS.RangeCount&gt;=560,F3632=""),"Incomplete","Complete")</f>
        <v>Complete</v>
      </c>
      <c r="I3632" s="55" t="s">
        <v>3829</v>
      </c>
    </row>
    <row r="3633" spans="2:9" ht="15" customHeight="1" x14ac:dyDescent="0.25">
      <c r="B3633" s="51" t="s">
        <v>127</v>
      </c>
      <c r="C3633" s="52">
        <v>561</v>
      </c>
      <c r="D3633" s="53" t="s">
        <v>4330</v>
      </c>
      <c r="E3633" s="54"/>
      <c r="F3633" s="52" t="str">
        <f>IF(INDEX(I.CCUS.EndRange,561)="","",INDEX(I.CCUS.EndRange,561))</f>
        <v/>
      </c>
      <c r="G3633" s="54"/>
      <c r="H3633" s="52" t="str">
        <f>IF(AND(I.Compliance.FulfilledCCUS&gt;0,I.CCUS.RangeCount&gt;=561,F3633=""),"Incomplete","Complete")</f>
        <v>Complete</v>
      </c>
      <c r="I3633" s="55" t="s">
        <v>3830</v>
      </c>
    </row>
    <row r="3634" spans="2:9" ht="15" customHeight="1" x14ac:dyDescent="0.25">
      <c r="B3634" s="51" t="s">
        <v>127</v>
      </c>
      <c r="C3634" s="52">
        <v>562</v>
      </c>
      <c r="D3634" s="53" t="s">
        <v>4330</v>
      </c>
      <c r="E3634" s="54"/>
      <c r="F3634" s="52" t="str">
        <f>IF(INDEX(I.CCUS.EndRange,562)="","",INDEX(I.CCUS.EndRange,562))</f>
        <v/>
      </c>
      <c r="G3634" s="54"/>
      <c r="H3634" s="52" t="str">
        <f>IF(AND(I.Compliance.FulfilledCCUS&gt;0,I.CCUS.RangeCount&gt;=562,F3634=""),"Incomplete","Complete")</f>
        <v>Complete</v>
      </c>
      <c r="I3634" s="55" t="s">
        <v>3831</v>
      </c>
    </row>
    <row r="3635" spans="2:9" ht="15" customHeight="1" x14ac:dyDescent="0.25">
      <c r="B3635" s="51" t="s">
        <v>127</v>
      </c>
      <c r="C3635" s="52">
        <v>563</v>
      </c>
      <c r="D3635" s="53" t="s">
        <v>4330</v>
      </c>
      <c r="E3635" s="54"/>
      <c r="F3635" s="52" t="str">
        <f>IF(INDEX(I.CCUS.EndRange,563)="","",INDEX(I.CCUS.EndRange,563))</f>
        <v/>
      </c>
      <c r="G3635" s="54"/>
      <c r="H3635" s="52" t="str">
        <f>IF(AND(I.Compliance.FulfilledCCUS&gt;0,I.CCUS.RangeCount&gt;=563,F3635=""),"Incomplete","Complete")</f>
        <v>Complete</v>
      </c>
      <c r="I3635" s="55" t="s">
        <v>3832</v>
      </c>
    </row>
    <row r="3636" spans="2:9" ht="15" customHeight="1" x14ac:dyDescent="0.25">
      <c r="B3636" s="51" t="s">
        <v>127</v>
      </c>
      <c r="C3636" s="52">
        <v>564</v>
      </c>
      <c r="D3636" s="53" t="s">
        <v>4330</v>
      </c>
      <c r="E3636" s="54"/>
      <c r="F3636" s="52" t="str">
        <f>IF(INDEX(I.CCUS.EndRange,564)="","",INDEX(I.CCUS.EndRange,564))</f>
        <v/>
      </c>
      <c r="G3636" s="54"/>
      <c r="H3636" s="52" t="str">
        <f>IF(AND(I.Compliance.FulfilledCCUS&gt;0,I.CCUS.RangeCount&gt;=564,F3636=""),"Incomplete","Complete")</f>
        <v>Complete</v>
      </c>
      <c r="I3636" s="55" t="s">
        <v>3833</v>
      </c>
    </row>
    <row r="3637" spans="2:9" ht="15" customHeight="1" x14ac:dyDescent="0.25">
      <c r="B3637" s="51" t="s">
        <v>127</v>
      </c>
      <c r="C3637" s="52">
        <v>565</v>
      </c>
      <c r="D3637" s="53" t="s">
        <v>4330</v>
      </c>
      <c r="E3637" s="54"/>
      <c r="F3637" s="52" t="str">
        <f>IF(INDEX(I.CCUS.EndRange,565)="","",INDEX(I.CCUS.EndRange,565))</f>
        <v/>
      </c>
      <c r="G3637" s="54"/>
      <c r="H3637" s="52" t="str">
        <f>IF(AND(I.Compliance.FulfilledCCUS&gt;0,I.CCUS.RangeCount&gt;=565,F3637=""),"Incomplete","Complete")</f>
        <v>Complete</v>
      </c>
      <c r="I3637" s="55" t="s">
        <v>3834</v>
      </c>
    </row>
    <row r="3638" spans="2:9" ht="15" customHeight="1" x14ac:dyDescent="0.25">
      <c r="B3638" s="51" t="s">
        <v>127</v>
      </c>
      <c r="C3638" s="52">
        <v>566</v>
      </c>
      <c r="D3638" s="53" t="s">
        <v>4330</v>
      </c>
      <c r="E3638" s="54"/>
      <c r="F3638" s="52" t="str">
        <f>IF(INDEX(I.CCUS.EndRange,566)="","",INDEX(I.CCUS.EndRange,566))</f>
        <v/>
      </c>
      <c r="G3638" s="54"/>
      <c r="H3638" s="52" t="str">
        <f>IF(AND(I.Compliance.FulfilledCCUS&gt;0,I.CCUS.RangeCount&gt;=566,F3638=""),"Incomplete","Complete")</f>
        <v>Complete</v>
      </c>
      <c r="I3638" s="55" t="s">
        <v>3835</v>
      </c>
    </row>
    <row r="3639" spans="2:9" ht="15" customHeight="1" x14ac:dyDescent="0.25">
      <c r="B3639" s="51" t="s">
        <v>127</v>
      </c>
      <c r="C3639" s="52">
        <v>567</v>
      </c>
      <c r="D3639" s="53" t="s">
        <v>4330</v>
      </c>
      <c r="E3639" s="54"/>
      <c r="F3639" s="52" t="str">
        <f>IF(INDEX(I.CCUS.EndRange,567)="","",INDEX(I.CCUS.EndRange,567))</f>
        <v/>
      </c>
      <c r="G3639" s="54"/>
      <c r="H3639" s="52" t="str">
        <f>IF(AND(I.Compliance.FulfilledCCUS&gt;0,I.CCUS.RangeCount&gt;=567,F3639=""),"Incomplete","Complete")</f>
        <v>Complete</v>
      </c>
      <c r="I3639" s="55" t="s">
        <v>3836</v>
      </c>
    </row>
    <row r="3640" spans="2:9" ht="15" customHeight="1" x14ac:dyDescent="0.25">
      <c r="B3640" s="51" t="s">
        <v>127</v>
      </c>
      <c r="C3640" s="52">
        <v>568</v>
      </c>
      <c r="D3640" s="53" t="s">
        <v>4330</v>
      </c>
      <c r="E3640" s="54"/>
      <c r="F3640" s="52" t="str">
        <f>IF(INDEX(I.CCUS.EndRange,568)="","",INDEX(I.CCUS.EndRange,568))</f>
        <v/>
      </c>
      <c r="G3640" s="54"/>
      <c r="H3640" s="52" t="str">
        <f>IF(AND(I.Compliance.FulfilledCCUS&gt;0,I.CCUS.RangeCount&gt;=568,F3640=""),"Incomplete","Complete")</f>
        <v>Complete</v>
      </c>
      <c r="I3640" s="55" t="s">
        <v>3837</v>
      </c>
    </row>
    <row r="3641" spans="2:9" ht="15" customHeight="1" x14ac:dyDescent="0.25">
      <c r="B3641" s="51" t="s">
        <v>127</v>
      </c>
      <c r="C3641" s="52">
        <v>569</v>
      </c>
      <c r="D3641" s="53" t="s">
        <v>4330</v>
      </c>
      <c r="E3641" s="54"/>
      <c r="F3641" s="52" t="str">
        <f>IF(INDEX(I.CCUS.EndRange,569)="","",INDEX(I.CCUS.EndRange,569))</f>
        <v/>
      </c>
      <c r="G3641" s="54"/>
      <c r="H3641" s="52" t="str">
        <f>IF(AND(I.Compliance.FulfilledCCUS&gt;0,I.CCUS.RangeCount&gt;=569,F3641=""),"Incomplete","Complete")</f>
        <v>Complete</v>
      </c>
      <c r="I3641" s="55" t="s">
        <v>3838</v>
      </c>
    </row>
    <row r="3642" spans="2:9" ht="15" customHeight="1" x14ac:dyDescent="0.25">
      <c r="B3642" s="51" t="s">
        <v>127</v>
      </c>
      <c r="C3642" s="52">
        <v>570</v>
      </c>
      <c r="D3642" s="53" t="s">
        <v>4330</v>
      </c>
      <c r="E3642" s="54"/>
      <c r="F3642" s="52" t="str">
        <f>IF(INDEX(I.CCUS.EndRange,570)="","",INDEX(I.CCUS.EndRange,570))</f>
        <v/>
      </c>
      <c r="G3642" s="54"/>
      <c r="H3642" s="52" t="str">
        <f>IF(AND(I.Compliance.FulfilledCCUS&gt;0,I.CCUS.RangeCount&gt;=570,F3642=""),"Incomplete","Complete")</f>
        <v>Complete</v>
      </c>
      <c r="I3642" s="55" t="s">
        <v>3839</v>
      </c>
    </row>
    <row r="3643" spans="2:9" ht="15" customHeight="1" x14ac:dyDescent="0.25">
      <c r="B3643" s="51" t="s">
        <v>127</v>
      </c>
      <c r="C3643" s="52">
        <v>571</v>
      </c>
      <c r="D3643" s="53" t="s">
        <v>4330</v>
      </c>
      <c r="E3643" s="54"/>
      <c r="F3643" s="52" t="str">
        <f>IF(INDEX(I.CCUS.EndRange,571)="","",INDEX(I.CCUS.EndRange,571))</f>
        <v/>
      </c>
      <c r="G3643" s="54"/>
      <c r="H3643" s="52" t="str">
        <f>IF(AND(I.Compliance.FulfilledCCUS&gt;0,I.CCUS.RangeCount&gt;=571,F3643=""),"Incomplete","Complete")</f>
        <v>Complete</v>
      </c>
      <c r="I3643" s="55" t="s">
        <v>3840</v>
      </c>
    </row>
    <row r="3644" spans="2:9" ht="15" customHeight="1" x14ac:dyDescent="0.25">
      <c r="B3644" s="51" t="s">
        <v>127</v>
      </c>
      <c r="C3644" s="52">
        <v>572</v>
      </c>
      <c r="D3644" s="53" t="s">
        <v>4330</v>
      </c>
      <c r="E3644" s="54"/>
      <c r="F3644" s="52" t="str">
        <f>IF(INDEX(I.CCUS.EndRange,572)="","",INDEX(I.CCUS.EndRange,572))</f>
        <v/>
      </c>
      <c r="G3644" s="54"/>
      <c r="H3644" s="52" t="str">
        <f>IF(AND(I.Compliance.FulfilledCCUS&gt;0,I.CCUS.RangeCount&gt;=572,F3644=""),"Incomplete","Complete")</f>
        <v>Complete</v>
      </c>
      <c r="I3644" s="55" t="s">
        <v>3841</v>
      </c>
    </row>
    <row r="3645" spans="2:9" ht="15" customHeight="1" x14ac:dyDescent="0.25">
      <c r="B3645" s="51" t="s">
        <v>127</v>
      </c>
      <c r="C3645" s="52">
        <v>573</v>
      </c>
      <c r="D3645" s="53" t="s">
        <v>4330</v>
      </c>
      <c r="E3645" s="54"/>
      <c r="F3645" s="52" t="str">
        <f>IF(INDEX(I.CCUS.EndRange,573)="","",INDEX(I.CCUS.EndRange,573))</f>
        <v/>
      </c>
      <c r="G3645" s="54"/>
      <c r="H3645" s="52" t="str">
        <f>IF(AND(I.Compliance.FulfilledCCUS&gt;0,I.CCUS.RangeCount&gt;=573,F3645=""),"Incomplete","Complete")</f>
        <v>Complete</v>
      </c>
      <c r="I3645" s="55" t="s">
        <v>3842</v>
      </c>
    </row>
    <row r="3646" spans="2:9" ht="15" customHeight="1" x14ac:dyDescent="0.25">
      <c r="B3646" s="51" t="s">
        <v>127</v>
      </c>
      <c r="C3646" s="52">
        <v>574</v>
      </c>
      <c r="D3646" s="53" t="s">
        <v>4330</v>
      </c>
      <c r="E3646" s="54"/>
      <c r="F3646" s="52" t="str">
        <f>IF(INDEX(I.CCUS.EndRange,574)="","",INDEX(I.CCUS.EndRange,574))</f>
        <v/>
      </c>
      <c r="G3646" s="54"/>
      <c r="H3646" s="52" t="str">
        <f>IF(AND(I.Compliance.FulfilledCCUS&gt;0,I.CCUS.RangeCount&gt;=574,F3646=""),"Incomplete","Complete")</f>
        <v>Complete</v>
      </c>
      <c r="I3646" s="55" t="s">
        <v>3843</v>
      </c>
    </row>
    <row r="3647" spans="2:9" ht="15" customHeight="1" x14ac:dyDescent="0.25">
      <c r="B3647" s="51" t="s">
        <v>127</v>
      </c>
      <c r="C3647" s="52">
        <v>575</v>
      </c>
      <c r="D3647" s="53" t="s">
        <v>4330</v>
      </c>
      <c r="E3647" s="54"/>
      <c r="F3647" s="52" t="str">
        <f>IF(INDEX(I.CCUS.EndRange,575)="","",INDEX(I.CCUS.EndRange,575))</f>
        <v/>
      </c>
      <c r="G3647" s="54"/>
      <c r="H3647" s="52" t="str">
        <f>IF(AND(I.Compliance.FulfilledCCUS&gt;0,I.CCUS.RangeCount&gt;=575,F3647=""),"Incomplete","Complete")</f>
        <v>Complete</v>
      </c>
      <c r="I3647" s="55" t="s">
        <v>3844</v>
      </c>
    </row>
    <row r="3648" spans="2:9" ht="15" customHeight="1" x14ac:dyDescent="0.25">
      <c r="B3648" s="51" t="s">
        <v>127</v>
      </c>
      <c r="C3648" s="52">
        <v>576</v>
      </c>
      <c r="D3648" s="53" t="s">
        <v>4330</v>
      </c>
      <c r="E3648" s="54"/>
      <c r="F3648" s="52" t="str">
        <f>IF(INDEX(I.CCUS.EndRange,576)="","",INDEX(I.CCUS.EndRange,576))</f>
        <v/>
      </c>
      <c r="G3648" s="54"/>
      <c r="H3648" s="52" t="str">
        <f>IF(AND(I.Compliance.FulfilledCCUS&gt;0,I.CCUS.RangeCount&gt;=576,F3648=""),"Incomplete","Complete")</f>
        <v>Complete</v>
      </c>
      <c r="I3648" s="55" t="s">
        <v>3845</v>
      </c>
    </row>
    <row r="3649" spans="2:9" ht="15" customHeight="1" x14ac:dyDescent="0.25">
      <c r="B3649" s="51" t="s">
        <v>127</v>
      </c>
      <c r="C3649" s="52">
        <v>577</v>
      </c>
      <c r="D3649" s="53" t="s">
        <v>4330</v>
      </c>
      <c r="E3649" s="54"/>
      <c r="F3649" s="52" t="str">
        <f>IF(INDEX(I.CCUS.EndRange,577)="","",INDEX(I.CCUS.EndRange,577))</f>
        <v/>
      </c>
      <c r="G3649" s="54"/>
      <c r="H3649" s="52" t="str">
        <f>IF(AND(I.Compliance.FulfilledCCUS&gt;0,I.CCUS.RangeCount&gt;=577,F3649=""),"Incomplete","Complete")</f>
        <v>Complete</v>
      </c>
      <c r="I3649" s="55" t="s">
        <v>3846</v>
      </c>
    </row>
    <row r="3650" spans="2:9" ht="15" customHeight="1" x14ac:dyDescent="0.25">
      <c r="B3650" s="51" t="s">
        <v>127</v>
      </c>
      <c r="C3650" s="52">
        <v>578</v>
      </c>
      <c r="D3650" s="53" t="s">
        <v>4330</v>
      </c>
      <c r="E3650" s="54"/>
      <c r="F3650" s="52" t="str">
        <f>IF(INDEX(I.CCUS.EndRange,578)="","",INDEX(I.CCUS.EndRange,578))</f>
        <v/>
      </c>
      <c r="G3650" s="54"/>
      <c r="H3650" s="52" t="str">
        <f>IF(AND(I.Compliance.FulfilledCCUS&gt;0,I.CCUS.RangeCount&gt;=578,F3650=""),"Incomplete","Complete")</f>
        <v>Complete</v>
      </c>
      <c r="I3650" s="55" t="s">
        <v>3847</v>
      </c>
    </row>
    <row r="3651" spans="2:9" ht="15" customHeight="1" x14ac:dyDescent="0.25">
      <c r="B3651" s="51" t="s">
        <v>127</v>
      </c>
      <c r="C3651" s="52">
        <v>579</v>
      </c>
      <c r="D3651" s="53" t="s">
        <v>4330</v>
      </c>
      <c r="E3651" s="54"/>
      <c r="F3651" s="52" t="str">
        <f>IF(INDEX(I.CCUS.EndRange,579)="","",INDEX(I.CCUS.EndRange,579))</f>
        <v/>
      </c>
      <c r="G3651" s="54"/>
      <c r="H3651" s="52" t="str">
        <f>IF(AND(I.Compliance.FulfilledCCUS&gt;0,I.CCUS.RangeCount&gt;=579,F3651=""),"Incomplete","Complete")</f>
        <v>Complete</v>
      </c>
      <c r="I3651" s="55" t="s">
        <v>3848</v>
      </c>
    </row>
    <row r="3652" spans="2:9" ht="15" customHeight="1" x14ac:dyDescent="0.25">
      <c r="B3652" s="51" t="s">
        <v>127</v>
      </c>
      <c r="C3652" s="52">
        <v>580</v>
      </c>
      <c r="D3652" s="53" t="s">
        <v>4330</v>
      </c>
      <c r="E3652" s="54"/>
      <c r="F3652" s="52" t="str">
        <f>IF(INDEX(I.CCUS.EndRange,580)="","",INDEX(I.CCUS.EndRange,580))</f>
        <v/>
      </c>
      <c r="G3652" s="54"/>
      <c r="H3652" s="52" t="str">
        <f>IF(AND(I.Compliance.FulfilledCCUS&gt;0,I.CCUS.RangeCount&gt;=580,F3652=""),"Incomplete","Complete")</f>
        <v>Complete</v>
      </c>
      <c r="I3652" s="55" t="s">
        <v>3849</v>
      </c>
    </row>
    <row r="3653" spans="2:9" ht="15" customHeight="1" x14ac:dyDescent="0.25">
      <c r="B3653" s="51" t="s">
        <v>127</v>
      </c>
      <c r="C3653" s="52">
        <v>581</v>
      </c>
      <c r="D3653" s="53" t="s">
        <v>4330</v>
      </c>
      <c r="E3653" s="54"/>
      <c r="F3653" s="52" t="str">
        <f>IF(INDEX(I.CCUS.EndRange,581)="","",INDEX(I.CCUS.EndRange,581))</f>
        <v/>
      </c>
      <c r="G3653" s="54"/>
      <c r="H3653" s="52" t="str">
        <f>IF(AND(I.Compliance.FulfilledCCUS&gt;0,I.CCUS.RangeCount&gt;=581,F3653=""),"Incomplete","Complete")</f>
        <v>Complete</v>
      </c>
      <c r="I3653" s="55" t="s">
        <v>3850</v>
      </c>
    </row>
    <row r="3654" spans="2:9" ht="15" customHeight="1" x14ac:dyDescent="0.25">
      <c r="B3654" s="51" t="s">
        <v>127</v>
      </c>
      <c r="C3654" s="52">
        <v>582</v>
      </c>
      <c r="D3654" s="53" t="s">
        <v>4330</v>
      </c>
      <c r="E3654" s="54"/>
      <c r="F3654" s="52" t="str">
        <f>IF(INDEX(I.CCUS.EndRange,582)="","",INDEX(I.CCUS.EndRange,582))</f>
        <v/>
      </c>
      <c r="G3654" s="54"/>
      <c r="H3654" s="52" t="str">
        <f>IF(AND(I.Compliance.FulfilledCCUS&gt;0,I.CCUS.RangeCount&gt;=582,F3654=""),"Incomplete","Complete")</f>
        <v>Complete</v>
      </c>
      <c r="I3654" s="55" t="s">
        <v>3851</v>
      </c>
    </row>
    <row r="3655" spans="2:9" ht="15" customHeight="1" x14ac:dyDescent="0.25">
      <c r="B3655" s="51" t="s">
        <v>127</v>
      </c>
      <c r="C3655" s="52">
        <v>583</v>
      </c>
      <c r="D3655" s="53" t="s">
        <v>4330</v>
      </c>
      <c r="E3655" s="54"/>
      <c r="F3655" s="52" t="str">
        <f>IF(INDEX(I.CCUS.EndRange,583)="","",INDEX(I.CCUS.EndRange,583))</f>
        <v/>
      </c>
      <c r="G3655" s="54"/>
      <c r="H3655" s="52" t="str">
        <f>IF(AND(I.Compliance.FulfilledCCUS&gt;0,I.CCUS.RangeCount&gt;=583,F3655=""),"Incomplete","Complete")</f>
        <v>Complete</v>
      </c>
      <c r="I3655" s="55" t="s">
        <v>3852</v>
      </c>
    </row>
    <row r="3656" spans="2:9" ht="15" customHeight="1" x14ac:dyDescent="0.25">
      <c r="B3656" s="51" t="s">
        <v>127</v>
      </c>
      <c r="C3656" s="52">
        <v>584</v>
      </c>
      <c r="D3656" s="53" t="s">
        <v>4330</v>
      </c>
      <c r="E3656" s="54"/>
      <c r="F3656" s="52" t="str">
        <f>IF(INDEX(I.CCUS.EndRange,584)="","",INDEX(I.CCUS.EndRange,584))</f>
        <v/>
      </c>
      <c r="G3656" s="54"/>
      <c r="H3656" s="52" t="str">
        <f>IF(AND(I.Compliance.FulfilledCCUS&gt;0,I.CCUS.RangeCount&gt;=584,F3656=""),"Incomplete","Complete")</f>
        <v>Complete</v>
      </c>
      <c r="I3656" s="55" t="s">
        <v>3853</v>
      </c>
    </row>
    <row r="3657" spans="2:9" ht="15" customHeight="1" x14ac:dyDescent="0.25">
      <c r="B3657" s="51" t="s">
        <v>127</v>
      </c>
      <c r="C3657" s="52">
        <v>585</v>
      </c>
      <c r="D3657" s="53" t="s">
        <v>4330</v>
      </c>
      <c r="E3657" s="54"/>
      <c r="F3657" s="52" t="str">
        <f>IF(INDEX(I.CCUS.EndRange,585)="","",INDEX(I.CCUS.EndRange,585))</f>
        <v/>
      </c>
      <c r="G3657" s="54"/>
      <c r="H3657" s="52" t="str">
        <f>IF(AND(I.Compliance.FulfilledCCUS&gt;0,I.CCUS.RangeCount&gt;=585,F3657=""),"Incomplete","Complete")</f>
        <v>Complete</v>
      </c>
      <c r="I3657" s="55" t="s">
        <v>3854</v>
      </c>
    </row>
    <row r="3658" spans="2:9" ht="15" customHeight="1" x14ac:dyDescent="0.25">
      <c r="B3658" s="51" t="s">
        <v>127</v>
      </c>
      <c r="C3658" s="52">
        <v>586</v>
      </c>
      <c r="D3658" s="53" t="s">
        <v>4330</v>
      </c>
      <c r="E3658" s="54"/>
      <c r="F3658" s="52" t="str">
        <f>IF(INDEX(I.CCUS.EndRange,586)="","",INDEX(I.CCUS.EndRange,586))</f>
        <v/>
      </c>
      <c r="G3658" s="54"/>
      <c r="H3658" s="52" t="str">
        <f>IF(AND(I.Compliance.FulfilledCCUS&gt;0,I.CCUS.RangeCount&gt;=586,F3658=""),"Incomplete","Complete")</f>
        <v>Complete</v>
      </c>
      <c r="I3658" s="55" t="s">
        <v>3855</v>
      </c>
    </row>
    <row r="3659" spans="2:9" ht="15" customHeight="1" x14ac:dyDescent="0.25">
      <c r="B3659" s="51" t="s">
        <v>127</v>
      </c>
      <c r="C3659" s="52">
        <v>587</v>
      </c>
      <c r="D3659" s="53" t="s">
        <v>4330</v>
      </c>
      <c r="E3659" s="54"/>
      <c r="F3659" s="52" t="str">
        <f>IF(INDEX(I.CCUS.EndRange,587)="","",INDEX(I.CCUS.EndRange,587))</f>
        <v/>
      </c>
      <c r="G3659" s="54"/>
      <c r="H3659" s="52" t="str">
        <f>IF(AND(I.Compliance.FulfilledCCUS&gt;0,I.CCUS.RangeCount&gt;=587,F3659=""),"Incomplete","Complete")</f>
        <v>Complete</v>
      </c>
      <c r="I3659" s="55" t="s">
        <v>3856</v>
      </c>
    </row>
    <row r="3660" spans="2:9" ht="15" customHeight="1" x14ac:dyDescent="0.25">
      <c r="B3660" s="51" t="s">
        <v>127</v>
      </c>
      <c r="C3660" s="52">
        <v>588</v>
      </c>
      <c r="D3660" s="53" t="s">
        <v>4330</v>
      </c>
      <c r="E3660" s="54"/>
      <c r="F3660" s="52" t="str">
        <f>IF(INDEX(I.CCUS.EndRange,588)="","",INDEX(I.CCUS.EndRange,588))</f>
        <v/>
      </c>
      <c r="G3660" s="54"/>
      <c r="H3660" s="52" t="str">
        <f>IF(AND(I.Compliance.FulfilledCCUS&gt;0,I.CCUS.RangeCount&gt;=588,F3660=""),"Incomplete","Complete")</f>
        <v>Complete</v>
      </c>
      <c r="I3660" s="55" t="s">
        <v>3857</v>
      </c>
    </row>
    <row r="3661" spans="2:9" ht="15" customHeight="1" x14ac:dyDescent="0.25">
      <c r="B3661" s="51" t="s">
        <v>127</v>
      </c>
      <c r="C3661" s="52">
        <v>589</v>
      </c>
      <c r="D3661" s="53" t="s">
        <v>4330</v>
      </c>
      <c r="E3661" s="54"/>
      <c r="F3661" s="52" t="str">
        <f>IF(INDEX(I.CCUS.EndRange,589)="","",INDEX(I.CCUS.EndRange,589))</f>
        <v/>
      </c>
      <c r="G3661" s="54"/>
      <c r="H3661" s="52" t="str">
        <f>IF(AND(I.Compliance.FulfilledCCUS&gt;0,I.CCUS.RangeCount&gt;=589,F3661=""),"Incomplete","Complete")</f>
        <v>Complete</v>
      </c>
      <c r="I3661" s="55" t="s">
        <v>3858</v>
      </c>
    </row>
    <row r="3662" spans="2:9" ht="15" customHeight="1" x14ac:dyDescent="0.25">
      <c r="B3662" s="51" t="s">
        <v>127</v>
      </c>
      <c r="C3662" s="52">
        <v>590</v>
      </c>
      <c r="D3662" s="53" t="s">
        <v>4330</v>
      </c>
      <c r="E3662" s="54"/>
      <c r="F3662" s="52" t="str">
        <f>IF(INDEX(I.CCUS.EndRange,590)="","",INDEX(I.CCUS.EndRange,590))</f>
        <v/>
      </c>
      <c r="G3662" s="54"/>
      <c r="H3662" s="52" t="str">
        <f>IF(AND(I.Compliance.FulfilledCCUS&gt;0,I.CCUS.RangeCount&gt;=590,F3662=""),"Incomplete","Complete")</f>
        <v>Complete</v>
      </c>
      <c r="I3662" s="55" t="s">
        <v>3859</v>
      </c>
    </row>
    <row r="3663" spans="2:9" ht="15" customHeight="1" x14ac:dyDescent="0.25">
      <c r="B3663" s="51" t="s">
        <v>127</v>
      </c>
      <c r="C3663" s="52">
        <v>591</v>
      </c>
      <c r="D3663" s="53" t="s">
        <v>4330</v>
      </c>
      <c r="E3663" s="54"/>
      <c r="F3663" s="52" t="str">
        <f>IF(INDEX(I.CCUS.EndRange,591)="","",INDEX(I.CCUS.EndRange,591))</f>
        <v/>
      </c>
      <c r="G3663" s="54"/>
      <c r="H3663" s="52" t="str">
        <f>IF(AND(I.Compliance.FulfilledCCUS&gt;0,I.CCUS.RangeCount&gt;=591,F3663=""),"Incomplete","Complete")</f>
        <v>Complete</v>
      </c>
      <c r="I3663" s="55" t="s">
        <v>3860</v>
      </c>
    </row>
    <row r="3664" spans="2:9" ht="15" customHeight="1" x14ac:dyDescent="0.25">
      <c r="B3664" s="51" t="s">
        <v>127</v>
      </c>
      <c r="C3664" s="52">
        <v>592</v>
      </c>
      <c r="D3664" s="53" t="s">
        <v>4330</v>
      </c>
      <c r="E3664" s="54"/>
      <c r="F3664" s="52" t="str">
        <f>IF(INDEX(I.CCUS.EndRange,592)="","",INDEX(I.CCUS.EndRange,592))</f>
        <v/>
      </c>
      <c r="G3664" s="54"/>
      <c r="H3664" s="52" t="str">
        <f>IF(AND(I.Compliance.FulfilledCCUS&gt;0,I.CCUS.RangeCount&gt;=592,F3664=""),"Incomplete","Complete")</f>
        <v>Complete</v>
      </c>
      <c r="I3664" s="55" t="s">
        <v>3861</v>
      </c>
    </row>
    <row r="3665" spans="2:9" ht="15" customHeight="1" x14ac:dyDescent="0.25">
      <c r="B3665" s="51" t="s">
        <v>127</v>
      </c>
      <c r="C3665" s="52">
        <v>593</v>
      </c>
      <c r="D3665" s="53" t="s">
        <v>4330</v>
      </c>
      <c r="E3665" s="54"/>
      <c r="F3665" s="52" t="str">
        <f>IF(INDEX(I.CCUS.EndRange,593)="","",INDEX(I.CCUS.EndRange,593))</f>
        <v/>
      </c>
      <c r="G3665" s="54"/>
      <c r="H3665" s="52" t="str">
        <f>IF(AND(I.Compliance.FulfilledCCUS&gt;0,I.CCUS.RangeCount&gt;=593,F3665=""),"Incomplete","Complete")</f>
        <v>Complete</v>
      </c>
      <c r="I3665" s="55" t="s">
        <v>3862</v>
      </c>
    </row>
    <row r="3666" spans="2:9" ht="15" customHeight="1" x14ac:dyDescent="0.25">
      <c r="B3666" s="51" t="s">
        <v>127</v>
      </c>
      <c r="C3666" s="52">
        <v>594</v>
      </c>
      <c r="D3666" s="53" t="s">
        <v>4330</v>
      </c>
      <c r="E3666" s="54"/>
      <c r="F3666" s="52" t="str">
        <f>IF(INDEX(I.CCUS.EndRange,594)="","",INDEX(I.CCUS.EndRange,594))</f>
        <v/>
      </c>
      <c r="G3666" s="54"/>
      <c r="H3666" s="52" t="str">
        <f>IF(AND(I.Compliance.FulfilledCCUS&gt;0,I.CCUS.RangeCount&gt;=594,F3666=""),"Incomplete","Complete")</f>
        <v>Complete</v>
      </c>
      <c r="I3666" s="55" t="s">
        <v>3863</v>
      </c>
    </row>
    <row r="3667" spans="2:9" ht="15" customHeight="1" x14ac:dyDescent="0.25">
      <c r="B3667" s="51" t="s">
        <v>127</v>
      </c>
      <c r="C3667" s="52">
        <v>595</v>
      </c>
      <c r="D3667" s="53" t="s">
        <v>4330</v>
      </c>
      <c r="E3667" s="54"/>
      <c r="F3667" s="52" t="str">
        <f>IF(INDEX(I.CCUS.EndRange,595)="","",INDEX(I.CCUS.EndRange,595))</f>
        <v/>
      </c>
      <c r="G3667" s="54"/>
      <c r="H3667" s="52" t="str">
        <f>IF(AND(I.Compliance.FulfilledCCUS&gt;0,I.CCUS.RangeCount&gt;=595,F3667=""),"Incomplete","Complete")</f>
        <v>Complete</v>
      </c>
      <c r="I3667" s="55" t="s">
        <v>3864</v>
      </c>
    </row>
    <row r="3668" spans="2:9" ht="15" customHeight="1" x14ac:dyDescent="0.25">
      <c r="B3668" s="51" t="s">
        <v>127</v>
      </c>
      <c r="C3668" s="52">
        <v>596</v>
      </c>
      <c r="D3668" s="53" t="s">
        <v>4330</v>
      </c>
      <c r="E3668" s="54"/>
      <c r="F3668" s="52" t="str">
        <f>IF(INDEX(I.CCUS.EndRange,596)="","",INDEX(I.CCUS.EndRange,596))</f>
        <v/>
      </c>
      <c r="G3668" s="54"/>
      <c r="H3668" s="52" t="str">
        <f>IF(AND(I.Compliance.FulfilledCCUS&gt;0,I.CCUS.RangeCount&gt;=596,F3668=""),"Incomplete","Complete")</f>
        <v>Complete</v>
      </c>
      <c r="I3668" s="55" t="s">
        <v>3865</v>
      </c>
    </row>
    <row r="3669" spans="2:9" ht="15" customHeight="1" x14ac:dyDescent="0.25">
      <c r="B3669" s="51" t="s">
        <v>127</v>
      </c>
      <c r="C3669" s="52">
        <v>597</v>
      </c>
      <c r="D3669" s="53" t="s">
        <v>4330</v>
      </c>
      <c r="E3669" s="54"/>
      <c r="F3669" s="52" t="str">
        <f>IF(INDEX(I.CCUS.EndRange,597)="","",INDEX(I.CCUS.EndRange,597))</f>
        <v/>
      </c>
      <c r="G3669" s="54"/>
      <c r="H3669" s="52" t="str">
        <f>IF(AND(I.Compliance.FulfilledCCUS&gt;0,I.CCUS.RangeCount&gt;=597,F3669=""),"Incomplete","Complete")</f>
        <v>Complete</v>
      </c>
      <c r="I3669" s="55" t="s">
        <v>3866</v>
      </c>
    </row>
    <row r="3670" spans="2:9" ht="15" customHeight="1" x14ac:dyDescent="0.25">
      <c r="B3670" s="51" t="s">
        <v>127</v>
      </c>
      <c r="C3670" s="52">
        <v>598</v>
      </c>
      <c r="D3670" s="53" t="s">
        <v>4330</v>
      </c>
      <c r="E3670" s="54"/>
      <c r="F3670" s="52" t="str">
        <f>IF(INDEX(I.CCUS.EndRange,598)="","",INDEX(I.CCUS.EndRange,598))</f>
        <v/>
      </c>
      <c r="G3670" s="54"/>
      <c r="H3670" s="52" t="str">
        <f>IF(AND(I.Compliance.FulfilledCCUS&gt;0,I.CCUS.RangeCount&gt;=598,F3670=""),"Incomplete","Complete")</f>
        <v>Complete</v>
      </c>
      <c r="I3670" s="55" t="s">
        <v>3867</v>
      </c>
    </row>
    <row r="3671" spans="2:9" ht="15" customHeight="1" x14ac:dyDescent="0.25">
      <c r="B3671" s="51" t="s">
        <v>127</v>
      </c>
      <c r="C3671" s="52">
        <v>599</v>
      </c>
      <c r="D3671" s="53" t="s">
        <v>4330</v>
      </c>
      <c r="E3671" s="54"/>
      <c r="F3671" s="52" t="str">
        <f>IF(INDEX(I.CCUS.EndRange,599)="","",INDEX(I.CCUS.EndRange,599))</f>
        <v/>
      </c>
      <c r="G3671" s="54"/>
      <c r="H3671" s="52" t="str">
        <f>IF(AND(I.Compliance.FulfilledCCUS&gt;0,I.CCUS.RangeCount&gt;=599,F3671=""),"Incomplete","Complete")</f>
        <v>Complete</v>
      </c>
      <c r="I3671" s="55" t="s">
        <v>3868</v>
      </c>
    </row>
    <row r="3672" spans="2:9" ht="15" customHeight="1" x14ac:dyDescent="0.25">
      <c r="B3672" s="51" t="s">
        <v>127</v>
      </c>
      <c r="C3672" s="52">
        <v>600</v>
      </c>
      <c r="D3672" s="53" t="s">
        <v>4330</v>
      </c>
      <c r="E3672" s="54"/>
      <c r="F3672" s="52" t="str">
        <f>IF(INDEX(I.CCUS.EndRange,600)="","",INDEX(I.CCUS.EndRange,600))</f>
        <v/>
      </c>
      <c r="G3672" s="54"/>
      <c r="H3672" s="52" t="str">
        <f>IF(AND(I.Compliance.FulfilledCCUS&gt;0,I.CCUS.RangeCount&gt;=600,F3672=""),"Incomplete","Complete")</f>
        <v>Complete</v>
      </c>
      <c r="I3672" s="55" t="s">
        <v>3869</v>
      </c>
    </row>
    <row r="3673" spans="2:9" ht="15" customHeight="1" x14ac:dyDescent="0.25">
      <c r="B3673" s="51" t="s">
        <v>127</v>
      </c>
      <c r="C3673" s="52">
        <v>601</v>
      </c>
      <c r="D3673" s="53" t="s">
        <v>4330</v>
      </c>
      <c r="E3673" s="54"/>
      <c r="F3673" s="52" t="str">
        <f>IF(INDEX(I.CCUS.EndRange,601)="","",INDEX(I.CCUS.EndRange,601))</f>
        <v/>
      </c>
      <c r="G3673" s="54"/>
      <c r="H3673" s="52" t="str">
        <f>IF(AND(I.Compliance.FulfilledCCUS&gt;0,I.CCUS.RangeCount&gt;=601,F3673=""),"Incomplete","Complete")</f>
        <v>Complete</v>
      </c>
      <c r="I3673" s="55" t="s">
        <v>3870</v>
      </c>
    </row>
    <row r="3674" spans="2:9" ht="15" customHeight="1" x14ac:dyDescent="0.25">
      <c r="B3674" s="51" t="s">
        <v>127</v>
      </c>
      <c r="C3674" s="52">
        <v>602</v>
      </c>
      <c r="D3674" s="53" t="s">
        <v>4330</v>
      </c>
      <c r="E3674" s="54"/>
      <c r="F3674" s="52" t="str">
        <f>IF(INDEX(I.CCUS.EndRange,602)="","",INDEX(I.CCUS.EndRange,602))</f>
        <v/>
      </c>
      <c r="G3674" s="54"/>
      <c r="H3674" s="52" t="str">
        <f>IF(AND(I.Compliance.FulfilledCCUS&gt;0,I.CCUS.RangeCount&gt;=602,F3674=""),"Incomplete","Complete")</f>
        <v>Complete</v>
      </c>
      <c r="I3674" s="55" t="s">
        <v>3871</v>
      </c>
    </row>
    <row r="3675" spans="2:9" ht="15" customHeight="1" x14ac:dyDescent="0.25">
      <c r="B3675" s="51" t="s">
        <v>127</v>
      </c>
      <c r="C3675" s="52">
        <v>603</v>
      </c>
      <c r="D3675" s="53" t="s">
        <v>4330</v>
      </c>
      <c r="E3675" s="54"/>
      <c r="F3675" s="52" t="str">
        <f>IF(INDEX(I.CCUS.EndRange,603)="","",INDEX(I.CCUS.EndRange,603))</f>
        <v/>
      </c>
      <c r="G3675" s="54"/>
      <c r="H3675" s="52" t="str">
        <f>IF(AND(I.Compliance.FulfilledCCUS&gt;0,I.CCUS.RangeCount&gt;=603,F3675=""),"Incomplete","Complete")</f>
        <v>Complete</v>
      </c>
      <c r="I3675" s="55" t="s">
        <v>3872</v>
      </c>
    </row>
    <row r="3676" spans="2:9" ht="15" customHeight="1" x14ac:dyDescent="0.25">
      <c r="B3676" s="51" t="s">
        <v>127</v>
      </c>
      <c r="C3676" s="52">
        <v>604</v>
      </c>
      <c r="D3676" s="53" t="s">
        <v>4330</v>
      </c>
      <c r="E3676" s="54"/>
      <c r="F3676" s="52" t="str">
        <f>IF(INDEX(I.CCUS.EndRange,604)="","",INDEX(I.CCUS.EndRange,604))</f>
        <v/>
      </c>
      <c r="G3676" s="54"/>
      <c r="H3676" s="52" t="str">
        <f>IF(AND(I.Compliance.FulfilledCCUS&gt;0,I.CCUS.RangeCount&gt;=604,F3676=""),"Incomplete","Complete")</f>
        <v>Complete</v>
      </c>
      <c r="I3676" s="55" t="s">
        <v>3873</v>
      </c>
    </row>
    <row r="3677" spans="2:9" ht="15" customHeight="1" x14ac:dyDescent="0.25">
      <c r="B3677" s="51" t="s">
        <v>127</v>
      </c>
      <c r="C3677" s="52">
        <v>605</v>
      </c>
      <c r="D3677" s="53" t="s">
        <v>4330</v>
      </c>
      <c r="E3677" s="54"/>
      <c r="F3677" s="52" t="str">
        <f>IF(INDEX(I.CCUS.EndRange,605)="","",INDEX(I.CCUS.EndRange,605))</f>
        <v/>
      </c>
      <c r="G3677" s="54"/>
      <c r="H3677" s="52" t="str">
        <f>IF(AND(I.Compliance.FulfilledCCUS&gt;0,I.CCUS.RangeCount&gt;=605,F3677=""),"Incomplete","Complete")</f>
        <v>Complete</v>
      </c>
      <c r="I3677" s="55" t="s">
        <v>3874</v>
      </c>
    </row>
    <row r="3678" spans="2:9" ht="15" customHeight="1" x14ac:dyDescent="0.25">
      <c r="B3678" s="51" t="s">
        <v>127</v>
      </c>
      <c r="C3678" s="52">
        <v>606</v>
      </c>
      <c r="D3678" s="53" t="s">
        <v>4330</v>
      </c>
      <c r="E3678" s="54"/>
      <c r="F3678" s="52" t="str">
        <f>IF(INDEX(I.CCUS.EndRange,606)="","",INDEX(I.CCUS.EndRange,606))</f>
        <v/>
      </c>
      <c r="G3678" s="54"/>
      <c r="H3678" s="52" t="str">
        <f>IF(AND(I.Compliance.FulfilledCCUS&gt;0,I.CCUS.RangeCount&gt;=606,F3678=""),"Incomplete","Complete")</f>
        <v>Complete</v>
      </c>
      <c r="I3678" s="55" t="s">
        <v>3875</v>
      </c>
    </row>
    <row r="3679" spans="2:9" ht="15" customHeight="1" x14ac:dyDescent="0.25">
      <c r="B3679" s="51" t="s">
        <v>127</v>
      </c>
      <c r="C3679" s="52">
        <v>607</v>
      </c>
      <c r="D3679" s="53" t="s">
        <v>4330</v>
      </c>
      <c r="E3679" s="54"/>
      <c r="F3679" s="52" t="str">
        <f>IF(INDEX(I.CCUS.EndRange,607)="","",INDEX(I.CCUS.EndRange,607))</f>
        <v/>
      </c>
      <c r="G3679" s="54"/>
      <c r="H3679" s="52" t="str">
        <f>IF(AND(I.Compliance.FulfilledCCUS&gt;0,I.CCUS.RangeCount&gt;=607,F3679=""),"Incomplete","Complete")</f>
        <v>Complete</v>
      </c>
      <c r="I3679" s="55" t="s">
        <v>3876</v>
      </c>
    </row>
    <row r="3680" spans="2:9" ht="15" customHeight="1" x14ac:dyDescent="0.25">
      <c r="B3680" s="51" t="s">
        <v>127</v>
      </c>
      <c r="C3680" s="52">
        <v>608</v>
      </c>
      <c r="D3680" s="53" t="s">
        <v>4330</v>
      </c>
      <c r="E3680" s="54"/>
      <c r="F3680" s="52" t="str">
        <f>IF(INDEX(I.CCUS.EndRange,608)="","",INDEX(I.CCUS.EndRange,608))</f>
        <v/>
      </c>
      <c r="G3680" s="54"/>
      <c r="H3680" s="52" t="str">
        <f>IF(AND(I.Compliance.FulfilledCCUS&gt;0,I.CCUS.RangeCount&gt;=608,F3680=""),"Incomplete","Complete")</f>
        <v>Complete</v>
      </c>
      <c r="I3680" s="55" t="s">
        <v>3877</v>
      </c>
    </row>
    <row r="3681" spans="2:9" ht="15" customHeight="1" x14ac:dyDescent="0.25">
      <c r="B3681" s="51" t="s">
        <v>127</v>
      </c>
      <c r="C3681" s="52">
        <v>609</v>
      </c>
      <c r="D3681" s="53" t="s">
        <v>4330</v>
      </c>
      <c r="E3681" s="54"/>
      <c r="F3681" s="52" t="str">
        <f>IF(INDEX(I.CCUS.EndRange,609)="","",INDEX(I.CCUS.EndRange,609))</f>
        <v/>
      </c>
      <c r="G3681" s="54"/>
      <c r="H3681" s="52" t="str">
        <f>IF(AND(I.Compliance.FulfilledCCUS&gt;0,I.CCUS.RangeCount&gt;=609,F3681=""),"Incomplete","Complete")</f>
        <v>Complete</v>
      </c>
      <c r="I3681" s="55" t="s">
        <v>3878</v>
      </c>
    </row>
    <row r="3682" spans="2:9" ht="15" customHeight="1" x14ac:dyDescent="0.25">
      <c r="B3682" s="51" t="s">
        <v>127</v>
      </c>
      <c r="C3682" s="52">
        <v>610</v>
      </c>
      <c r="D3682" s="53" t="s">
        <v>4330</v>
      </c>
      <c r="E3682" s="54"/>
      <c r="F3682" s="52" t="str">
        <f>IF(INDEX(I.CCUS.EndRange,610)="","",INDEX(I.CCUS.EndRange,610))</f>
        <v/>
      </c>
      <c r="G3682" s="54"/>
      <c r="H3682" s="52" t="str">
        <f>IF(AND(I.Compliance.FulfilledCCUS&gt;0,I.CCUS.RangeCount&gt;=610,F3682=""),"Incomplete","Complete")</f>
        <v>Complete</v>
      </c>
      <c r="I3682" s="55" t="s">
        <v>3879</v>
      </c>
    </row>
    <row r="3683" spans="2:9" ht="15" customHeight="1" x14ac:dyDescent="0.25">
      <c r="B3683" s="51" t="s">
        <v>127</v>
      </c>
      <c r="C3683" s="52">
        <v>611</v>
      </c>
      <c r="D3683" s="53" t="s">
        <v>4330</v>
      </c>
      <c r="E3683" s="54"/>
      <c r="F3683" s="52" t="str">
        <f>IF(INDEX(I.CCUS.EndRange,611)="","",INDEX(I.CCUS.EndRange,611))</f>
        <v/>
      </c>
      <c r="G3683" s="54"/>
      <c r="H3683" s="52" t="str">
        <f>IF(AND(I.Compliance.FulfilledCCUS&gt;0,I.CCUS.RangeCount&gt;=611,F3683=""),"Incomplete","Complete")</f>
        <v>Complete</v>
      </c>
      <c r="I3683" s="55" t="s">
        <v>3880</v>
      </c>
    </row>
    <row r="3684" spans="2:9" ht="15" customHeight="1" x14ac:dyDescent="0.25">
      <c r="B3684" s="51" t="s">
        <v>127</v>
      </c>
      <c r="C3684" s="52">
        <v>612</v>
      </c>
      <c r="D3684" s="53" t="s">
        <v>4330</v>
      </c>
      <c r="E3684" s="54"/>
      <c r="F3684" s="52" t="str">
        <f>IF(INDEX(I.CCUS.EndRange,612)="","",INDEX(I.CCUS.EndRange,612))</f>
        <v/>
      </c>
      <c r="G3684" s="54"/>
      <c r="H3684" s="52" t="str">
        <f>IF(AND(I.Compliance.FulfilledCCUS&gt;0,I.CCUS.RangeCount&gt;=612,F3684=""),"Incomplete","Complete")</f>
        <v>Complete</v>
      </c>
      <c r="I3684" s="55" t="s">
        <v>3881</v>
      </c>
    </row>
    <row r="3685" spans="2:9" ht="15" customHeight="1" x14ac:dyDescent="0.25">
      <c r="B3685" s="51" t="s">
        <v>127</v>
      </c>
      <c r="C3685" s="52">
        <v>613</v>
      </c>
      <c r="D3685" s="53" t="s">
        <v>4330</v>
      </c>
      <c r="E3685" s="54"/>
      <c r="F3685" s="52" t="str">
        <f>IF(INDEX(I.CCUS.EndRange,613)="","",INDEX(I.CCUS.EndRange,613))</f>
        <v/>
      </c>
      <c r="G3685" s="54"/>
      <c r="H3685" s="52" t="str">
        <f>IF(AND(I.Compliance.FulfilledCCUS&gt;0,I.CCUS.RangeCount&gt;=613,F3685=""),"Incomplete","Complete")</f>
        <v>Complete</v>
      </c>
      <c r="I3685" s="55" t="s">
        <v>3882</v>
      </c>
    </row>
    <row r="3686" spans="2:9" ht="15" customHeight="1" x14ac:dyDescent="0.25">
      <c r="B3686" s="51" t="s">
        <v>127</v>
      </c>
      <c r="C3686" s="52">
        <v>614</v>
      </c>
      <c r="D3686" s="53" t="s">
        <v>4330</v>
      </c>
      <c r="E3686" s="54"/>
      <c r="F3686" s="52" t="str">
        <f>IF(INDEX(I.CCUS.EndRange,614)="","",INDEX(I.CCUS.EndRange,614))</f>
        <v/>
      </c>
      <c r="G3686" s="54"/>
      <c r="H3686" s="52" t="str">
        <f>IF(AND(I.Compliance.FulfilledCCUS&gt;0,I.CCUS.RangeCount&gt;=614,F3686=""),"Incomplete","Complete")</f>
        <v>Complete</v>
      </c>
      <c r="I3686" s="55" t="s">
        <v>3883</v>
      </c>
    </row>
    <row r="3687" spans="2:9" ht="15" customHeight="1" x14ac:dyDescent="0.25">
      <c r="B3687" s="51" t="s">
        <v>127</v>
      </c>
      <c r="C3687" s="52">
        <v>615</v>
      </c>
      <c r="D3687" s="53" t="s">
        <v>4330</v>
      </c>
      <c r="E3687" s="54"/>
      <c r="F3687" s="52" t="str">
        <f>IF(INDEX(I.CCUS.EndRange,615)="","",INDEX(I.CCUS.EndRange,615))</f>
        <v/>
      </c>
      <c r="G3687" s="54"/>
      <c r="H3687" s="52" t="str">
        <f>IF(AND(I.Compliance.FulfilledCCUS&gt;0,I.CCUS.RangeCount&gt;=615,F3687=""),"Incomplete","Complete")</f>
        <v>Complete</v>
      </c>
      <c r="I3687" s="55" t="s">
        <v>3884</v>
      </c>
    </row>
    <row r="3688" spans="2:9" ht="15" customHeight="1" x14ac:dyDescent="0.25">
      <c r="B3688" s="51" t="s">
        <v>127</v>
      </c>
      <c r="C3688" s="52">
        <v>616</v>
      </c>
      <c r="D3688" s="53" t="s">
        <v>4330</v>
      </c>
      <c r="E3688" s="54"/>
      <c r="F3688" s="52" t="str">
        <f>IF(INDEX(I.CCUS.EndRange,616)="","",INDEX(I.CCUS.EndRange,616))</f>
        <v/>
      </c>
      <c r="G3688" s="54"/>
      <c r="H3688" s="52" t="str">
        <f>IF(AND(I.Compliance.FulfilledCCUS&gt;0,I.CCUS.RangeCount&gt;=616,F3688=""),"Incomplete","Complete")</f>
        <v>Complete</v>
      </c>
      <c r="I3688" s="55" t="s">
        <v>3885</v>
      </c>
    </row>
    <row r="3689" spans="2:9" ht="15" customHeight="1" x14ac:dyDescent="0.25">
      <c r="B3689" s="51" t="s">
        <v>127</v>
      </c>
      <c r="C3689" s="52">
        <v>617</v>
      </c>
      <c r="D3689" s="53" t="s">
        <v>4330</v>
      </c>
      <c r="E3689" s="54"/>
      <c r="F3689" s="52" t="str">
        <f>IF(INDEX(I.CCUS.EndRange,617)="","",INDEX(I.CCUS.EndRange,617))</f>
        <v/>
      </c>
      <c r="G3689" s="54"/>
      <c r="H3689" s="52" t="str">
        <f>IF(AND(I.Compliance.FulfilledCCUS&gt;0,I.CCUS.RangeCount&gt;=617,F3689=""),"Incomplete","Complete")</f>
        <v>Complete</v>
      </c>
      <c r="I3689" s="55" t="s">
        <v>3886</v>
      </c>
    </row>
    <row r="3690" spans="2:9" ht="15" customHeight="1" x14ac:dyDescent="0.25">
      <c r="B3690" s="51" t="s">
        <v>127</v>
      </c>
      <c r="C3690" s="52">
        <v>618</v>
      </c>
      <c r="D3690" s="53" t="s">
        <v>4330</v>
      </c>
      <c r="E3690" s="54"/>
      <c r="F3690" s="52" t="str">
        <f>IF(INDEX(I.CCUS.EndRange,618)="","",INDEX(I.CCUS.EndRange,618))</f>
        <v/>
      </c>
      <c r="G3690" s="54"/>
      <c r="H3690" s="52" t="str">
        <f>IF(AND(I.Compliance.FulfilledCCUS&gt;0,I.CCUS.RangeCount&gt;=618,F3690=""),"Incomplete","Complete")</f>
        <v>Complete</v>
      </c>
      <c r="I3690" s="55" t="s">
        <v>3887</v>
      </c>
    </row>
    <row r="3691" spans="2:9" ht="15" customHeight="1" x14ac:dyDescent="0.25">
      <c r="B3691" s="51" t="s">
        <v>127</v>
      </c>
      <c r="C3691" s="52">
        <v>619</v>
      </c>
      <c r="D3691" s="53" t="s">
        <v>4330</v>
      </c>
      <c r="E3691" s="54"/>
      <c r="F3691" s="52" t="str">
        <f>IF(INDEX(I.CCUS.EndRange,619)="","",INDEX(I.CCUS.EndRange,619))</f>
        <v/>
      </c>
      <c r="G3691" s="54"/>
      <c r="H3691" s="52" t="str">
        <f>IF(AND(I.Compliance.FulfilledCCUS&gt;0,I.CCUS.RangeCount&gt;=619,F3691=""),"Incomplete","Complete")</f>
        <v>Complete</v>
      </c>
      <c r="I3691" s="55" t="s">
        <v>3888</v>
      </c>
    </row>
    <row r="3692" spans="2:9" ht="15" customHeight="1" x14ac:dyDescent="0.25">
      <c r="B3692" s="51" t="s">
        <v>127</v>
      </c>
      <c r="C3692" s="52">
        <v>620</v>
      </c>
      <c r="D3692" s="53" t="s">
        <v>4330</v>
      </c>
      <c r="E3692" s="54"/>
      <c r="F3692" s="52" t="str">
        <f>IF(INDEX(I.CCUS.EndRange,620)="","",INDEX(I.CCUS.EndRange,620))</f>
        <v/>
      </c>
      <c r="G3692" s="54"/>
      <c r="H3692" s="52" t="str">
        <f>IF(AND(I.Compliance.FulfilledCCUS&gt;0,I.CCUS.RangeCount&gt;=620,F3692=""),"Incomplete","Complete")</f>
        <v>Complete</v>
      </c>
      <c r="I3692" s="55" t="s">
        <v>3889</v>
      </c>
    </row>
    <row r="3693" spans="2:9" ht="15" customHeight="1" x14ac:dyDescent="0.25">
      <c r="B3693" s="51" t="s">
        <v>127</v>
      </c>
      <c r="C3693" s="52">
        <v>621</v>
      </c>
      <c r="D3693" s="53" t="s">
        <v>4330</v>
      </c>
      <c r="E3693" s="54"/>
      <c r="F3693" s="52" t="str">
        <f>IF(INDEX(I.CCUS.EndRange,621)="","",INDEX(I.CCUS.EndRange,621))</f>
        <v/>
      </c>
      <c r="G3693" s="54"/>
      <c r="H3693" s="52" t="str">
        <f>IF(AND(I.Compliance.FulfilledCCUS&gt;0,I.CCUS.RangeCount&gt;=621,F3693=""),"Incomplete","Complete")</f>
        <v>Complete</v>
      </c>
      <c r="I3693" s="55" t="s">
        <v>3890</v>
      </c>
    </row>
    <row r="3694" spans="2:9" ht="15" customHeight="1" x14ac:dyDescent="0.25">
      <c r="B3694" s="51" t="s">
        <v>127</v>
      </c>
      <c r="C3694" s="52">
        <v>622</v>
      </c>
      <c r="D3694" s="53" t="s">
        <v>4330</v>
      </c>
      <c r="E3694" s="54"/>
      <c r="F3694" s="52" t="str">
        <f>IF(INDEX(I.CCUS.EndRange,622)="","",INDEX(I.CCUS.EndRange,622))</f>
        <v/>
      </c>
      <c r="G3694" s="54"/>
      <c r="H3694" s="52" t="str">
        <f>IF(AND(I.Compliance.FulfilledCCUS&gt;0,I.CCUS.RangeCount&gt;=622,F3694=""),"Incomplete","Complete")</f>
        <v>Complete</v>
      </c>
      <c r="I3694" s="55" t="s">
        <v>3891</v>
      </c>
    </row>
    <row r="3695" spans="2:9" ht="15" customHeight="1" x14ac:dyDescent="0.25">
      <c r="B3695" s="51" t="s">
        <v>127</v>
      </c>
      <c r="C3695" s="52">
        <v>623</v>
      </c>
      <c r="D3695" s="53" t="s">
        <v>4330</v>
      </c>
      <c r="E3695" s="54"/>
      <c r="F3695" s="52" t="str">
        <f>IF(INDEX(I.CCUS.EndRange,623)="","",INDEX(I.CCUS.EndRange,623))</f>
        <v/>
      </c>
      <c r="G3695" s="54"/>
      <c r="H3695" s="52" t="str">
        <f>IF(AND(I.Compliance.FulfilledCCUS&gt;0,I.CCUS.RangeCount&gt;=623,F3695=""),"Incomplete","Complete")</f>
        <v>Complete</v>
      </c>
      <c r="I3695" s="55" t="s">
        <v>3892</v>
      </c>
    </row>
    <row r="3696" spans="2:9" ht="15" customHeight="1" x14ac:dyDescent="0.25">
      <c r="B3696" s="51" t="s">
        <v>127</v>
      </c>
      <c r="C3696" s="52">
        <v>624</v>
      </c>
      <c r="D3696" s="53" t="s">
        <v>4330</v>
      </c>
      <c r="E3696" s="54"/>
      <c r="F3696" s="52" t="str">
        <f>IF(INDEX(I.CCUS.EndRange,624)="","",INDEX(I.CCUS.EndRange,624))</f>
        <v/>
      </c>
      <c r="G3696" s="54"/>
      <c r="H3696" s="52" t="str">
        <f>IF(AND(I.Compliance.FulfilledCCUS&gt;0,I.CCUS.RangeCount&gt;=624,F3696=""),"Incomplete","Complete")</f>
        <v>Complete</v>
      </c>
      <c r="I3696" s="55" t="s">
        <v>3893</v>
      </c>
    </row>
    <row r="3697" spans="2:9" ht="15" customHeight="1" x14ac:dyDescent="0.25">
      <c r="B3697" s="51" t="s">
        <v>127</v>
      </c>
      <c r="C3697" s="52">
        <v>625</v>
      </c>
      <c r="D3697" s="53" t="s">
        <v>4330</v>
      </c>
      <c r="E3697" s="54"/>
      <c r="F3697" s="52" t="str">
        <f>IF(INDEX(I.CCUS.EndRange,625)="","",INDEX(I.CCUS.EndRange,625))</f>
        <v/>
      </c>
      <c r="G3697" s="54"/>
      <c r="H3697" s="52" t="str">
        <f>IF(AND(I.Compliance.FulfilledCCUS&gt;0,I.CCUS.RangeCount&gt;=625,F3697=""),"Incomplete","Complete")</f>
        <v>Complete</v>
      </c>
      <c r="I3697" s="55" t="s">
        <v>3894</v>
      </c>
    </row>
    <row r="3698" spans="2:9" ht="15" customHeight="1" x14ac:dyDescent="0.25">
      <c r="B3698" s="51" t="s">
        <v>127</v>
      </c>
      <c r="C3698" s="52">
        <v>626</v>
      </c>
      <c r="D3698" s="53" t="s">
        <v>4330</v>
      </c>
      <c r="E3698" s="54"/>
      <c r="F3698" s="52" t="str">
        <f>IF(INDEX(I.CCUS.EndRange,626)="","",INDEX(I.CCUS.EndRange,626))</f>
        <v/>
      </c>
      <c r="G3698" s="54"/>
      <c r="H3698" s="52" t="str">
        <f>IF(AND(I.Compliance.FulfilledCCUS&gt;0,I.CCUS.RangeCount&gt;=626,F3698=""),"Incomplete","Complete")</f>
        <v>Complete</v>
      </c>
      <c r="I3698" s="55" t="s">
        <v>3895</v>
      </c>
    </row>
    <row r="3699" spans="2:9" ht="15" customHeight="1" x14ac:dyDescent="0.25">
      <c r="B3699" s="51" t="s">
        <v>127</v>
      </c>
      <c r="C3699" s="52">
        <v>627</v>
      </c>
      <c r="D3699" s="53" t="s">
        <v>4330</v>
      </c>
      <c r="E3699" s="54"/>
      <c r="F3699" s="52" t="str">
        <f>IF(INDEX(I.CCUS.EndRange,627)="","",INDEX(I.CCUS.EndRange,627))</f>
        <v/>
      </c>
      <c r="G3699" s="54"/>
      <c r="H3699" s="52" t="str">
        <f>IF(AND(I.Compliance.FulfilledCCUS&gt;0,I.CCUS.RangeCount&gt;=627,F3699=""),"Incomplete","Complete")</f>
        <v>Complete</v>
      </c>
      <c r="I3699" s="55" t="s">
        <v>3896</v>
      </c>
    </row>
    <row r="3700" spans="2:9" ht="15" customHeight="1" x14ac:dyDescent="0.25">
      <c r="B3700" s="51" t="s">
        <v>127</v>
      </c>
      <c r="C3700" s="52">
        <v>628</v>
      </c>
      <c r="D3700" s="53" t="s">
        <v>4330</v>
      </c>
      <c r="E3700" s="54"/>
      <c r="F3700" s="52" t="str">
        <f>IF(INDEX(I.CCUS.EndRange,628)="","",INDEX(I.CCUS.EndRange,628))</f>
        <v/>
      </c>
      <c r="G3700" s="54"/>
      <c r="H3700" s="52" t="str">
        <f>IF(AND(I.Compliance.FulfilledCCUS&gt;0,I.CCUS.RangeCount&gt;=628,F3700=""),"Incomplete","Complete")</f>
        <v>Complete</v>
      </c>
      <c r="I3700" s="55" t="s">
        <v>3897</v>
      </c>
    </row>
    <row r="3701" spans="2:9" ht="15" customHeight="1" x14ac:dyDescent="0.25">
      <c r="B3701" s="51" t="s">
        <v>127</v>
      </c>
      <c r="C3701" s="52">
        <v>629</v>
      </c>
      <c r="D3701" s="53" t="s">
        <v>4330</v>
      </c>
      <c r="E3701" s="54"/>
      <c r="F3701" s="52" t="str">
        <f>IF(INDEX(I.CCUS.EndRange,629)="","",INDEX(I.CCUS.EndRange,629))</f>
        <v/>
      </c>
      <c r="G3701" s="54"/>
      <c r="H3701" s="52" t="str">
        <f>IF(AND(I.Compliance.FulfilledCCUS&gt;0,I.CCUS.RangeCount&gt;=629,F3701=""),"Incomplete","Complete")</f>
        <v>Complete</v>
      </c>
      <c r="I3701" s="55" t="s">
        <v>3898</v>
      </c>
    </row>
    <row r="3702" spans="2:9" ht="15" customHeight="1" x14ac:dyDescent="0.25">
      <c r="B3702" s="51" t="s">
        <v>127</v>
      </c>
      <c r="C3702" s="52">
        <v>630</v>
      </c>
      <c r="D3702" s="53" t="s">
        <v>4330</v>
      </c>
      <c r="E3702" s="54"/>
      <c r="F3702" s="52" t="str">
        <f>IF(INDEX(I.CCUS.EndRange,630)="","",INDEX(I.CCUS.EndRange,630))</f>
        <v/>
      </c>
      <c r="G3702" s="54"/>
      <c r="H3702" s="52" t="str">
        <f>IF(AND(I.Compliance.FulfilledCCUS&gt;0,I.CCUS.RangeCount&gt;=630,F3702=""),"Incomplete","Complete")</f>
        <v>Complete</v>
      </c>
      <c r="I3702" s="55" t="s">
        <v>3899</v>
      </c>
    </row>
    <row r="3703" spans="2:9" ht="15" customHeight="1" x14ac:dyDescent="0.25">
      <c r="B3703" s="51" t="s">
        <v>127</v>
      </c>
      <c r="C3703" s="52">
        <v>631</v>
      </c>
      <c r="D3703" s="53" t="s">
        <v>4330</v>
      </c>
      <c r="E3703" s="54"/>
      <c r="F3703" s="52" t="str">
        <f>IF(INDEX(I.CCUS.EndRange,631)="","",INDEX(I.CCUS.EndRange,631))</f>
        <v/>
      </c>
      <c r="G3703" s="54"/>
      <c r="H3703" s="52" t="str">
        <f>IF(AND(I.Compliance.FulfilledCCUS&gt;0,I.CCUS.RangeCount&gt;=631,F3703=""),"Incomplete","Complete")</f>
        <v>Complete</v>
      </c>
      <c r="I3703" s="55" t="s">
        <v>3900</v>
      </c>
    </row>
    <row r="3704" spans="2:9" ht="15" customHeight="1" x14ac:dyDescent="0.25">
      <c r="B3704" s="51" t="s">
        <v>127</v>
      </c>
      <c r="C3704" s="52">
        <v>632</v>
      </c>
      <c r="D3704" s="53" t="s">
        <v>4330</v>
      </c>
      <c r="E3704" s="54"/>
      <c r="F3704" s="52" t="str">
        <f>IF(INDEX(I.CCUS.EndRange,632)="","",INDEX(I.CCUS.EndRange,632))</f>
        <v/>
      </c>
      <c r="G3704" s="54"/>
      <c r="H3704" s="52" t="str">
        <f>IF(AND(I.Compliance.FulfilledCCUS&gt;0,I.CCUS.RangeCount&gt;=632,F3704=""),"Incomplete","Complete")</f>
        <v>Complete</v>
      </c>
      <c r="I3704" s="55" t="s">
        <v>3901</v>
      </c>
    </row>
    <row r="3705" spans="2:9" ht="15" customHeight="1" x14ac:dyDescent="0.25">
      <c r="B3705" s="51" t="s">
        <v>127</v>
      </c>
      <c r="C3705" s="52">
        <v>633</v>
      </c>
      <c r="D3705" s="53" t="s">
        <v>4330</v>
      </c>
      <c r="E3705" s="54"/>
      <c r="F3705" s="52" t="str">
        <f>IF(INDEX(I.CCUS.EndRange,633)="","",INDEX(I.CCUS.EndRange,633))</f>
        <v/>
      </c>
      <c r="G3705" s="54"/>
      <c r="H3705" s="52" t="str">
        <f>IF(AND(I.Compliance.FulfilledCCUS&gt;0,I.CCUS.RangeCount&gt;=633,F3705=""),"Incomplete","Complete")</f>
        <v>Complete</v>
      </c>
      <c r="I3705" s="55" t="s">
        <v>3902</v>
      </c>
    </row>
    <row r="3706" spans="2:9" ht="15" customHeight="1" x14ac:dyDescent="0.25">
      <c r="B3706" s="51" t="s">
        <v>127</v>
      </c>
      <c r="C3706" s="52">
        <v>634</v>
      </c>
      <c r="D3706" s="53" t="s">
        <v>4330</v>
      </c>
      <c r="E3706" s="54"/>
      <c r="F3706" s="52" t="str">
        <f>IF(INDEX(I.CCUS.EndRange,634)="","",INDEX(I.CCUS.EndRange,634))</f>
        <v/>
      </c>
      <c r="G3706" s="54"/>
      <c r="H3706" s="52" t="str">
        <f>IF(AND(I.Compliance.FulfilledCCUS&gt;0,I.CCUS.RangeCount&gt;=634,F3706=""),"Incomplete","Complete")</f>
        <v>Complete</v>
      </c>
      <c r="I3706" s="55" t="s">
        <v>3903</v>
      </c>
    </row>
    <row r="3707" spans="2:9" ht="15" customHeight="1" x14ac:dyDescent="0.25">
      <c r="B3707" s="51" t="s">
        <v>127</v>
      </c>
      <c r="C3707" s="52">
        <v>635</v>
      </c>
      <c r="D3707" s="53" t="s">
        <v>4330</v>
      </c>
      <c r="E3707" s="54"/>
      <c r="F3707" s="52" t="str">
        <f>IF(INDEX(I.CCUS.EndRange,635)="","",INDEX(I.CCUS.EndRange,635))</f>
        <v/>
      </c>
      <c r="G3707" s="54"/>
      <c r="H3707" s="52" t="str">
        <f>IF(AND(I.Compliance.FulfilledCCUS&gt;0,I.CCUS.RangeCount&gt;=635,F3707=""),"Incomplete","Complete")</f>
        <v>Complete</v>
      </c>
      <c r="I3707" s="55" t="s">
        <v>3904</v>
      </c>
    </row>
    <row r="3708" spans="2:9" ht="15" customHeight="1" x14ac:dyDescent="0.25">
      <c r="B3708" s="51" t="s">
        <v>127</v>
      </c>
      <c r="C3708" s="52">
        <v>636</v>
      </c>
      <c r="D3708" s="53" t="s">
        <v>4330</v>
      </c>
      <c r="E3708" s="54"/>
      <c r="F3708" s="52" t="str">
        <f>IF(INDEX(I.CCUS.EndRange,636)="","",INDEX(I.CCUS.EndRange,636))</f>
        <v/>
      </c>
      <c r="G3708" s="54"/>
      <c r="H3708" s="52" t="str">
        <f>IF(AND(I.Compliance.FulfilledCCUS&gt;0,I.CCUS.RangeCount&gt;=636,F3708=""),"Incomplete","Complete")</f>
        <v>Complete</v>
      </c>
      <c r="I3708" s="55" t="s">
        <v>3905</v>
      </c>
    </row>
    <row r="3709" spans="2:9" ht="15" customHeight="1" x14ac:dyDescent="0.25">
      <c r="B3709" s="51" t="s">
        <v>127</v>
      </c>
      <c r="C3709" s="52">
        <v>637</v>
      </c>
      <c r="D3709" s="53" t="s">
        <v>4330</v>
      </c>
      <c r="E3709" s="54"/>
      <c r="F3709" s="52" t="str">
        <f>IF(INDEX(I.CCUS.EndRange,637)="","",INDEX(I.CCUS.EndRange,637))</f>
        <v/>
      </c>
      <c r="G3709" s="54"/>
      <c r="H3709" s="52" t="str">
        <f>IF(AND(I.Compliance.FulfilledCCUS&gt;0,I.CCUS.RangeCount&gt;=637,F3709=""),"Incomplete","Complete")</f>
        <v>Complete</v>
      </c>
      <c r="I3709" s="55" t="s">
        <v>3906</v>
      </c>
    </row>
    <row r="3710" spans="2:9" ht="15" customHeight="1" x14ac:dyDescent="0.25">
      <c r="B3710" s="51" t="s">
        <v>127</v>
      </c>
      <c r="C3710" s="52">
        <v>638</v>
      </c>
      <c r="D3710" s="53" t="s">
        <v>4330</v>
      </c>
      <c r="E3710" s="54"/>
      <c r="F3710" s="52" t="str">
        <f>IF(INDEX(I.CCUS.EndRange,638)="","",INDEX(I.CCUS.EndRange,638))</f>
        <v/>
      </c>
      <c r="G3710" s="54"/>
      <c r="H3710" s="52" t="str">
        <f>IF(AND(I.Compliance.FulfilledCCUS&gt;0,I.CCUS.RangeCount&gt;=638,F3710=""),"Incomplete","Complete")</f>
        <v>Complete</v>
      </c>
      <c r="I3710" s="55" t="s">
        <v>3907</v>
      </c>
    </row>
    <row r="3711" spans="2:9" ht="15" customHeight="1" x14ac:dyDescent="0.25">
      <c r="B3711" s="51" t="s">
        <v>127</v>
      </c>
      <c r="C3711" s="52">
        <v>639</v>
      </c>
      <c r="D3711" s="53" t="s">
        <v>4330</v>
      </c>
      <c r="E3711" s="54"/>
      <c r="F3711" s="52" t="str">
        <f>IF(INDEX(I.CCUS.EndRange,639)="","",INDEX(I.CCUS.EndRange,639))</f>
        <v/>
      </c>
      <c r="G3711" s="54"/>
      <c r="H3711" s="52" t="str">
        <f>IF(AND(I.Compliance.FulfilledCCUS&gt;0,I.CCUS.RangeCount&gt;=639,F3711=""),"Incomplete","Complete")</f>
        <v>Complete</v>
      </c>
      <c r="I3711" s="55" t="s">
        <v>3908</v>
      </c>
    </row>
    <row r="3712" spans="2:9" ht="15" customHeight="1" x14ac:dyDescent="0.25">
      <c r="B3712" s="51" t="s">
        <v>127</v>
      </c>
      <c r="C3712" s="52">
        <v>640</v>
      </c>
      <c r="D3712" s="53" t="s">
        <v>4330</v>
      </c>
      <c r="E3712" s="54"/>
      <c r="F3712" s="52" t="str">
        <f>IF(INDEX(I.CCUS.EndRange,640)="","",INDEX(I.CCUS.EndRange,640))</f>
        <v/>
      </c>
      <c r="G3712" s="54"/>
      <c r="H3712" s="52" t="str">
        <f>IF(AND(I.Compliance.FulfilledCCUS&gt;0,I.CCUS.RangeCount&gt;=640,F3712=""),"Incomplete","Complete")</f>
        <v>Complete</v>
      </c>
      <c r="I3712" s="55" t="s">
        <v>3909</v>
      </c>
    </row>
    <row r="3713" spans="2:9" ht="15" customHeight="1" x14ac:dyDescent="0.25">
      <c r="B3713" s="51" t="s">
        <v>127</v>
      </c>
      <c r="C3713" s="52">
        <v>641</v>
      </c>
      <c r="D3713" s="53" t="s">
        <v>4330</v>
      </c>
      <c r="E3713" s="54"/>
      <c r="F3713" s="52" t="str">
        <f>IF(INDEX(I.CCUS.EndRange,641)="","",INDEX(I.CCUS.EndRange,641))</f>
        <v/>
      </c>
      <c r="G3713" s="54"/>
      <c r="H3713" s="52" t="str">
        <f>IF(AND(I.Compliance.FulfilledCCUS&gt;0,I.CCUS.RangeCount&gt;=641,F3713=""),"Incomplete","Complete")</f>
        <v>Complete</v>
      </c>
      <c r="I3713" s="55" t="s">
        <v>3910</v>
      </c>
    </row>
    <row r="3714" spans="2:9" ht="15" customHeight="1" x14ac:dyDescent="0.25">
      <c r="B3714" s="51" t="s">
        <v>127</v>
      </c>
      <c r="C3714" s="52">
        <v>642</v>
      </c>
      <c r="D3714" s="53" t="s">
        <v>4330</v>
      </c>
      <c r="E3714" s="54"/>
      <c r="F3714" s="52" t="str">
        <f>IF(INDEX(I.CCUS.EndRange,642)="","",INDEX(I.CCUS.EndRange,642))</f>
        <v/>
      </c>
      <c r="G3714" s="54"/>
      <c r="H3714" s="52" t="str">
        <f>IF(AND(I.Compliance.FulfilledCCUS&gt;0,I.CCUS.RangeCount&gt;=642,F3714=""),"Incomplete","Complete")</f>
        <v>Complete</v>
      </c>
      <c r="I3714" s="55" t="s">
        <v>3911</v>
      </c>
    </row>
    <row r="3715" spans="2:9" ht="15" customHeight="1" x14ac:dyDescent="0.25">
      <c r="B3715" s="51" t="s">
        <v>127</v>
      </c>
      <c r="C3715" s="52">
        <v>643</v>
      </c>
      <c r="D3715" s="53" t="s">
        <v>4330</v>
      </c>
      <c r="E3715" s="54"/>
      <c r="F3715" s="52" t="str">
        <f>IF(INDEX(I.CCUS.EndRange,643)="","",INDEX(I.CCUS.EndRange,643))</f>
        <v/>
      </c>
      <c r="G3715" s="54"/>
      <c r="H3715" s="52" t="str">
        <f>IF(AND(I.Compliance.FulfilledCCUS&gt;0,I.CCUS.RangeCount&gt;=643,F3715=""),"Incomplete","Complete")</f>
        <v>Complete</v>
      </c>
      <c r="I3715" s="55" t="s">
        <v>3912</v>
      </c>
    </row>
    <row r="3716" spans="2:9" ht="15" customHeight="1" x14ac:dyDescent="0.25">
      <c r="B3716" s="51" t="s">
        <v>127</v>
      </c>
      <c r="C3716" s="52">
        <v>644</v>
      </c>
      <c r="D3716" s="53" t="s">
        <v>4330</v>
      </c>
      <c r="E3716" s="54"/>
      <c r="F3716" s="52" t="str">
        <f>IF(INDEX(I.CCUS.EndRange,644)="","",INDEX(I.CCUS.EndRange,644))</f>
        <v/>
      </c>
      <c r="G3716" s="54"/>
      <c r="H3716" s="52" t="str">
        <f>IF(AND(I.Compliance.FulfilledCCUS&gt;0,I.CCUS.RangeCount&gt;=644,F3716=""),"Incomplete","Complete")</f>
        <v>Complete</v>
      </c>
      <c r="I3716" s="55" t="s">
        <v>3913</v>
      </c>
    </row>
    <row r="3717" spans="2:9" ht="15" customHeight="1" x14ac:dyDescent="0.25">
      <c r="B3717" s="51" t="s">
        <v>127</v>
      </c>
      <c r="C3717" s="52">
        <v>645</v>
      </c>
      <c r="D3717" s="53" t="s">
        <v>4330</v>
      </c>
      <c r="E3717" s="54"/>
      <c r="F3717" s="52" t="str">
        <f>IF(INDEX(I.CCUS.EndRange,645)="","",INDEX(I.CCUS.EndRange,645))</f>
        <v/>
      </c>
      <c r="G3717" s="54"/>
      <c r="H3717" s="52" t="str">
        <f>IF(AND(I.Compliance.FulfilledCCUS&gt;0,I.CCUS.RangeCount&gt;=645,F3717=""),"Incomplete","Complete")</f>
        <v>Complete</v>
      </c>
      <c r="I3717" s="55" t="s">
        <v>3914</v>
      </c>
    </row>
    <row r="3718" spans="2:9" ht="15" customHeight="1" x14ac:dyDescent="0.25">
      <c r="B3718" s="51" t="s">
        <v>127</v>
      </c>
      <c r="C3718" s="52">
        <v>646</v>
      </c>
      <c r="D3718" s="53" t="s">
        <v>4330</v>
      </c>
      <c r="E3718" s="54"/>
      <c r="F3718" s="52" t="str">
        <f>IF(INDEX(I.CCUS.EndRange,646)="","",INDEX(I.CCUS.EndRange,646))</f>
        <v/>
      </c>
      <c r="G3718" s="54"/>
      <c r="H3718" s="52" t="str">
        <f>IF(AND(I.Compliance.FulfilledCCUS&gt;0,I.CCUS.RangeCount&gt;=646,F3718=""),"Incomplete","Complete")</f>
        <v>Complete</v>
      </c>
      <c r="I3718" s="55" t="s">
        <v>3915</v>
      </c>
    </row>
    <row r="3719" spans="2:9" ht="15" customHeight="1" x14ac:dyDescent="0.25">
      <c r="B3719" s="51" t="s">
        <v>127</v>
      </c>
      <c r="C3719" s="52">
        <v>647</v>
      </c>
      <c r="D3719" s="53" t="s">
        <v>4330</v>
      </c>
      <c r="E3719" s="54"/>
      <c r="F3719" s="52" t="str">
        <f>IF(INDEX(I.CCUS.EndRange,647)="","",INDEX(I.CCUS.EndRange,647))</f>
        <v/>
      </c>
      <c r="G3719" s="54"/>
      <c r="H3719" s="52" t="str">
        <f>IF(AND(I.Compliance.FulfilledCCUS&gt;0,I.CCUS.RangeCount&gt;=647,F3719=""),"Incomplete","Complete")</f>
        <v>Complete</v>
      </c>
      <c r="I3719" s="55" t="s">
        <v>3916</v>
      </c>
    </row>
    <row r="3720" spans="2:9" ht="15" customHeight="1" x14ac:dyDescent="0.25">
      <c r="B3720" s="51" t="s">
        <v>127</v>
      </c>
      <c r="C3720" s="52">
        <v>648</v>
      </c>
      <c r="D3720" s="53" t="s">
        <v>4330</v>
      </c>
      <c r="E3720" s="54"/>
      <c r="F3720" s="52" t="str">
        <f>IF(INDEX(I.CCUS.EndRange,648)="","",INDEX(I.CCUS.EndRange,648))</f>
        <v/>
      </c>
      <c r="G3720" s="54"/>
      <c r="H3720" s="52" t="str">
        <f>IF(AND(I.Compliance.FulfilledCCUS&gt;0,I.CCUS.RangeCount&gt;=648,F3720=""),"Incomplete","Complete")</f>
        <v>Complete</v>
      </c>
      <c r="I3720" s="55" t="s">
        <v>3917</v>
      </c>
    </row>
    <row r="3721" spans="2:9" ht="15" customHeight="1" x14ac:dyDescent="0.25">
      <c r="B3721" s="51" t="s">
        <v>127</v>
      </c>
      <c r="C3721" s="52">
        <v>649</v>
      </c>
      <c r="D3721" s="53" t="s">
        <v>4330</v>
      </c>
      <c r="E3721" s="54"/>
      <c r="F3721" s="52" t="str">
        <f>IF(INDEX(I.CCUS.EndRange,649)="","",INDEX(I.CCUS.EndRange,649))</f>
        <v/>
      </c>
      <c r="G3721" s="54"/>
      <c r="H3721" s="52" t="str">
        <f>IF(AND(I.Compliance.FulfilledCCUS&gt;0,I.CCUS.RangeCount&gt;=649,F3721=""),"Incomplete","Complete")</f>
        <v>Complete</v>
      </c>
      <c r="I3721" s="55" t="s">
        <v>3918</v>
      </c>
    </row>
    <row r="3722" spans="2:9" ht="15" customHeight="1" x14ac:dyDescent="0.25">
      <c r="B3722" s="51" t="s">
        <v>127</v>
      </c>
      <c r="C3722" s="52">
        <v>650</v>
      </c>
      <c r="D3722" s="53" t="s">
        <v>4330</v>
      </c>
      <c r="E3722" s="54"/>
      <c r="F3722" s="52" t="str">
        <f>IF(INDEX(I.CCUS.EndRange,650)="","",INDEX(I.CCUS.EndRange,650))</f>
        <v/>
      </c>
      <c r="G3722" s="54"/>
      <c r="H3722" s="52" t="str">
        <f>IF(AND(I.Compliance.FulfilledCCUS&gt;0,I.CCUS.RangeCount&gt;=650,F3722=""),"Incomplete","Complete")</f>
        <v>Complete</v>
      </c>
      <c r="I3722" s="55" t="s">
        <v>3919</v>
      </c>
    </row>
    <row r="3723" spans="2:9" ht="15" customHeight="1" x14ac:dyDescent="0.25">
      <c r="B3723" s="51" t="s">
        <v>127</v>
      </c>
      <c r="C3723" s="52">
        <v>651</v>
      </c>
      <c r="D3723" s="53" t="s">
        <v>4330</v>
      </c>
      <c r="E3723" s="54"/>
      <c r="F3723" s="52" t="str">
        <f>IF(INDEX(I.CCUS.EndRange,651)="","",INDEX(I.CCUS.EndRange,651))</f>
        <v/>
      </c>
      <c r="G3723" s="54"/>
      <c r="H3723" s="52" t="str">
        <f>IF(AND(I.Compliance.FulfilledCCUS&gt;0,I.CCUS.RangeCount&gt;=651,F3723=""),"Incomplete","Complete")</f>
        <v>Complete</v>
      </c>
      <c r="I3723" s="55" t="s">
        <v>3920</v>
      </c>
    </row>
    <row r="3724" spans="2:9" ht="15" customHeight="1" x14ac:dyDescent="0.25">
      <c r="B3724" s="51" t="s">
        <v>127</v>
      </c>
      <c r="C3724" s="52">
        <v>652</v>
      </c>
      <c r="D3724" s="53" t="s">
        <v>4330</v>
      </c>
      <c r="E3724" s="54"/>
      <c r="F3724" s="52" t="str">
        <f>IF(INDEX(I.CCUS.EndRange,652)="","",INDEX(I.CCUS.EndRange,652))</f>
        <v/>
      </c>
      <c r="G3724" s="54"/>
      <c r="H3724" s="52" t="str">
        <f>IF(AND(I.Compliance.FulfilledCCUS&gt;0,I.CCUS.RangeCount&gt;=652,F3724=""),"Incomplete","Complete")</f>
        <v>Complete</v>
      </c>
      <c r="I3724" s="55" t="s">
        <v>3921</v>
      </c>
    </row>
    <row r="3725" spans="2:9" ht="15" customHeight="1" x14ac:dyDescent="0.25">
      <c r="B3725" s="51" t="s">
        <v>127</v>
      </c>
      <c r="C3725" s="52">
        <v>653</v>
      </c>
      <c r="D3725" s="53" t="s">
        <v>4330</v>
      </c>
      <c r="E3725" s="54"/>
      <c r="F3725" s="52" t="str">
        <f>IF(INDEX(I.CCUS.EndRange,653)="","",INDEX(I.CCUS.EndRange,653))</f>
        <v/>
      </c>
      <c r="G3725" s="54"/>
      <c r="H3725" s="52" t="str">
        <f>IF(AND(I.Compliance.FulfilledCCUS&gt;0,I.CCUS.RangeCount&gt;=653,F3725=""),"Incomplete","Complete")</f>
        <v>Complete</v>
      </c>
      <c r="I3725" s="55" t="s">
        <v>3922</v>
      </c>
    </row>
    <row r="3726" spans="2:9" ht="15" customHeight="1" x14ac:dyDescent="0.25">
      <c r="B3726" s="51" t="s">
        <v>127</v>
      </c>
      <c r="C3726" s="52">
        <v>654</v>
      </c>
      <c r="D3726" s="53" t="s">
        <v>4330</v>
      </c>
      <c r="E3726" s="54"/>
      <c r="F3726" s="52" t="str">
        <f>IF(INDEX(I.CCUS.EndRange,654)="","",INDEX(I.CCUS.EndRange,654))</f>
        <v/>
      </c>
      <c r="G3726" s="54"/>
      <c r="H3726" s="52" t="str">
        <f>IF(AND(I.Compliance.FulfilledCCUS&gt;0,I.CCUS.RangeCount&gt;=654,F3726=""),"Incomplete","Complete")</f>
        <v>Complete</v>
      </c>
      <c r="I3726" s="55" t="s">
        <v>3923</v>
      </c>
    </row>
    <row r="3727" spans="2:9" ht="15" customHeight="1" x14ac:dyDescent="0.25">
      <c r="B3727" s="51" t="s">
        <v>127</v>
      </c>
      <c r="C3727" s="52">
        <v>655</v>
      </c>
      <c r="D3727" s="53" t="s">
        <v>4330</v>
      </c>
      <c r="E3727" s="54"/>
      <c r="F3727" s="52" t="str">
        <f>IF(INDEX(I.CCUS.EndRange,655)="","",INDEX(I.CCUS.EndRange,655))</f>
        <v/>
      </c>
      <c r="G3727" s="54"/>
      <c r="H3727" s="52" t="str">
        <f>IF(AND(I.Compliance.FulfilledCCUS&gt;0,I.CCUS.RangeCount&gt;=655,F3727=""),"Incomplete","Complete")</f>
        <v>Complete</v>
      </c>
      <c r="I3727" s="55" t="s">
        <v>3924</v>
      </c>
    </row>
    <row r="3728" spans="2:9" ht="15" customHeight="1" x14ac:dyDescent="0.25">
      <c r="B3728" s="51" t="s">
        <v>127</v>
      </c>
      <c r="C3728" s="52">
        <v>656</v>
      </c>
      <c r="D3728" s="53" t="s">
        <v>4330</v>
      </c>
      <c r="E3728" s="54"/>
      <c r="F3728" s="52" t="str">
        <f>IF(INDEX(I.CCUS.EndRange,656)="","",INDEX(I.CCUS.EndRange,656))</f>
        <v/>
      </c>
      <c r="G3728" s="54"/>
      <c r="H3728" s="52" t="str">
        <f>IF(AND(I.Compliance.FulfilledCCUS&gt;0,I.CCUS.RangeCount&gt;=656,F3728=""),"Incomplete","Complete")</f>
        <v>Complete</v>
      </c>
      <c r="I3728" s="55" t="s">
        <v>3925</v>
      </c>
    </row>
    <row r="3729" spans="2:9" ht="15" customHeight="1" x14ac:dyDescent="0.25">
      <c r="B3729" s="51" t="s">
        <v>127</v>
      </c>
      <c r="C3729" s="52">
        <v>657</v>
      </c>
      <c r="D3729" s="53" t="s">
        <v>4330</v>
      </c>
      <c r="E3729" s="54"/>
      <c r="F3729" s="52" t="str">
        <f>IF(INDEX(I.CCUS.EndRange,657)="","",INDEX(I.CCUS.EndRange,657))</f>
        <v/>
      </c>
      <c r="G3729" s="54"/>
      <c r="H3729" s="52" t="str">
        <f>IF(AND(I.Compliance.FulfilledCCUS&gt;0,I.CCUS.RangeCount&gt;=657,F3729=""),"Incomplete","Complete")</f>
        <v>Complete</v>
      </c>
      <c r="I3729" s="55" t="s">
        <v>3926</v>
      </c>
    </row>
    <row r="3730" spans="2:9" ht="15" customHeight="1" x14ac:dyDescent="0.25">
      <c r="B3730" s="51" t="s">
        <v>127</v>
      </c>
      <c r="C3730" s="52">
        <v>658</v>
      </c>
      <c r="D3730" s="53" t="s">
        <v>4330</v>
      </c>
      <c r="E3730" s="54"/>
      <c r="F3730" s="52" t="str">
        <f>IF(INDEX(I.CCUS.EndRange,658)="","",INDEX(I.CCUS.EndRange,658))</f>
        <v/>
      </c>
      <c r="G3730" s="54"/>
      <c r="H3730" s="52" t="str">
        <f>IF(AND(I.Compliance.FulfilledCCUS&gt;0,I.CCUS.RangeCount&gt;=658,F3730=""),"Incomplete","Complete")</f>
        <v>Complete</v>
      </c>
      <c r="I3730" s="55" t="s">
        <v>3927</v>
      </c>
    </row>
    <row r="3731" spans="2:9" ht="15" customHeight="1" x14ac:dyDescent="0.25">
      <c r="B3731" s="51" t="s">
        <v>127</v>
      </c>
      <c r="C3731" s="52">
        <v>659</v>
      </c>
      <c r="D3731" s="53" t="s">
        <v>4330</v>
      </c>
      <c r="E3731" s="54"/>
      <c r="F3731" s="52" t="str">
        <f>IF(INDEX(I.CCUS.EndRange,659)="","",INDEX(I.CCUS.EndRange,659))</f>
        <v/>
      </c>
      <c r="G3731" s="54"/>
      <c r="H3731" s="52" t="str">
        <f>IF(AND(I.Compliance.FulfilledCCUS&gt;0,I.CCUS.RangeCount&gt;=659,F3731=""),"Incomplete","Complete")</f>
        <v>Complete</v>
      </c>
      <c r="I3731" s="55" t="s">
        <v>3928</v>
      </c>
    </row>
    <row r="3732" spans="2:9" ht="15" customHeight="1" x14ac:dyDescent="0.25">
      <c r="B3732" s="51" t="s">
        <v>127</v>
      </c>
      <c r="C3732" s="52">
        <v>660</v>
      </c>
      <c r="D3732" s="53" t="s">
        <v>4330</v>
      </c>
      <c r="E3732" s="54"/>
      <c r="F3732" s="52" t="str">
        <f>IF(INDEX(I.CCUS.EndRange,660)="","",INDEX(I.CCUS.EndRange,660))</f>
        <v/>
      </c>
      <c r="G3732" s="54"/>
      <c r="H3732" s="52" t="str">
        <f>IF(AND(I.Compliance.FulfilledCCUS&gt;0,I.CCUS.RangeCount&gt;=660,F3732=""),"Incomplete","Complete")</f>
        <v>Complete</v>
      </c>
      <c r="I3732" s="55" t="s">
        <v>3929</v>
      </c>
    </row>
    <row r="3733" spans="2:9" ht="15" customHeight="1" x14ac:dyDescent="0.25">
      <c r="B3733" s="51" t="s">
        <v>127</v>
      </c>
      <c r="C3733" s="52">
        <v>661</v>
      </c>
      <c r="D3733" s="53" t="s">
        <v>4330</v>
      </c>
      <c r="E3733" s="54"/>
      <c r="F3733" s="52" t="str">
        <f>IF(INDEX(I.CCUS.EndRange,661)="","",INDEX(I.CCUS.EndRange,661))</f>
        <v/>
      </c>
      <c r="G3733" s="54"/>
      <c r="H3733" s="52" t="str">
        <f>IF(AND(I.Compliance.FulfilledCCUS&gt;0,I.CCUS.RangeCount&gt;=661,F3733=""),"Incomplete","Complete")</f>
        <v>Complete</v>
      </c>
      <c r="I3733" s="55" t="s">
        <v>3930</v>
      </c>
    </row>
    <row r="3734" spans="2:9" ht="15" customHeight="1" x14ac:dyDescent="0.25">
      <c r="B3734" s="51" t="s">
        <v>127</v>
      </c>
      <c r="C3734" s="52">
        <v>662</v>
      </c>
      <c r="D3734" s="53" t="s">
        <v>4330</v>
      </c>
      <c r="E3734" s="54"/>
      <c r="F3734" s="52" t="str">
        <f>IF(INDEX(I.CCUS.EndRange,662)="","",INDEX(I.CCUS.EndRange,662))</f>
        <v/>
      </c>
      <c r="G3734" s="54"/>
      <c r="H3734" s="52" t="str">
        <f>IF(AND(I.Compliance.FulfilledCCUS&gt;0,I.CCUS.RangeCount&gt;=662,F3734=""),"Incomplete","Complete")</f>
        <v>Complete</v>
      </c>
      <c r="I3734" s="55" t="s">
        <v>3931</v>
      </c>
    </row>
    <row r="3735" spans="2:9" ht="15" customHeight="1" x14ac:dyDescent="0.25">
      <c r="B3735" s="51" t="s">
        <v>127</v>
      </c>
      <c r="C3735" s="52">
        <v>663</v>
      </c>
      <c r="D3735" s="53" t="s">
        <v>4330</v>
      </c>
      <c r="E3735" s="54"/>
      <c r="F3735" s="52" t="str">
        <f>IF(INDEX(I.CCUS.EndRange,663)="","",INDEX(I.CCUS.EndRange,663))</f>
        <v/>
      </c>
      <c r="G3735" s="54"/>
      <c r="H3735" s="52" t="str">
        <f>IF(AND(I.Compliance.FulfilledCCUS&gt;0,I.CCUS.RangeCount&gt;=663,F3735=""),"Incomplete","Complete")</f>
        <v>Complete</v>
      </c>
      <c r="I3735" s="55" t="s">
        <v>3932</v>
      </c>
    </row>
    <row r="3736" spans="2:9" ht="15" customHeight="1" x14ac:dyDescent="0.25">
      <c r="B3736" s="51" t="s">
        <v>127</v>
      </c>
      <c r="C3736" s="52">
        <v>664</v>
      </c>
      <c r="D3736" s="53" t="s">
        <v>4330</v>
      </c>
      <c r="E3736" s="54"/>
      <c r="F3736" s="52" t="str">
        <f>IF(INDEX(I.CCUS.EndRange,664)="","",INDEX(I.CCUS.EndRange,664))</f>
        <v/>
      </c>
      <c r="G3736" s="54"/>
      <c r="H3736" s="52" t="str">
        <f>IF(AND(I.Compliance.FulfilledCCUS&gt;0,I.CCUS.RangeCount&gt;=664,F3736=""),"Incomplete","Complete")</f>
        <v>Complete</v>
      </c>
      <c r="I3736" s="55" t="s">
        <v>3933</v>
      </c>
    </row>
    <row r="3737" spans="2:9" ht="15" customHeight="1" x14ac:dyDescent="0.25">
      <c r="B3737" s="51" t="s">
        <v>127</v>
      </c>
      <c r="C3737" s="52">
        <v>665</v>
      </c>
      <c r="D3737" s="53" t="s">
        <v>4330</v>
      </c>
      <c r="E3737" s="54"/>
      <c r="F3737" s="52" t="str">
        <f>IF(INDEX(I.CCUS.EndRange,665)="","",INDEX(I.CCUS.EndRange,665))</f>
        <v/>
      </c>
      <c r="G3737" s="54"/>
      <c r="H3737" s="52" t="str">
        <f>IF(AND(I.Compliance.FulfilledCCUS&gt;0,I.CCUS.RangeCount&gt;=665,F3737=""),"Incomplete","Complete")</f>
        <v>Complete</v>
      </c>
      <c r="I3737" s="55" t="s">
        <v>3934</v>
      </c>
    </row>
    <row r="3738" spans="2:9" ht="15" customHeight="1" x14ac:dyDescent="0.25">
      <c r="B3738" s="51" t="s">
        <v>127</v>
      </c>
      <c r="C3738" s="52">
        <v>666</v>
      </c>
      <c r="D3738" s="53" t="s">
        <v>4330</v>
      </c>
      <c r="E3738" s="54"/>
      <c r="F3738" s="52" t="str">
        <f>IF(INDEX(I.CCUS.EndRange,666)="","",INDEX(I.CCUS.EndRange,666))</f>
        <v/>
      </c>
      <c r="G3738" s="54"/>
      <c r="H3738" s="52" t="str">
        <f>IF(AND(I.Compliance.FulfilledCCUS&gt;0,I.CCUS.RangeCount&gt;=666,F3738=""),"Incomplete","Complete")</f>
        <v>Complete</v>
      </c>
      <c r="I3738" s="55" t="s">
        <v>3935</v>
      </c>
    </row>
    <row r="3739" spans="2:9" ht="15" customHeight="1" x14ac:dyDescent="0.25">
      <c r="B3739" s="51" t="s">
        <v>127</v>
      </c>
      <c r="C3739" s="52">
        <v>667</v>
      </c>
      <c r="D3739" s="53" t="s">
        <v>4330</v>
      </c>
      <c r="E3739" s="54"/>
      <c r="F3739" s="52" t="str">
        <f>IF(INDEX(I.CCUS.EndRange,667)="","",INDEX(I.CCUS.EndRange,667))</f>
        <v/>
      </c>
      <c r="G3739" s="54"/>
      <c r="H3739" s="52" t="str">
        <f>IF(AND(I.Compliance.FulfilledCCUS&gt;0,I.CCUS.RangeCount&gt;=667,F3739=""),"Incomplete","Complete")</f>
        <v>Complete</v>
      </c>
      <c r="I3739" s="55" t="s">
        <v>3936</v>
      </c>
    </row>
    <row r="3740" spans="2:9" ht="15" customHeight="1" x14ac:dyDescent="0.25">
      <c r="B3740" s="51" t="s">
        <v>127</v>
      </c>
      <c r="C3740" s="52">
        <v>668</v>
      </c>
      <c r="D3740" s="53" t="s">
        <v>4330</v>
      </c>
      <c r="E3740" s="54"/>
      <c r="F3740" s="52" t="str">
        <f>IF(INDEX(I.CCUS.EndRange,668)="","",INDEX(I.CCUS.EndRange,668))</f>
        <v/>
      </c>
      <c r="G3740" s="54"/>
      <c r="H3740" s="52" t="str">
        <f>IF(AND(I.Compliance.FulfilledCCUS&gt;0,I.CCUS.RangeCount&gt;=668,F3740=""),"Incomplete","Complete")</f>
        <v>Complete</v>
      </c>
      <c r="I3740" s="55" t="s">
        <v>3937</v>
      </c>
    </row>
    <row r="3741" spans="2:9" ht="15" customHeight="1" x14ac:dyDescent="0.25">
      <c r="B3741" s="51" t="s">
        <v>127</v>
      </c>
      <c r="C3741" s="52">
        <v>669</v>
      </c>
      <c r="D3741" s="53" t="s">
        <v>4330</v>
      </c>
      <c r="E3741" s="54"/>
      <c r="F3741" s="52" t="str">
        <f>IF(INDEX(I.CCUS.EndRange,669)="","",INDEX(I.CCUS.EndRange,669))</f>
        <v/>
      </c>
      <c r="G3741" s="54"/>
      <c r="H3741" s="52" t="str">
        <f>IF(AND(I.Compliance.FulfilledCCUS&gt;0,I.CCUS.RangeCount&gt;=669,F3741=""),"Incomplete","Complete")</f>
        <v>Complete</v>
      </c>
      <c r="I3741" s="55" t="s">
        <v>3938</v>
      </c>
    </row>
    <row r="3742" spans="2:9" ht="15" customHeight="1" x14ac:dyDescent="0.25">
      <c r="B3742" s="51" t="s">
        <v>127</v>
      </c>
      <c r="C3742" s="52">
        <v>670</v>
      </c>
      <c r="D3742" s="53" t="s">
        <v>4330</v>
      </c>
      <c r="E3742" s="54"/>
      <c r="F3742" s="52" t="str">
        <f>IF(INDEX(I.CCUS.EndRange,670)="","",INDEX(I.CCUS.EndRange,670))</f>
        <v/>
      </c>
      <c r="G3742" s="54"/>
      <c r="H3742" s="52" t="str">
        <f>IF(AND(I.Compliance.FulfilledCCUS&gt;0,I.CCUS.RangeCount&gt;=670,F3742=""),"Incomplete","Complete")</f>
        <v>Complete</v>
      </c>
      <c r="I3742" s="55" t="s">
        <v>3939</v>
      </c>
    </row>
    <row r="3743" spans="2:9" ht="15" customHeight="1" x14ac:dyDescent="0.25">
      <c r="B3743" s="51" t="s">
        <v>127</v>
      </c>
      <c r="C3743" s="52">
        <v>671</v>
      </c>
      <c r="D3743" s="53" t="s">
        <v>4330</v>
      </c>
      <c r="E3743" s="54"/>
      <c r="F3743" s="52" t="str">
        <f>IF(INDEX(I.CCUS.EndRange,671)="","",INDEX(I.CCUS.EndRange,671))</f>
        <v/>
      </c>
      <c r="G3743" s="54"/>
      <c r="H3743" s="52" t="str">
        <f>IF(AND(I.Compliance.FulfilledCCUS&gt;0,I.CCUS.RangeCount&gt;=671,F3743=""),"Incomplete","Complete")</f>
        <v>Complete</v>
      </c>
      <c r="I3743" s="55" t="s">
        <v>3940</v>
      </c>
    </row>
    <row r="3744" spans="2:9" ht="15" customHeight="1" x14ac:dyDescent="0.25">
      <c r="B3744" s="51" t="s">
        <v>127</v>
      </c>
      <c r="C3744" s="52">
        <v>672</v>
      </c>
      <c r="D3744" s="53" t="s">
        <v>4330</v>
      </c>
      <c r="E3744" s="54"/>
      <c r="F3744" s="52" t="str">
        <f>IF(INDEX(I.CCUS.EndRange,672)="","",INDEX(I.CCUS.EndRange,672))</f>
        <v/>
      </c>
      <c r="G3744" s="54"/>
      <c r="H3744" s="52" t="str">
        <f>IF(AND(I.Compliance.FulfilledCCUS&gt;0,I.CCUS.RangeCount&gt;=672,F3744=""),"Incomplete","Complete")</f>
        <v>Complete</v>
      </c>
      <c r="I3744" s="55" t="s">
        <v>3941</v>
      </c>
    </row>
    <row r="3745" spans="2:9" ht="15" customHeight="1" x14ac:dyDescent="0.25">
      <c r="B3745" s="51" t="s">
        <v>127</v>
      </c>
      <c r="C3745" s="52">
        <v>673</v>
      </c>
      <c r="D3745" s="53" t="s">
        <v>4330</v>
      </c>
      <c r="E3745" s="54"/>
      <c r="F3745" s="52" t="str">
        <f>IF(INDEX(I.CCUS.EndRange,673)="","",INDEX(I.CCUS.EndRange,673))</f>
        <v/>
      </c>
      <c r="G3745" s="54"/>
      <c r="H3745" s="52" t="str">
        <f>IF(AND(I.Compliance.FulfilledCCUS&gt;0,I.CCUS.RangeCount&gt;=673,F3745=""),"Incomplete","Complete")</f>
        <v>Complete</v>
      </c>
      <c r="I3745" s="55" t="s">
        <v>3942</v>
      </c>
    </row>
    <row r="3746" spans="2:9" ht="15" customHeight="1" x14ac:dyDescent="0.25">
      <c r="B3746" s="51" t="s">
        <v>127</v>
      </c>
      <c r="C3746" s="52">
        <v>674</v>
      </c>
      <c r="D3746" s="53" t="s">
        <v>4330</v>
      </c>
      <c r="E3746" s="54"/>
      <c r="F3746" s="52" t="str">
        <f>IF(INDEX(I.CCUS.EndRange,674)="","",INDEX(I.CCUS.EndRange,674))</f>
        <v/>
      </c>
      <c r="G3746" s="54"/>
      <c r="H3746" s="52" t="str">
        <f>IF(AND(I.Compliance.FulfilledCCUS&gt;0,I.CCUS.RangeCount&gt;=674,F3746=""),"Incomplete","Complete")</f>
        <v>Complete</v>
      </c>
      <c r="I3746" s="55" t="s">
        <v>3943</v>
      </c>
    </row>
    <row r="3747" spans="2:9" ht="15" customHeight="1" x14ac:dyDescent="0.25">
      <c r="B3747" s="51" t="s">
        <v>127</v>
      </c>
      <c r="C3747" s="52">
        <v>675</v>
      </c>
      <c r="D3747" s="53" t="s">
        <v>4330</v>
      </c>
      <c r="E3747" s="54"/>
      <c r="F3747" s="52" t="str">
        <f>IF(INDEX(I.CCUS.EndRange,675)="","",INDEX(I.CCUS.EndRange,675))</f>
        <v/>
      </c>
      <c r="G3747" s="54"/>
      <c r="H3747" s="52" t="str">
        <f>IF(AND(I.Compliance.FulfilledCCUS&gt;0,I.CCUS.RangeCount&gt;=675,F3747=""),"Incomplete","Complete")</f>
        <v>Complete</v>
      </c>
      <c r="I3747" s="55" t="s">
        <v>3944</v>
      </c>
    </row>
    <row r="3748" spans="2:9" ht="15" customHeight="1" x14ac:dyDescent="0.25">
      <c r="B3748" s="51" t="s">
        <v>127</v>
      </c>
      <c r="C3748" s="52">
        <v>676</v>
      </c>
      <c r="D3748" s="53" t="s">
        <v>4330</v>
      </c>
      <c r="E3748" s="54"/>
      <c r="F3748" s="52" t="str">
        <f>IF(INDEX(I.CCUS.EndRange,676)="","",INDEX(I.CCUS.EndRange,676))</f>
        <v/>
      </c>
      <c r="G3748" s="54"/>
      <c r="H3748" s="52" t="str">
        <f>IF(AND(I.Compliance.FulfilledCCUS&gt;0,I.CCUS.RangeCount&gt;=676,F3748=""),"Incomplete","Complete")</f>
        <v>Complete</v>
      </c>
      <c r="I3748" s="55" t="s">
        <v>3945</v>
      </c>
    </row>
    <row r="3749" spans="2:9" ht="15" customHeight="1" x14ac:dyDescent="0.25">
      <c r="B3749" s="51" t="s">
        <v>127</v>
      </c>
      <c r="C3749" s="52">
        <v>677</v>
      </c>
      <c r="D3749" s="53" t="s">
        <v>4330</v>
      </c>
      <c r="E3749" s="54"/>
      <c r="F3749" s="52" t="str">
        <f>IF(INDEX(I.CCUS.EndRange,677)="","",INDEX(I.CCUS.EndRange,677))</f>
        <v/>
      </c>
      <c r="G3749" s="54"/>
      <c r="H3749" s="52" t="str">
        <f>IF(AND(I.Compliance.FulfilledCCUS&gt;0,I.CCUS.RangeCount&gt;=677,F3749=""),"Incomplete","Complete")</f>
        <v>Complete</v>
      </c>
      <c r="I3749" s="55" t="s">
        <v>3946</v>
      </c>
    </row>
    <row r="3750" spans="2:9" ht="15" customHeight="1" x14ac:dyDescent="0.25">
      <c r="B3750" s="51" t="s">
        <v>127</v>
      </c>
      <c r="C3750" s="52">
        <v>678</v>
      </c>
      <c r="D3750" s="53" t="s">
        <v>4330</v>
      </c>
      <c r="E3750" s="54"/>
      <c r="F3750" s="52" t="str">
        <f>IF(INDEX(I.CCUS.EndRange,678)="","",INDEX(I.CCUS.EndRange,678))</f>
        <v/>
      </c>
      <c r="G3750" s="54"/>
      <c r="H3750" s="52" t="str">
        <f>IF(AND(I.Compliance.FulfilledCCUS&gt;0,I.CCUS.RangeCount&gt;=678,F3750=""),"Incomplete","Complete")</f>
        <v>Complete</v>
      </c>
      <c r="I3750" s="55" t="s">
        <v>3947</v>
      </c>
    </row>
    <row r="3751" spans="2:9" ht="15" customHeight="1" x14ac:dyDescent="0.25">
      <c r="B3751" s="51" t="s">
        <v>127</v>
      </c>
      <c r="C3751" s="52">
        <v>679</v>
      </c>
      <c r="D3751" s="53" t="s">
        <v>4330</v>
      </c>
      <c r="E3751" s="54"/>
      <c r="F3751" s="52" t="str">
        <f>IF(INDEX(I.CCUS.EndRange,679)="","",INDEX(I.CCUS.EndRange,679))</f>
        <v/>
      </c>
      <c r="G3751" s="54"/>
      <c r="H3751" s="52" t="str">
        <f>IF(AND(I.Compliance.FulfilledCCUS&gt;0,I.CCUS.RangeCount&gt;=679,F3751=""),"Incomplete","Complete")</f>
        <v>Complete</v>
      </c>
      <c r="I3751" s="55" t="s">
        <v>3948</v>
      </c>
    </row>
    <row r="3752" spans="2:9" ht="15" customHeight="1" x14ac:dyDescent="0.25">
      <c r="B3752" s="51" t="s">
        <v>127</v>
      </c>
      <c r="C3752" s="52">
        <v>680</v>
      </c>
      <c r="D3752" s="53" t="s">
        <v>4330</v>
      </c>
      <c r="E3752" s="54"/>
      <c r="F3752" s="52" t="str">
        <f>IF(INDEX(I.CCUS.EndRange,680)="","",INDEX(I.CCUS.EndRange,680))</f>
        <v/>
      </c>
      <c r="G3752" s="54"/>
      <c r="H3752" s="52" t="str">
        <f>IF(AND(I.Compliance.FulfilledCCUS&gt;0,I.CCUS.RangeCount&gt;=680,F3752=""),"Incomplete","Complete")</f>
        <v>Complete</v>
      </c>
      <c r="I3752" s="55" t="s">
        <v>3949</v>
      </c>
    </row>
    <row r="3753" spans="2:9" ht="15" customHeight="1" x14ac:dyDescent="0.25">
      <c r="B3753" s="51" t="s">
        <v>127</v>
      </c>
      <c r="C3753" s="52">
        <v>681</v>
      </c>
      <c r="D3753" s="53" t="s">
        <v>4330</v>
      </c>
      <c r="E3753" s="54"/>
      <c r="F3753" s="52" t="str">
        <f>IF(INDEX(I.CCUS.EndRange,681)="","",INDEX(I.CCUS.EndRange,681))</f>
        <v/>
      </c>
      <c r="G3753" s="54"/>
      <c r="H3753" s="52" t="str">
        <f>IF(AND(I.Compliance.FulfilledCCUS&gt;0,I.CCUS.RangeCount&gt;=681,F3753=""),"Incomplete","Complete")</f>
        <v>Complete</v>
      </c>
      <c r="I3753" s="55" t="s">
        <v>3950</v>
      </c>
    </row>
    <row r="3754" spans="2:9" ht="15" customHeight="1" x14ac:dyDescent="0.25">
      <c r="B3754" s="51" t="s">
        <v>127</v>
      </c>
      <c r="C3754" s="52">
        <v>682</v>
      </c>
      <c r="D3754" s="53" t="s">
        <v>4330</v>
      </c>
      <c r="E3754" s="54"/>
      <c r="F3754" s="52" t="str">
        <f>IF(INDEX(I.CCUS.EndRange,682)="","",INDEX(I.CCUS.EndRange,682))</f>
        <v/>
      </c>
      <c r="G3754" s="54"/>
      <c r="H3754" s="52" t="str">
        <f>IF(AND(I.Compliance.FulfilledCCUS&gt;0,I.CCUS.RangeCount&gt;=682,F3754=""),"Incomplete","Complete")</f>
        <v>Complete</v>
      </c>
      <c r="I3754" s="55" t="s">
        <v>3951</v>
      </c>
    </row>
    <row r="3755" spans="2:9" ht="15" customHeight="1" x14ac:dyDescent="0.25">
      <c r="B3755" s="51" t="s">
        <v>127</v>
      </c>
      <c r="C3755" s="52">
        <v>683</v>
      </c>
      <c r="D3755" s="53" t="s">
        <v>4330</v>
      </c>
      <c r="E3755" s="54"/>
      <c r="F3755" s="52" t="str">
        <f>IF(INDEX(I.CCUS.EndRange,683)="","",INDEX(I.CCUS.EndRange,683))</f>
        <v/>
      </c>
      <c r="G3755" s="54"/>
      <c r="H3755" s="52" t="str">
        <f>IF(AND(I.Compliance.FulfilledCCUS&gt;0,I.CCUS.RangeCount&gt;=683,F3755=""),"Incomplete","Complete")</f>
        <v>Complete</v>
      </c>
      <c r="I3755" s="55" t="s">
        <v>3952</v>
      </c>
    </row>
    <row r="3756" spans="2:9" ht="15" customHeight="1" x14ac:dyDescent="0.25">
      <c r="B3756" s="51" t="s">
        <v>127</v>
      </c>
      <c r="C3756" s="52">
        <v>684</v>
      </c>
      <c r="D3756" s="53" t="s">
        <v>4330</v>
      </c>
      <c r="E3756" s="54"/>
      <c r="F3756" s="52" t="str">
        <f>IF(INDEX(I.CCUS.EndRange,684)="","",INDEX(I.CCUS.EndRange,684))</f>
        <v/>
      </c>
      <c r="G3756" s="54"/>
      <c r="H3756" s="52" t="str">
        <f>IF(AND(I.Compliance.FulfilledCCUS&gt;0,I.CCUS.RangeCount&gt;=684,F3756=""),"Incomplete","Complete")</f>
        <v>Complete</v>
      </c>
      <c r="I3756" s="55" t="s">
        <v>3953</v>
      </c>
    </row>
    <row r="3757" spans="2:9" ht="15" customHeight="1" x14ac:dyDescent="0.25">
      <c r="B3757" s="51" t="s">
        <v>127</v>
      </c>
      <c r="C3757" s="52">
        <v>685</v>
      </c>
      <c r="D3757" s="53" t="s">
        <v>4330</v>
      </c>
      <c r="E3757" s="54"/>
      <c r="F3757" s="52" t="str">
        <f>IF(INDEX(I.CCUS.EndRange,685)="","",INDEX(I.CCUS.EndRange,685))</f>
        <v/>
      </c>
      <c r="G3757" s="54"/>
      <c r="H3757" s="52" t="str">
        <f>IF(AND(I.Compliance.FulfilledCCUS&gt;0,I.CCUS.RangeCount&gt;=685,F3757=""),"Incomplete","Complete")</f>
        <v>Complete</v>
      </c>
      <c r="I3757" s="55" t="s">
        <v>3954</v>
      </c>
    </row>
    <row r="3758" spans="2:9" ht="15" customHeight="1" x14ac:dyDescent="0.25">
      <c r="B3758" s="51" t="s">
        <v>127</v>
      </c>
      <c r="C3758" s="52">
        <v>686</v>
      </c>
      <c r="D3758" s="53" t="s">
        <v>4330</v>
      </c>
      <c r="E3758" s="54"/>
      <c r="F3758" s="52" t="str">
        <f>IF(INDEX(I.CCUS.EndRange,686)="","",INDEX(I.CCUS.EndRange,686))</f>
        <v/>
      </c>
      <c r="G3758" s="54"/>
      <c r="H3758" s="52" t="str">
        <f>IF(AND(I.Compliance.FulfilledCCUS&gt;0,I.CCUS.RangeCount&gt;=686,F3758=""),"Incomplete","Complete")</f>
        <v>Complete</v>
      </c>
      <c r="I3758" s="55" t="s">
        <v>3955</v>
      </c>
    </row>
    <row r="3759" spans="2:9" ht="15" customHeight="1" x14ac:dyDescent="0.25">
      <c r="B3759" s="51" t="s">
        <v>127</v>
      </c>
      <c r="C3759" s="52">
        <v>687</v>
      </c>
      <c r="D3759" s="53" t="s">
        <v>4330</v>
      </c>
      <c r="E3759" s="54"/>
      <c r="F3759" s="52" t="str">
        <f>IF(INDEX(I.CCUS.EndRange,687)="","",INDEX(I.CCUS.EndRange,687))</f>
        <v/>
      </c>
      <c r="G3759" s="54"/>
      <c r="H3759" s="52" t="str">
        <f>IF(AND(I.Compliance.FulfilledCCUS&gt;0,I.CCUS.RangeCount&gt;=687,F3759=""),"Incomplete","Complete")</f>
        <v>Complete</v>
      </c>
      <c r="I3759" s="55" t="s">
        <v>3956</v>
      </c>
    </row>
    <row r="3760" spans="2:9" ht="15" customHeight="1" x14ac:dyDescent="0.25">
      <c r="B3760" s="51" t="s">
        <v>127</v>
      </c>
      <c r="C3760" s="52">
        <v>688</v>
      </c>
      <c r="D3760" s="53" t="s">
        <v>4330</v>
      </c>
      <c r="E3760" s="54"/>
      <c r="F3760" s="52" t="str">
        <f>IF(INDEX(I.CCUS.EndRange,688)="","",INDEX(I.CCUS.EndRange,688))</f>
        <v/>
      </c>
      <c r="G3760" s="54"/>
      <c r="H3760" s="52" t="str">
        <f>IF(AND(I.Compliance.FulfilledCCUS&gt;0,I.CCUS.RangeCount&gt;=688,F3760=""),"Incomplete","Complete")</f>
        <v>Complete</v>
      </c>
      <c r="I3760" s="55" t="s">
        <v>3957</v>
      </c>
    </row>
    <row r="3761" spans="2:9" ht="15" customHeight="1" x14ac:dyDescent="0.25">
      <c r="B3761" s="51" t="s">
        <v>127</v>
      </c>
      <c r="C3761" s="52">
        <v>689</v>
      </c>
      <c r="D3761" s="53" t="s">
        <v>4330</v>
      </c>
      <c r="E3761" s="54"/>
      <c r="F3761" s="52" t="str">
        <f>IF(INDEX(I.CCUS.EndRange,689)="","",INDEX(I.CCUS.EndRange,689))</f>
        <v/>
      </c>
      <c r="G3761" s="54"/>
      <c r="H3761" s="52" t="str">
        <f>IF(AND(I.Compliance.FulfilledCCUS&gt;0,I.CCUS.RangeCount&gt;=689,F3761=""),"Incomplete","Complete")</f>
        <v>Complete</v>
      </c>
      <c r="I3761" s="55" t="s">
        <v>3958</v>
      </c>
    </row>
    <row r="3762" spans="2:9" ht="15" customHeight="1" x14ac:dyDescent="0.25">
      <c r="B3762" s="51" t="s">
        <v>127</v>
      </c>
      <c r="C3762" s="52">
        <v>690</v>
      </c>
      <c r="D3762" s="53" t="s">
        <v>4330</v>
      </c>
      <c r="E3762" s="54"/>
      <c r="F3762" s="52" t="str">
        <f>IF(INDEX(I.CCUS.EndRange,690)="","",INDEX(I.CCUS.EndRange,690))</f>
        <v/>
      </c>
      <c r="G3762" s="54"/>
      <c r="H3762" s="52" t="str">
        <f>IF(AND(I.Compliance.FulfilledCCUS&gt;0,I.CCUS.RangeCount&gt;=690,F3762=""),"Incomplete","Complete")</f>
        <v>Complete</v>
      </c>
      <c r="I3762" s="55" t="s">
        <v>3959</v>
      </c>
    </row>
    <row r="3763" spans="2:9" ht="15" customHeight="1" x14ac:dyDescent="0.25">
      <c r="B3763" s="51" t="s">
        <v>127</v>
      </c>
      <c r="C3763" s="52">
        <v>691</v>
      </c>
      <c r="D3763" s="53" t="s">
        <v>4330</v>
      </c>
      <c r="E3763" s="54"/>
      <c r="F3763" s="52" t="str">
        <f>IF(INDEX(I.CCUS.EndRange,691)="","",INDEX(I.CCUS.EndRange,691))</f>
        <v/>
      </c>
      <c r="G3763" s="54"/>
      <c r="H3763" s="52" t="str">
        <f>IF(AND(I.Compliance.FulfilledCCUS&gt;0,I.CCUS.RangeCount&gt;=691,F3763=""),"Incomplete","Complete")</f>
        <v>Complete</v>
      </c>
      <c r="I3763" s="55" t="s">
        <v>3960</v>
      </c>
    </row>
    <row r="3764" spans="2:9" ht="15" customHeight="1" x14ac:dyDescent="0.25">
      <c r="B3764" s="51" t="s">
        <v>127</v>
      </c>
      <c r="C3764" s="52">
        <v>692</v>
      </c>
      <c r="D3764" s="53" t="s">
        <v>4330</v>
      </c>
      <c r="E3764" s="54"/>
      <c r="F3764" s="52" t="str">
        <f>IF(INDEX(I.CCUS.EndRange,692)="","",INDEX(I.CCUS.EndRange,692))</f>
        <v/>
      </c>
      <c r="G3764" s="54"/>
      <c r="H3764" s="52" t="str">
        <f>IF(AND(I.Compliance.FulfilledCCUS&gt;0,I.CCUS.RangeCount&gt;=692,F3764=""),"Incomplete","Complete")</f>
        <v>Complete</v>
      </c>
      <c r="I3764" s="55" t="s">
        <v>3961</v>
      </c>
    </row>
    <row r="3765" spans="2:9" ht="15" customHeight="1" x14ac:dyDescent="0.25">
      <c r="B3765" s="51" t="s">
        <v>127</v>
      </c>
      <c r="C3765" s="52">
        <v>693</v>
      </c>
      <c r="D3765" s="53" t="s">
        <v>4330</v>
      </c>
      <c r="E3765" s="54"/>
      <c r="F3765" s="52" t="str">
        <f>IF(INDEX(I.CCUS.EndRange,693)="","",INDEX(I.CCUS.EndRange,693))</f>
        <v/>
      </c>
      <c r="G3765" s="54"/>
      <c r="H3765" s="52" t="str">
        <f>IF(AND(I.Compliance.FulfilledCCUS&gt;0,I.CCUS.RangeCount&gt;=693,F3765=""),"Incomplete","Complete")</f>
        <v>Complete</v>
      </c>
      <c r="I3765" s="55" t="s">
        <v>3962</v>
      </c>
    </row>
    <row r="3766" spans="2:9" ht="15" customHeight="1" x14ac:dyDescent="0.25">
      <c r="B3766" s="51" t="s">
        <v>127</v>
      </c>
      <c r="C3766" s="52">
        <v>694</v>
      </c>
      <c r="D3766" s="53" t="s">
        <v>4330</v>
      </c>
      <c r="E3766" s="54"/>
      <c r="F3766" s="52" t="str">
        <f>IF(INDEX(I.CCUS.EndRange,694)="","",INDEX(I.CCUS.EndRange,694))</f>
        <v/>
      </c>
      <c r="G3766" s="54"/>
      <c r="H3766" s="52" t="str">
        <f>IF(AND(I.Compliance.FulfilledCCUS&gt;0,I.CCUS.RangeCount&gt;=694,F3766=""),"Incomplete","Complete")</f>
        <v>Complete</v>
      </c>
      <c r="I3766" s="55" t="s">
        <v>3963</v>
      </c>
    </row>
    <row r="3767" spans="2:9" ht="15" customHeight="1" x14ac:dyDescent="0.25">
      <c r="B3767" s="51" t="s">
        <v>127</v>
      </c>
      <c r="C3767" s="52">
        <v>695</v>
      </c>
      <c r="D3767" s="53" t="s">
        <v>4330</v>
      </c>
      <c r="E3767" s="54"/>
      <c r="F3767" s="52" t="str">
        <f>IF(INDEX(I.CCUS.EndRange,695)="","",INDEX(I.CCUS.EndRange,695))</f>
        <v/>
      </c>
      <c r="G3767" s="54"/>
      <c r="H3767" s="52" t="str">
        <f>IF(AND(I.Compliance.FulfilledCCUS&gt;0,I.CCUS.RangeCount&gt;=695,F3767=""),"Incomplete","Complete")</f>
        <v>Complete</v>
      </c>
      <c r="I3767" s="55" t="s">
        <v>3964</v>
      </c>
    </row>
    <row r="3768" spans="2:9" ht="15" customHeight="1" x14ac:dyDescent="0.25">
      <c r="B3768" s="51" t="s">
        <v>127</v>
      </c>
      <c r="C3768" s="52">
        <v>696</v>
      </c>
      <c r="D3768" s="53" t="s">
        <v>4330</v>
      </c>
      <c r="E3768" s="54"/>
      <c r="F3768" s="52" t="str">
        <f>IF(INDEX(I.CCUS.EndRange,696)="","",INDEX(I.CCUS.EndRange,696))</f>
        <v/>
      </c>
      <c r="G3768" s="54"/>
      <c r="H3768" s="52" t="str">
        <f>IF(AND(I.Compliance.FulfilledCCUS&gt;0,I.CCUS.RangeCount&gt;=696,F3768=""),"Incomplete","Complete")</f>
        <v>Complete</v>
      </c>
      <c r="I3768" s="55" t="s">
        <v>3965</v>
      </c>
    </row>
    <row r="3769" spans="2:9" ht="15" customHeight="1" x14ac:dyDescent="0.25">
      <c r="B3769" s="51" t="s">
        <v>127</v>
      </c>
      <c r="C3769" s="52">
        <v>697</v>
      </c>
      <c r="D3769" s="53" t="s">
        <v>4330</v>
      </c>
      <c r="E3769" s="54"/>
      <c r="F3769" s="52" t="str">
        <f>IF(INDEX(I.CCUS.EndRange,697)="","",INDEX(I.CCUS.EndRange,697))</f>
        <v/>
      </c>
      <c r="G3769" s="54"/>
      <c r="H3769" s="52" t="str">
        <f>IF(AND(I.Compliance.FulfilledCCUS&gt;0,I.CCUS.RangeCount&gt;=697,F3769=""),"Incomplete","Complete")</f>
        <v>Complete</v>
      </c>
      <c r="I3769" s="55" t="s">
        <v>3966</v>
      </c>
    </row>
    <row r="3770" spans="2:9" ht="15" customHeight="1" x14ac:dyDescent="0.25">
      <c r="B3770" s="51" t="s">
        <v>127</v>
      </c>
      <c r="C3770" s="52">
        <v>698</v>
      </c>
      <c r="D3770" s="53" t="s">
        <v>4330</v>
      </c>
      <c r="E3770" s="54"/>
      <c r="F3770" s="52" t="str">
        <f>IF(INDEX(I.CCUS.EndRange,698)="","",INDEX(I.CCUS.EndRange,698))</f>
        <v/>
      </c>
      <c r="G3770" s="54"/>
      <c r="H3770" s="52" t="str">
        <f>IF(AND(I.Compliance.FulfilledCCUS&gt;0,I.CCUS.RangeCount&gt;=698,F3770=""),"Incomplete","Complete")</f>
        <v>Complete</v>
      </c>
      <c r="I3770" s="55" t="s">
        <v>3967</v>
      </c>
    </row>
    <row r="3771" spans="2:9" ht="15" customHeight="1" x14ac:dyDescent="0.25">
      <c r="B3771" s="51" t="s">
        <v>127</v>
      </c>
      <c r="C3771" s="52">
        <v>699</v>
      </c>
      <c r="D3771" s="53" t="s">
        <v>4330</v>
      </c>
      <c r="E3771" s="54"/>
      <c r="F3771" s="52" t="str">
        <f>IF(INDEX(I.CCUS.EndRange,699)="","",INDEX(I.CCUS.EndRange,699))</f>
        <v/>
      </c>
      <c r="G3771" s="54"/>
      <c r="H3771" s="52" t="str">
        <f>IF(AND(I.Compliance.FulfilledCCUS&gt;0,I.CCUS.RangeCount&gt;=699,F3771=""),"Incomplete","Complete")</f>
        <v>Complete</v>
      </c>
      <c r="I3771" s="55" t="s">
        <v>3968</v>
      </c>
    </row>
    <row r="3772" spans="2:9" ht="15" customHeight="1" x14ac:dyDescent="0.25">
      <c r="B3772" s="51" t="s">
        <v>127</v>
      </c>
      <c r="C3772" s="52">
        <v>700</v>
      </c>
      <c r="D3772" s="53" t="s">
        <v>4330</v>
      </c>
      <c r="E3772" s="54"/>
      <c r="F3772" s="52" t="str">
        <f>IF(INDEX(I.CCUS.EndRange,700)="","",INDEX(I.CCUS.EndRange,700))</f>
        <v/>
      </c>
      <c r="G3772" s="54"/>
      <c r="H3772" s="52" t="str">
        <f>IF(AND(I.Compliance.FulfilledCCUS&gt;0,I.CCUS.RangeCount&gt;=700,F3772=""),"Incomplete","Complete")</f>
        <v>Complete</v>
      </c>
      <c r="I3772" s="55" t="s">
        <v>3969</v>
      </c>
    </row>
    <row r="3773" spans="2:9" ht="15" customHeight="1" x14ac:dyDescent="0.25">
      <c r="B3773" s="51" t="s">
        <v>127</v>
      </c>
      <c r="C3773" s="52">
        <v>701</v>
      </c>
      <c r="D3773" s="53" t="s">
        <v>4330</v>
      </c>
      <c r="E3773" s="54"/>
      <c r="F3773" s="52" t="str">
        <f>IF(INDEX(I.CCUS.EndRange,701)="","",INDEX(I.CCUS.EndRange,701))</f>
        <v/>
      </c>
      <c r="G3773" s="54"/>
      <c r="H3773" s="52" t="str">
        <f>IF(AND(I.Compliance.FulfilledCCUS&gt;0,I.CCUS.RangeCount&gt;=701,F3773=""),"Incomplete","Complete")</f>
        <v>Complete</v>
      </c>
      <c r="I3773" s="55" t="s">
        <v>3970</v>
      </c>
    </row>
    <row r="3774" spans="2:9" ht="15" customHeight="1" x14ac:dyDescent="0.25">
      <c r="B3774" s="51" t="s">
        <v>127</v>
      </c>
      <c r="C3774" s="52">
        <v>702</v>
      </c>
      <c r="D3774" s="53" t="s">
        <v>4330</v>
      </c>
      <c r="E3774" s="54"/>
      <c r="F3774" s="52" t="str">
        <f>IF(INDEX(I.CCUS.EndRange,702)="","",INDEX(I.CCUS.EndRange,702))</f>
        <v/>
      </c>
      <c r="G3774" s="54"/>
      <c r="H3774" s="52" t="str">
        <f>IF(AND(I.Compliance.FulfilledCCUS&gt;0,I.CCUS.RangeCount&gt;=702,F3774=""),"Incomplete","Complete")</f>
        <v>Complete</v>
      </c>
      <c r="I3774" s="55" t="s">
        <v>3971</v>
      </c>
    </row>
    <row r="3775" spans="2:9" ht="15" customHeight="1" x14ac:dyDescent="0.25">
      <c r="B3775" s="51" t="s">
        <v>127</v>
      </c>
      <c r="C3775" s="52">
        <v>703</v>
      </c>
      <c r="D3775" s="53" t="s">
        <v>4330</v>
      </c>
      <c r="E3775" s="54"/>
      <c r="F3775" s="52" t="str">
        <f>IF(INDEX(I.CCUS.EndRange,703)="","",INDEX(I.CCUS.EndRange,703))</f>
        <v/>
      </c>
      <c r="G3775" s="54"/>
      <c r="H3775" s="52" t="str">
        <f>IF(AND(I.Compliance.FulfilledCCUS&gt;0,I.CCUS.RangeCount&gt;=703,F3775=""),"Incomplete","Complete")</f>
        <v>Complete</v>
      </c>
      <c r="I3775" s="55" t="s">
        <v>3972</v>
      </c>
    </row>
    <row r="3776" spans="2:9" ht="15" customHeight="1" x14ac:dyDescent="0.25">
      <c r="B3776" s="51" t="s">
        <v>127</v>
      </c>
      <c r="C3776" s="52">
        <v>704</v>
      </c>
      <c r="D3776" s="53" t="s">
        <v>4330</v>
      </c>
      <c r="E3776" s="54"/>
      <c r="F3776" s="52" t="str">
        <f>IF(INDEX(I.CCUS.EndRange,704)="","",INDEX(I.CCUS.EndRange,704))</f>
        <v/>
      </c>
      <c r="G3776" s="54"/>
      <c r="H3776" s="52" t="str">
        <f>IF(AND(I.Compliance.FulfilledCCUS&gt;0,I.CCUS.RangeCount&gt;=704,F3776=""),"Incomplete","Complete")</f>
        <v>Complete</v>
      </c>
      <c r="I3776" s="55" t="s">
        <v>3973</v>
      </c>
    </row>
    <row r="3777" spans="2:9" ht="15" customHeight="1" x14ac:dyDescent="0.25">
      <c r="B3777" s="51" t="s">
        <v>127</v>
      </c>
      <c r="C3777" s="52">
        <v>705</v>
      </c>
      <c r="D3777" s="53" t="s">
        <v>4330</v>
      </c>
      <c r="E3777" s="54"/>
      <c r="F3777" s="52" t="str">
        <f>IF(INDEX(I.CCUS.EndRange,705)="","",INDEX(I.CCUS.EndRange,705))</f>
        <v/>
      </c>
      <c r="G3777" s="54"/>
      <c r="H3777" s="52" t="str">
        <f>IF(AND(I.Compliance.FulfilledCCUS&gt;0,I.CCUS.RangeCount&gt;=705,F3777=""),"Incomplete","Complete")</f>
        <v>Complete</v>
      </c>
      <c r="I3777" s="55" t="s">
        <v>3974</v>
      </c>
    </row>
    <row r="3778" spans="2:9" ht="15" customHeight="1" x14ac:dyDescent="0.25">
      <c r="B3778" s="51" t="s">
        <v>127</v>
      </c>
      <c r="C3778" s="52">
        <v>706</v>
      </c>
      <c r="D3778" s="53" t="s">
        <v>4330</v>
      </c>
      <c r="E3778" s="54"/>
      <c r="F3778" s="52" t="str">
        <f>IF(INDEX(I.CCUS.EndRange,706)="","",INDEX(I.CCUS.EndRange,706))</f>
        <v/>
      </c>
      <c r="G3778" s="54"/>
      <c r="H3778" s="52" t="str">
        <f>IF(AND(I.Compliance.FulfilledCCUS&gt;0,I.CCUS.RangeCount&gt;=706,F3778=""),"Incomplete","Complete")</f>
        <v>Complete</v>
      </c>
      <c r="I3778" s="55" t="s">
        <v>3975</v>
      </c>
    </row>
    <row r="3779" spans="2:9" ht="15" customHeight="1" x14ac:dyDescent="0.25">
      <c r="B3779" s="51" t="s">
        <v>127</v>
      </c>
      <c r="C3779" s="52">
        <v>707</v>
      </c>
      <c r="D3779" s="53" t="s">
        <v>4330</v>
      </c>
      <c r="E3779" s="54"/>
      <c r="F3779" s="52" t="str">
        <f>IF(INDEX(I.CCUS.EndRange,707)="","",INDEX(I.CCUS.EndRange,707))</f>
        <v/>
      </c>
      <c r="G3779" s="54"/>
      <c r="H3779" s="52" t="str">
        <f>IF(AND(I.Compliance.FulfilledCCUS&gt;0,I.CCUS.RangeCount&gt;=707,F3779=""),"Incomplete","Complete")</f>
        <v>Complete</v>
      </c>
      <c r="I3779" s="55" t="s">
        <v>3976</v>
      </c>
    </row>
    <row r="3780" spans="2:9" ht="15" customHeight="1" x14ac:dyDescent="0.25">
      <c r="B3780" s="51" t="s">
        <v>127</v>
      </c>
      <c r="C3780" s="52">
        <v>708</v>
      </c>
      <c r="D3780" s="53" t="s">
        <v>4330</v>
      </c>
      <c r="E3780" s="54"/>
      <c r="F3780" s="52" t="str">
        <f>IF(INDEX(I.CCUS.EndRange,708)="","",INDEX(I.CCUS.EndRange,708))</f>
        <v/>
      </c>
      <c r="G3780" s="54"/>
      <c r="H3780" s="52" t="str">
        <f>IF(AND(I.Compliance.FulfilledCCUS&gt;0,I.CCUS.RangeCount&gt;=708,F3780=""),"Incomplete","Complete")</f>
        <v>Complete</v>
      </c>
      <c r="I3780" s="55" t="s">
        <v>3977</v>
      </c>
    </row>
    <row r="3781" spans="2:9" ht="15" customHeight="1" x14ac:dyDescent="0.25">
      <c r="B3781" s="51" t="s">
        <v>127</v>
      </c>
      <c r="C3781" s="52">
        <v>709</v>
      </c>
      <c r="D3781" s="53" t="s">
        <v>4330</v>
      </c>
      <c r="E3781" s="54"/>
      <c r="F3781" s="52" t="str">
        <f>IF(INDEX(I.CCUS.EndRange,709)="","",INDEX(I.CCUS.EndRange,709))</f>
        <v/>
      </c>
      <c r="G3781" s="54"/>
      <c r="H3781" s="52" t="str">
        <f>IF(AND(I.Compliance.FulfilledCCUS&gt;0,I.CCUS.RangeCount&gt;=709,F3781=""),"Incomplete","Complete")</f>
        <v>Complete</v>
      </c>
      <c r="I3781" s="55" t="s">
        <v>3978</v>
      </c>
    </row>
    <row r="3782" spans="2:9" ht="15" customHeight="1" x14ac:dyDescent="0.25">
      <c r="B3782" s="51" t="s">
        <v>127</v>
      </c>
      <c r="C3782" s="52">
        <v>710</v>
      </c>
      <c r="D3782" s="53" t="s">
        <v>4330</v>
      </c>
      <c r="E3782" s="54"/>
      <c r="F3782" s="52" t="str">
        <f>IF(INDEX(I.CCUS.EndRange,710)="","",INDEX(I.CCUS.EndRange,710))</f>
        <v/>
      </c>
      <c r="G3782" s="54"/>
      <c r="H3782" s="52" t="str">
        <f>IF(AND(I.Compliance.FulfilledCCUS&gt;0,I.CCUS.RangeCount&gt;=710,F3782=""),"Incomplete","Complete")</f>
        <v>Complete</v>
      </c>
      <c r="I3782" s="55" t="s">
        <v>3979</v>
      </c>
    </row>
    <row r="3783" spans="2:9" ht="15" customHeight="1" x14ac:dyDescent="0.25">
      <c r="B3783" s="51" t="s">
        <v>127</v>
      </c>
      <c r="C3783" s="52">
        <v>711</v>
      </c>
      <c r="D3783" s="53" t="s">
        <v>4330</v>
      </c>
      <c r="E3783" s="54"/>
      <c r="F3783" s="52" t="str">
        <f>IF(INDEX(I.CCUS.EndRange,711)="","",INDEX(I.CCUS.EndRange,711))</f>
        <v/>
      </c>
      <c r="G3783" s="54"/>
      <c r="H3783" s="52" t="str">
        <f>IF(AND(I.Compliance.FulfilledCCUS&gt;0,I.CCUS.RangeCount&gt;=711,F3783=""),"Incomplete","Complete")</f>
        <v>Complete</v>
      </c>
      <c r="I3783" s="55" t="s">
        <v>3980</v>
      </c>
    </row>
    <row r="3784" spans="2:9" ht="15" customHeight="1" x14ac:dyDescent="0.25">
      <c r="B3784" s="51" t="s">
        <v>127</v>
      </c>
      <c r="C3784" s="52">
        <v>712</v>
      </c>
      <c r="D3784" s="53" t="s">
        <v>4330</v>
      </c>
      <c r="E3784" s="54"/>
      <c r="F3784" s="52" t="str">
        <f>IF(INDEX(I.CCUS.EndRange,712)="","",INDEX(I.CCUS.EndRange,712))</f>
        <v/>
      </c>
      <c r="G3784" s="54"/>
      <c r="H3784" s="52" t="str">
        <f>IF(AND(I.Compliance.FulfilledCCUS&gt;0,I.CCUS.RangeCount&gt;=712,F3784=""),"Incomplete","Complete")</f>
        <v>Complete</v>
      </c>
      <c r="I3784" s="55" t="s">
        <v>3981</v>
      </c>
    </row>
    <row r="3785" spans="2:9" ht="15" customHeight="1" x14ac:dyDescent="0.25">
      <c r="B3785" s="51" t="s">
        <v>127</v>
      </c>
      <c r="C3785" s="52">
        <v>713</v>
      </c>
      <c r="D3785" s="53" t="s">
        <v>4330</v>
      </c>
      <c r="E3785" s="54"/>
      <c r="F3785" s="52" t="str">
        <f>IF(INDEX(I.CCUS.EndRange,713)="","",INDEX(I.CCUS.EndRange,713))</f>
        <v/>
      </c>
      <c r="G3785" s="54"/>
      <c r="H3785" s="52" t="str">
        <f>IF(AND(I.Compliance.FulfilledCCUS&gt;0,I.CCUS.RangeCount&gt;=713,F3785=""),"Incomplete","Complete")</f>
        <v>Complete</v>
      </c>
      <c r="I3785" s="55" t="s">
        <v>3982</v>
      </c>
    </row>
    <row r="3786" spans="2:9" ht="15" customHeight="1" x14ac:dyDescent="0.25">
      <c r="B3786" s="51" t="s">
        <v>127</v>
      </c>
      <c r="C3786" s="52">
        <v>714</v>
      </c>
      <c r="D3786" s="53" t="s">
        <v>4330</v>
      </c>
      <c r="E3786" s="54"/>
      <c r="F3786" s="52" t="str">
        <f>IF(INDEX(I.CCUS.EndRange,714)="","",INDEX(I.CCUS.EndRange,714))</f>
        <v/>
      </c>
      <c r="G3786" s="54"/>
      <c r="H3786" s="52" t="str">
        <f>IF(AND(I.Compliance.FulfilledCCUS&gt;0,I.CCUS.RangeCount&gt;=714,F3786=""),"Incomplete","Complete")</f>
        <v>Complete</v>
      </c>
      <c r="I3786" s="55" t="s">
        <v>3983</v>
      </c>
    </row>
    <row r="3787" spans="2:9" ht="15" customHeight="1" x14ac:dyDescent="0.25">
      <c r="B3787" s="51" t="s">
        <v>127</v>
      </c>
      <c r="C3787" s="52">
        <v>715</v>
      </c>
      <c r="D3787" s="53" t="s">
        <v>4330</v>
      </c>
      <c r="E3787" s="54"/>
      <c r="F3787" s="52" t="str">
        <f>IF(INDEX(I.CCUS.EndRange,715)="","",INDEX(I.CCUS.EndRange,715))</f>
        <v/>
      </c>
      <c r="G3787" s="54"/>
      <c r="H3787" s="52" t="str">
        <f>IF(AND(I.Compliance.FulfilledCCUS&gt;0,I.CCUS.RangeCount&gt;=715,F3787=""),"Incomplete","Complete")</f>
        <v>Complete</v>
      </c>
      <c r="I3787" s="55" t="s">
        <v>3984</v>
      </c>
    </row>
    <row r="3788" spans="2:9" ht="15" customHeight="1" x14ac:dyDescent="0.25">
      <c r="B3788" s="51" t="s">
        <v>127</v>
      </c>
      <c r="C3788" s="52">
        <v>716</v>
      </c>
      <c r="D3788" s="53" t="s">
        <v>4330</v>
      </c>
      <c r="E3788" s="54"/>
      <c r="F3788" s="52" t="str">
        <f>IF(INDEX(I.CCUS.EndRange,716)="","",INDEX(I.CCUS.EndRange,716))</f>
        <v/>
      </c>
      <c r="G3788" s="54"/>
      <c r="H3788" s="52" t="str">
        <f>IF(AND(I.Compliance.FulfilledCCUS&gt;0,I.CCUS.RangeCount&gt;=716,F3788=""),"Incomplete","Complete")</f>
        <v>Complete</v>
      </c>
      <c r="I3788" s="55" t="s">
        <v>3985</v>
      </c>
    </row>
    <row r="3789" spans="2:9" ht="15" customHeight="1" x14ac:dyDescent="0.25">
      <c r="B3789" s="51" t="s">
        <v>127</v>
      </c>
      <c r="C3789" s="52">
        <v>717</v>
      </c>
      <c r="D3789" s="53" t="s">
        <v>4330</v>
      </c>
      <c r="E3789" s="54"/>
      <c r="F3789" s="52" t="str">
        <f>IF(INDEX(I.CCUS.EndRange,717)="","",INDEX(I.CCUS.EndRange,717))</f>
        <v/>
      </c>
      <c r="G3789" s="54"/>
      <c r="H3789" s="52" t="str">
        <f>IF(AND(I.Compliance.FulfilledCCUS&gt;0,I.CCUS.RangeCount&gt;=717,F3789=""),"Incomplete","Complete")</f>
        <v>Complete</v>
      </c>
      <c r="I3789" s="55" t="s">
        <v>3986</v>
      </c>
    </row>
    <row r="3790" spans="2:9" ht="15" customHeight="1" x14ac:dyDescent="0.25">
      <c r="B3790" s="51" t="s">
        <v>127</v>
      </c>
      <c r="C3790" s="52">
        <v>718</v>
      </c>
      <c r="D3790" s="53" t="s">
        <v>4330</v>
      </c>
      <c r="E3790" s="54"/>
      <c r="F3790" s="52" t="str">
        <f>IF(INDEX(I.CCUS.EndRange,718)="","",INDEX(I.CCUS.EndRange,718))</f>
        <v/>
      </c>
      <c r="G3790" s="54"/>
      <c r="H3790" s="52" t="str">
        <f>IF(AND(I.Compliance.FulfilledCCUS&gt;0,I.CCUS.RangeCount&gt;=718,F3790=""),"Incomplete","Complete")</f>
        <v>Complete</v>
      </c>
      <c r="I3790" s="55" t="s">
        <v>3987</v>
      </c>
    </row>
    <row r="3791" spans="2:9" ht="15" customHeight="1" x14ac:dyDescent="0.25">
      <c r="B3791" s="51" t="s">
        <v>127</v>
      </c>
      <c r="C3791" s="52">
        <v>719</v>
      </c>
      <c r="D3791" s="53" t="s">
        <v>4330</v>
      </c>
      <c r="E3791" s="54"/>
      <c r="F3791" s="52" t="str">
        <f>IF(INDEX(I.CCUS.EndRange,719)="","",INDEX(I.CCUS.EndRange,719))</f>
        <v/>
      </c>
      <c r="G3791" s="54"/>
      <c r="H3791" s="52" t="str">
        <f>IF(AND(I.Compliance.FulfilledCCUS&gt;0,I.CCUS.RangeCount&gt;=719,F3791=""),"Incomplete","Complete")</f>
        <v>Complete</v>
      </c>
      <c r="I3791" s="55" t="s">
        <v>3988</v>
      </c>
    </row>
    <row r="3792" spans="2:9" ht="15" customHeight="1" x14ac:dyDescent="0.25">
      <c r="B3792" s="51" t="s">
        <v>127</v>
      </c>
      <c r="C3792" s="52">
        <v>720</v>
      </c>
      <c r="D3792" s="53" t="s">
        <v>4330</v>
      </c>
      <c r="E3792" s="54"/>
      <c r="F3792" s="52" t="str">
        <f>IF(INDEX(I.CCUS.EndRange,720)="","",INDEX(I.CCUS.EndRange,720))</f>
        <v/>
      </c>
      <c r="G3792" s="54"/>
      <c r="H3792" s="52" t="str">
        <f>IF(AND(I.Compliance.FulfilledCCUS&gt;0,I.CCUS.RangeCount&gt;=720,F3792=""),"Incomplete","Complete")</f>
        <v>Complete</v>
      </c>
      <c r="I3792" s="55" t="s">
        <v>3989</v>
      </c>
    </row>
    <row r="3793" spans="2:9" ht="15" customHeight="1" x14ac:dyDescent="0.25">
      <c r="B3793" s="51" t="s">
        <v>127</v>
      </c>
      <c r="C3793" s="52">
        <v>721</v>
      </c>
      <c r="D3793" s="53" t="s">
        <v>4330</v>
      </c>
      <c r="E3793" s="54"/>
      <c r="F3793" s="52" t="str">
        <f>IF(INDEX(I.CCUS.EndRange,721)="","",INDEX(I.CCUS.EndRange,721))</f>
        <v/>
      </c>
      <c r="G3793" s="54"/>
      <c r="H3793" s="52" t="str">
        <f>IF(AND(I.Compliance.FulfilledCCUS&gt;0,I.CCUS.RangeCount&gt;=721,F3793=""),"Incomplete","Complete")</f>
        <v>Complete</v>
      </c>
      <c r="I3793" s="55" t="s">
        <v>3990</v>
      </c>
    </row>
    <row r="3794" spans="2:9" ht="15" customHeight="1" x14ac:dyDescent="0.25">
      <c r="B3794" s="51" t="s">
        <v>127</v>
      </c>
      <c r="C3794" s="52">
        <v>722</v>
      </c>
      <c r="D3794" s="53" t="s">
        <v>4330</v>
      </c>
      <c r="E3794" s="54"/>
      <c r="F3794" s="52" t="str">
        <f>IF(INDEX(I.CCUS.EndRange,722)="","",INDEX(I.CCUS.EndRange,722))</f>
        <v/>
      </c>
      <c r="G3794" s="54"/>
      <c r="H3794" s="52" t="str">
        <f>IF(AND(I.Compliance.FulfilledCCUS&gt;0,I.CCUS.RangeCount&gt;=722,F3794=""),"Incomplete","Complete")</f>
        <v>Complete</v>
      </c>
      <c r="I3794" s="55" t="s">
        <v>3991</v>
      </c>
    </row>
    <row r="3795" spans="2:9" ht="15" customHeight="1" x14ac:dyDescent="0.25">
      <c r="B3795" s="51" t="s">
        <v>127</v>
      </c>
      <c r="C3795" s="52">
        <v>723</v>
      </c>
      <c r="D3795" s="53" t="s">
        <v>4330</v>
      </c>
      <c r="E3795" s="54"/>
      <c r="F3795" s="52" t="str">
        <f>IF(INDEX(I.CCUS.EndRange,723)="","",INDEX(I.CCUS.EndRange,723))</f>
        <v/>
      </c>
      <c r="G3795" s="54"/>
      <c r="H3795" s="52" t="str">
        <f>IF(AND(I.Compliance.FulfilledCCUS&gt;0,I.CCUS.RangeCount&gt;=723,F3795=""),"Incomplete","Complete")</f>
        <v>Complete</v>
      </c>
      <c r="I3795" s="55" t="s">
        <v>3992</v>
      </c>
    </row>
    <row r="3796" spans="2:9" ht="15" customHeight="1" x14ac:dyDescent="0.25">
      <c r="B3796" s="51" t="s">
        <v>127</v>
      </c>
      <c r="C3796" s="52">
        <v>724</v>
      </c>
      <c r="D3796" s="53" t="s">
        <v>4330</v>
      </c>
      <c r="E3796" s="54"/>
      <c r="F3796" s="52" t="str">
        <f>IF(INDEX(I.CCUS.EndRange,724)="","",INDEX(I.CCUS.EndRange,724))</f>
        <v/>
      </c>
      <c r="G3796" s="54"/>
      <c r="H3796" s="52" t="str">
        <f>IF(AND(I.Compliance.FulfilledCCUS&gt;0,I.CCUS.RangeCount&gt;=724,F3796=""),"Incomplete","Complete")</f>
        <v>Complete</v>
      </c>
      <c r="I3796" s="55" t="s">
        <v>3993</v>
      </c>
    </row>
    <row r="3797" spans="2:9" ht="15" customHeight="1" x14ac:dyDescent="0.25">
      <c r="B3797" s="51" t="s">
        <v>127</v>
      </c>
      <c r="C3797" s="52">
        <v>725</v>
      </c>
      <c r="D3797" s="53" t="s">
        <v>4330</v>
      </c>
      <c r="E3797" s="54"/>
      <c r="F3797" s="52" t="str">
        <f>IF(INDEX(I.CCUS.EndRange,725)="","",INDEX(I.CCUS.EndRange,725))</f>
        <v/>
      </c>
      <c r="G3797" s="54"/>
      <c r="H3797" s="52" t="str">
        <f>IF(AND(I.Compliance.FulfilledCCUS&gt;0,I.CCUS.RangeCount&gt;=725,F3797=""),"Incomplete","Complete")</f>
        <v>Complete</v>
      </c>
      <c r="I3797" s="55" t="s">
        <v>3994</v>
      </c>
    </row>
    <row r="3798" spans="2:9" ht="15" customHeight="1" x14ac:dyDescent="0.25">
      <c r="B3798" s="51" t="s">
        <v>127</v>
      </c>
      <c r="C3798" s="52">
        <v>726</v>
      </c>
      <c r="D3798" s="53" t="s">
        <v>4330</v>
      </c>
      <c r="E3798" s="54"/>
      <c r="F3798" s="52" t="str">
        <f>IF(INDEX(I.CCUS.EndRange,726)="","",INDEX(I.CCUS.EndRange,726))</f>
        <v/>
      </c>
      <c r="G3798" s="54"/>
      <c r="H3798" s="52" t="str">
        <f>IF(AND(I.Compliance.FulfilledCCUS&gt;0,I.CCUS.RangeCount&gt;=726,F3798=""),"Incomplete","Complete")</f>
        <v>Complete</v>
      </c>
      <c r="I3798" s="55" t="s">
        <v>3995</v>
      </c>
    </row>
    <row r="3799" spans="2:9" ht="15" customHeight="1" x14ac:dyDescent="0.25">
      <c r="B3799" s="51" t="s">
        <v>127</v>
      </c>
      <c r="C3799" s="52">
        <v>727</v>
      </c>
      <c r="D3799" s="53" t="s">
        <v>4330</v>
      </c>
      <c r="E3799" s="54"/>
      <c r="F3799" s="52" t="str">
        <f>IF(INDEX(I.CCUS.EndRange,727)="","",INDEX(I.CCUS.EndRange,727))</f>
        <v/>
      </c>
      <c r="G3799" s="54"/>
      <c r="H3799" s="52" t="str">
        <f>IF(AND(I.Compliance.FulfilledCCUS&gt;0,I.CCUS.RangeCount&gt;=727,F3799=""),"Incomplete","Complete")</f>
        <v>Complete</v>
      </c>
      <c r="I3799" s="55" t="s">
        <v>3996</v>
      </c>
    </row>
    <row r="3800" spans="2:9" ht="15" customHeight="1" x14ac:dyDescent="0.25">
      <c r="B3800" s="51" t="s">
        <v>127</v>
      </c>
      <c r="C3800" s="52">
        <v>728</v>
      </c>
      <c r="D3800" s="53" t="s">
        <v>4330</v>
      </c>
      <c r="E3800" s="54"/>
      <c r="F3800" s="52" t="str">
        <f>IF(INDEX(I.CCUS.EndRange,728)="","",INDEX(I.CCUS.EndRange,728))</f>
        <v/>
      </c>
      <c r="G3800" s="54"/>
      <c r="H3800" s="52" t="str">
        <f>IF(AND(I.Compliance.FulfilledCCUS&gt;0,I.CCUS.RangeCount&gt;=728,F3800=""),"Incomplete","Complete")</f>
        <v>Complete</v>
      </c>
      <c r="I3800" s="55" t="s">
        <v>3997</v>
      </c>
    </row>
    <row r="3801" spans="2:9" ht="15" customHeight="1" x14ac:dyDescent="0.25">
      <c r="B3801" s="51" t="s">
        <v>127</v>
      </c>
      <c r="C3801" s="52">
        <v>729</v>
      </c>
      <c r="D3801" s="53" t="s">
        <v>4330</v>
      </c>
      <c r="E3801" s="54"/>
      <c r="F3801" s="52" t="str">
        <f>IF(INDEX(I.CCUS.EndRange,729)="","",INDEX(I.CCUS.EndRange,729))</f>
        <v/>
      </c>
      <c r="G3801" s="54"/>
      <c r="H3801" s="52" t="str">
        <f>IF(AND(I.Compliance.FulfilledCCUS&gt;0,I.CCUS.RangeCount&gt;=729,F3801=""),"Incomplete","Complete")</f>
        <v>Complete</v>
      </c>
      <c r="I3801" s="55" t="s">
        <v>3998</v>
      </c>
    </row>
    <row r="3802" spans="2:9" ht="15" customHeight="1" x14ac:dyDescent="0.25">
      <c r="B3802" s="51" t="s">
        <v>127</v>
      </c>
      <c r="C3802" s="52">
        <v>730</v>
      </c>
      <c r="D3802" s="53" t="s">
        <v>4330</v>
      </c>
      <c r="E3802" s="54"/>
      <c r="F3802" s="52" t="str">
        <f>IF(INDEX(I.CCUS.EndRange,730)="","",INDEX(I.CCUS.EndRange,730))</f>
        <v/>
      </c>
      <c r="G3802" s="54"/>
      <c r="H3802" s="52" t="str">
        <f>IF(AND(I.Compliance.FulfilledCCUS&gt;0,I.CCUS.RangeCount&gt;=730,F3802=""),"Incomplete","Complete")</f>
        <v>Complete</v>
      </c>
      <c r="I3802" s="55" t="s">
        <v>3999</v>
      </c>
    </row>
    <row r="3803" spans="2:9" ht="15" customHeight="1" x14ac:dyDescent="0.25">
      <c r="B3803" s="51" t="s">
        <v>127</v>
      </c>
      <c r="C3803" s="52">
        <v>731</v>
      </c>
      <c r="D3803" s="53" t="s">
        <v>4330</v>
      </c>
      <c r="E3803" s="54"/>
      <c r="F3803" s="52" t="str">
        <f>IF(INDEX(I.CCUS.EndRange,731)="","",INDEX(I.CCUS.EndRange,731))</f>
        <v/>
      </c>
      <c r="G3803" s="54"/>
      <c r="H3803" s="52" t="str">
        <f>IF(AND(I.Compliance.FulfilledCCUS&gt;0,I.CCUS.RangeCount&gt;=731,F3803=""),"Incomplete","Complete")</f>
        <v>Complete</v>
      </c>
      <c r="I3803" s="55" t="s">
        <v>4000</v>
      </c>
    </row>
    <row r="3804" spans="2:9" ht="15" customHeight="1" x14ac:dyDescent="0.25">
      <c r="B3804" s="51" t="s">
        <v>127</v>
      </c>
      <c r="C3804" s="52">
        <v>732</v>
      </c>
      <c r="D3804" s="53" t="s">
        <v>4330</v>
      </c>
      <c r="E3804" s="54"/>
      <c r="F3804" s="52" t="str">
        <f>IF(INDEX(I.CCUS.EndRange,732)="","",INDEX(I.CCUS.EndRange,732))</f>
        <v/>
      </c>
      <c r="G3804" s="54"/>
      <c r="H3804" s="52" t="str">
        <f>IF(AND(I.Compliance.FulfilledCCUS&gt;0,I.CCUS.RangeCount&gt;=732,F3804=""),"Incomplete","Complete")</f>
        <v>Complete</v>
      </c>
      <c r="I3804" s="55" t="s">
        <v>4001</v>
      </c>
    </row>
    <row r="3805" spans="2:9" ht="15" customHeight="1" x14ac:dyDescent="0.25">
      <c r="B3805" s="51" t="s">
        <v>127</v>
      </c>
      <c r="C3805" s="52">
        <v>733</v>
      </c>
      <c r="D3805" s="53" t="s">
        <v>4330</v>
      </c>
      <c r="E3805" s="54"/>
      <c r="F3805" s="52" t="str">
        <f>IF(INDEX(I.CCUS.EndRange,733)="","",INDEX(I.CCUS.EndRange,733))</f>
        <v/>
      </c>
      <c r="G3805" s="54"/>
      <c r="H3805" s="52" t="str">
        <f>IF(AND(I.Compliance.FulfilledCCUS&gt;0,I.CCUS.RangeCount&gt;=733,F3805=""),"Incomplete","Complete")</f>
        <v>Complete</v>
      </c>
      <c r="I3805" s="55" t="s">
        <v>4002</v>
      </c>
    </row>
    <row r="3806" spans="2:9" ht="15" customHeight="1" x14ac:dyDescent="0.25">
      <c r="B3806" s="51" t="s">
        <v>127</v>
      </c>
      <c r="C3806" s="52">
        <v>734</v>
      </c>
      <c r="D3806" s="53" t="s">
        <v>4330</v>
      </c>
      <c r="E3806" s="54"/>
      <c r="F3806" s="52" t="str">
        <f>IF(INDEX(I.CCUS.EndRange,734)="","",INDEX(I.CCUS.EndRange,734))</f>
        <v/>
      </c>
      <c r="G3806" s="54"/>
      <c r="H3806" s="52" t="str">
        <f>IF(AND(I.Compliance.FulfilledCCUS&gt;0,I.CCUS.RangeCount&gt;=734,F3806=""),"Incomplete","Complete")</f>
        <v>Complete</v>
      </c>
      <c r="I3806" s="55" t="s">
        <v>4003</v>
      </c>
    </row>
    <row r="3807" spans="2:9" ht="15" customHeight="1" x14ac:dyDescent="0.25">
      <c r="B3807" s="51" t="s">
        <v>127</v>
      </c>
      <c r="C3807" s="52">
        <v>735</v>
      </c>
      <c r="D3807" s="53" t="s">
        <v>4330</v>
      </c>
      <c r="E3807" s="54"/>
      <c r="F3807" s="52" t="str">
        <f>IF(INDEX(I.CCUS.EndRange,735)="","",INDEX(I.CCUS.EndRange,735))</f>
        <v/>
      </c>
      <c r="G3807" s="54"/>
      <c r="H3807" s="52" t="str">
        <f>IF(AND(I.Compliance.FulfilledCCUS&gt;0,I.CCUS.RangeCount&gt;=735,F3807=""),"Incomplete","Complete")</f>
        <v>Complete</v>
      </c>
      <c r="I3807" s="55" t="s">
        <v>4004</v>
      </c>
    </row>
    <row r="3808" spans="2:9" ht="15" customHeight="1" x14ac:dyDescent="0.25">
      <c r="B3808" s="51" t="s">
        <v>127</v>
      </c>
      <c r="C3808" s="52">
        <v>736</v>
      </c>
      <c r="D3808" s="53" t="s">
        <v>4330</v>
      </c>
      <c r="E3808" s="54"/>
      <c r="F3808" s="52" t="str">
        <f>IF(INDEX(I.CCUS.EndRange,736)="","",INDEX(I.CCUS.EndRange,736))</f>
        <v/>
      </c>
      <c r="G3808" s="54"/>
      <c r="H3808" s="52" t="str">
        <f>IF(AND(I.Compliance.FulfilledCCUS&gt;0,I.CCUS.RangeCount&gt;=736,F3808=""),"Incomplete","Complete")</f>
        <v>Complete</v>
      </c>
      <c r="I3808" s="55" t="s">
        <v>4005</v>
      </c>
    </row>
    <row r="3809" spans="2:9" ht="15" customHeight="1" x14ac:dyDescent="0.25">
      <c r="B3809" s="51" t="s">
        <v>127</v>
      </c>
      <c r="C3809" s="52">
        <v>737</v>
      </c>
      <c r="D3809" s="53" t="s">
        <v>4330</v>
      </c>
      <c r="E3809" s="54"/>
      <c r="F3809" s="52" t="str">
        <f>IF(INDEX(I.CCUS.EndRange,737)="","",INDEX(I.CCUS.EndRange,737))</f>
        <v/>
      </c>
      <c r="G3809" s="54"/>
      <c r="H3809" s="52" t="str">
        <f>IF(AND(I.Compliance.FulfilledCCUS&gt;0,I.CCUS.RangeCount&gt;=737,F3809=""),"Incomplete","Complete")</f>
        <v>Complete</v>
      </c>
      <c r="I3809" s="55" t="s">
        <v>4006</v>
      </c>
    </row>
    <row r="3810" spans="2:9" ht="15" customHeight="1" x14ac:dyDescent="0.25">
      <c r="B3810" s="51" t="s">
        <v>127</v>
      </c>
      <c r="C3810" s="52">
        <v>738</v>
      </c>
      <c r="D3810" s="53" t="s">
        <v>4330</v>
      </c>
      <c r="E3810" s="54"/>
      <c r="F3810" s="52" t="str">
        <f>IF(INDEX(I.CCUS.EndRange,738)="","",INDEX(I.CCUS.EndRange,738))</f>
        <v/>
      </c>
      <c r="G3810" s="54"/>
      <c r="H3810" s="52" t="str">
        <f>IF(AND(I.Compliance.FulfilledCCUS&gt;0,I.CCUS.RangeCount&gt;=738,F3810=""),"Incomplete","Complete")</f>
        <v>Complete</v>
      </c>
      <c r="I3810" s="55" t="s">
        <v>4007</v>
      </c>
    </row>
    <row r="3811" spans="2:9" ht="15" customHeight="1" x14ac:dyDescent="0.25">
      <c r="B3811" s="51" t="s">
        <v>127</v>
      </c>
      <c r="C3811" s="52">
        <v>739</v>
      </c>
      <c r="D3811" s="53" t="s">
        <v>4330</v>
      </c>
      <c r="E3811" s="54"/>
      <c r="F3811" s="52" t="str">
        <f>IF(INDEX(I.CCUS.EndRange,739)="","",INDEX(I.CCUS.EndRange,739))</f>
        <v/>
      </c>
      <c r="G3811" s="54"/>
      <c r="H3811" s="52" t="str">
        <f>IF(AND(I.Compliance.FulfilledCCUS&gt;0,I.CCUS.RangeCount&gt;=739,F3811=""),"Incomplete","Complete")</f>
        <v>Complete</v>
      </c>
      <c r="I3811" s="55" t="s">
        <v>4008</v>
      </c>
    </row>
    <row r="3812" spans="2:9" ht="15" customHeight="1" x14ac:dyDescent="0.25">
      <c r="B3812" s="51" t="s">
        <v>127</v>
      </c>
      <c r="C3812" s="52">
        <v>740</v>
      </c>
      <c r="D3812" s="53" t="s">
        <v>4330</v>
      </c>
      <c r="E3812" s="54"/>
      <c r="F3812" s="52" t="str">
        <f>IF(INDEX(I.CCUS.EndRange,740)="","",INDEX(I.CCUS.EndRange,740))</f>
        <v/>
      </c>
      <c r="G3812" s="54"/>
      <c r="H3812" s="52" t="str">
        <f>IF(AND(I.Compliance.FulfilledCCUS&gt;0,I.CCUS.RangeCount&gt;=740,F3812=""),"Incomplete","Complete")</f>
        <v>Complete</v>
      </c>
      <c r="I3812" s="55" t="s">
        <v>4009</v>
      </c>
    </row>
    <row r="3813" spans="2:9" ht="15" customHeight="1" x14ac:dyDescent="0.25">
      <c r="B3813" s="51" t="s">
        <v>127</v>
      </c>
      <c r="C3813" s="52">
        <v>741</v>
      </c>
      <c r="D3813" s="53" t="s">
        <v>4330</v>
      </c>
      <c r="E3813" s="54"/>
      <c r="F3813" s="52" t="str">
        <f>IF(INDEX(I.CCUS.EndRange,741)="","",INDEX(I.CCUS.EndRange,741))</f>
        <v/>
      </c>
      <c r="G3813" s="54"/>
      <c r="H3813" s="52" t="str">
        <f>IF(AND(I.Compliance.FulfilledCCUS&gt;0,I.CCUS.RangeCount&gt;=741,F3813=""),"Incomplete","Complete")</f>
        <v>Complete</v>
      </c>
      <c r="I3813" s="55" t="s">
        <v>4010</v>
      </c>
    </row>
    <row r="3814" spans="2:9" ht="15" customHeight="1" x14ac:dyDescent="0.25">
      <c r="B3814" s="51" t="s">
        <v>127</v>
      </c>
      <c r="C3814" s="52">
        <v>742</v>
      </c>
      <c r="D3814" s="53" t="s">
        <v>4330</v>
      </c>
      <c r="E3814" s="54"/>
      <c r="F3814" s="52" t="str">
        <f>IF(INDEX(I.CCUS.EndRange,742)="","",INDEX(I.CCUS.EndRange,742))</f>
        <v/>
      </c>
      <c r="G3814" s="54"/>
      <c r="H3814" s="52" t="str">
        <f>IF(AND(I.Compliance.FulfilledCCUS&gt;0,I.CCUS.RangeCount&gt;=742,F3814=""),"Incomplete","Complete")</f>
        <v>Complete</v>
      </c>
      <c r="I3814" s="55" t="s">
        <v>4011</v>
      </c>
    </row>
    <row r="3815" spans="2:9" ht="15" customHeight="1" x14ac:dyDescent="0.25">
      <c r="B3815" s="51" t="s">
        <v>127</v>
      </c>
      <c r="C3815" s="52">
        <v>743</v>
      </c>
      <c r="D3815" s="53" t="s">
        <v>4330</v>
      </c>
      <c r="E3815" s="54"/>
      <c r="F3815" s="52" t="str">
        <f>IF(INDEX(I.CCUS.EndRange,743)="","",INDEX(I.CCUS.EndRange,743))</f>
        <v/>
      </c>
      <c r="G3815" s="54"/>
      <c r="H3815" s="52" t="str">
        <f>IF(AND(I.Compliance.FulfilledCCUS&gt;0,I.CCUS.RangeCount&gt;=743,F3815=""),"Incomplete","Complete")</f>
        <v>Complete</v>
      </c>
      <c r="I3815" s="55" t="s">
        <v>4012</v>
      </c>
    </row>
    <row r="3816" spans="2:9" ht="15" customHeight="1" x14ac:dyDescent="0.25">
      <c r="B3816" s="51" t="s">
        <v>127</v>
      </c>
      <c r="C3816" s="52">
        <v>744</v>
      </c>
      <c r="D3816" s="53" t="s">
        <v>4330</v>
      </c>
      <c r="E3816" s="54"/>
      <c r="F3816" s="52" t="str">
        <f>IF(INDEX(I.CCUS.EndRange,744)="","",INDEX(I.CCUS.EndRange,744))</f>
        <v/>
      </c>
      <c r="G3816" s="54"/>
      <c r="H3816" s="52" t="str">
        <f>IF(AND(I.Compliance.FulfilledCCUS&gt;0,I.CCUS.RangeCount&gt;=744,F3816=""),"Incomplete","Complete")</f>
        <v>Complete</v>
      </c>
      <c r="I3816" s="55" t="s">
        <v>4013</v>
      </c>
    </row>
    <row r="3817" spans="2:9" ht="15" customHeight="1" x14ac:dyDescent="0.25">
      <c r="B3817" s="51" t="s">
        <v>127</v>
      </c>
      <c r="C3817" s="52">
        <v>745</v>
      </c>
      <c r="D3817" s="53" t="s">
        <v>4330</v>
      </c>
      <c r="E3817" s="54"/>
      <c r="F3817" s="52" t="str">
        <f>IF(INDEX(I.CCUS.EndRange,745)="","",INDEX(I.CCUS.EndRange,745))</f>
        <v/>
      </c>
      <c r="G3817" s="54"/>
      <c r="H3817" s="52" t="str">
        <f>IF(AND(I.Compliance.FulfilledCCUS&gt;0,I.CCUS.RangeCount&gt;=745,F3817=""),"Incomplete","Complete")</f>
        <v>Complete</v>
      </c>
      <c r="I3817" s="55" t="s">
        <v>4014</v>
      </c>
    </row>
    <row r="3818" spans="2:9" ht="15" customHeight="1" x14ac:dyDescent="0.25">
      <c r="B3818" s="51" t="s">
        <v>127</v>
      </c>
      <c r="C3818" s="52">
        <v>746</v>
      </c>
      <c r="D3818" s="53" t="s">
        <v>4330</v>
      </c>
      <c r="E3818" s="54"/>
      <c r="F3818" s="52" t="str">
        <f>IF(INDEX(I.CCUS.EndRange,746)="","",INDEX(I.CCUS.EndRange,746))</f>
        <v/>
      </c>
      <c r="G3818" s="54"/>
      <c r="H3818" s="52" t="str">
        <f>IF(AND(I.Compliance.FulfilledCCUS&gt;0,I.CCUS.RangeCount&gt;=746,F3818=""),"Incomplete","Complete")</f>
        <v>Complete</v>
      </c>
      <c r="I3818" s="55" t="s">
        <v>4015</v>
      </c>
    </row>
    <row r="3819" spans="2:9" ht="15" customHeight="1" x14ac:dyDescent="0.25">
      <c r="B3819" s="51" t="s">
        <v>127</v>
      </c>
      <c r="C3819" s="52">
        <v>747</v>
      </c>
      <c r="D3819" s="53" t="s">
        <v>4330</v>
      </c>
      <c r="E3819" s="54"/>
      <c r="F3819" s="52" t="str">
        <f>IF(INDEX(I.CCUS.EndRange,747)="","",INDEX(I.CCUS.EndRange,747))</f>
        <v/>
      </c>
      <c r="G3819" s="54"/>
      <c r="H3819" s="52" t="str">
        <f>IF(AND(I.Compliance.FulfilledCCUS&gt;0,I.CCUS.RangeCount&gt;=747,F3819=""),"Incomplete","Complete")</f>
        <v>Complete</v>
      </c>
      <c r="I3819" s="55" t="s">
        <v>4016</v>
      </c>
    </row>
    <row r="3820" spans="2:9" ht="15" customHeight="1" x14ac:dyDescent="0.25">
      <c r="B3820" s="51" t="s">
        <v>127</v>
      </c>
      <c r="C3820" s="52">
        <v>748</v>
      </c>
      <c r="D3820" s="53" t="s">
        <v>4330</v>
      </c>
      <c r="E3820" s="54"/>
      <c r="F3820" s="52" t="str">
        <f>IF(INDEX(I.CCUS.EndRange,748)="","",INDEX(I.CCUS.EndRange,748))</f>
        <v/>
      </c>
      <c r="G3820" s="54"/>
      <c r="H3820" s="52" t="str">
        <f>IF(AND(I.Compliance.FulfilledCCUS&gt;0,I.CCUS.RangeCount&gt;=748,F3820=""),"Incomplete","Complete")</f>
        <v>Complete</v>
      </c>
      <c r="I3820" s="55" t="s">
        <v>4017</v>
      </c>
    </row>
    <row r="3821" spans="2:9" ht="15" customHeight="1" x14ac:dyDescent="0.25">
      <c r="B3821" s="51" t="s">
        <v>127</v>
      </c>
      <c r="C3821" s="52">
        <v>749</v>
      </c>
      <c r="D3821" s="53" t="s">
        <v>4330</v>
      </c>
      <c r="E3821" s="54"/>
      <c r="F3821" s="52" t="str">
        <f>IF(INDEX(I.CCUS.EndRange,749)="","",INDEX(I.CCUS.EndRange,749))</f>
        <v/>
      </c>
      <c r="G3821" s="54"/>
      <c r="H3821" s="52" t="str">
        <f>IF(AND(I.Compliance.FulfilledCCUS&gt;0,I.CCUS.RangeCount&gt;=749,F3821=""),"Incomplete","Complete")</f>
        <v>Complete</v>
      </c>
      <c r="I3821" s="55" t="s">
        <v>4018</v>
      </c>
    </row>
    <row r="3822" spans="2:9" ht="15" customHeight="1" x14ac:dyDescent="0.25">
      <c r="B3822" s="51" t="s">
        <v>127</v>
      </c>
      <c r="C3822" s="52">
        <v>750</v>
      </c>
      <c r="D3822" s="53" t="s">
        <v>4330</v>
      </c>
      <c r="E3822" s="54"/>
      <c r="F3822" s="52" t="str">
        <f>IF(INDEX(I.CCUS.EndRange,750)="","",INDEX(I.CCUS.EndRange,750))</f>
        <v/>
      </c>
      <c r="G3822" s="54"/>
      <c r="H3822" s="52" t="str">
        <f>IF(AND(I.Compliance.FulfilledCCUS&gt;0,I.CCUS.RangeCount&gt;=750,F3822=""),"Incomplete","Complete")</f>
        <v>Complete</v>
      </c>
      <c r="I3822" s="55" t="s">
        <v>4019</v>
      </c>
    </row>
    <row r="3823" spans="2:9" ht="15" customHeight="1" x14ac:dyDescent="0.25">
      <c r="B3823" s="51" t="s">
        <v>127</v>
      </c>
      <c r="C3823" s="52">
        <v>751</v>
      </c>
      <c r="D3823" s="53" t="s">
        <v>4330</v>
      </c>
      <c r="E3823" s="54"/>
      <c r="F3823" s="52" t="str">
        <f>IF(INDEX(I.CCUS.EndRange,751)="","",INDEX(I.CCUS.EndRange,751))</f>
        <v/>
      </c>
      <c r="G3823" s="54"/>
      <c r="H3823" s="52" t="str">
        <f>IF(AND(I.Compliance.FulfilledCCUS&gt;0,I.CCUS.RangeCount&gt;=751,F3823=""),"Incomplete","Complete")</f>
        <v>Complete</v>
      </c>
      <c r="I3823" s="55" t="s">
        <v>4020</v>
      </c>
    </row>
    <row r="3824" spans="2:9" ht="15" customHeight="1" x14ac:dyDescent="0.25">
      <c r="B3824" s="51" t="s">
        <v>127</v>
      </c>
      <c r="C3824" s="52">
        <v>752</v>
      </c>
      <c r="D3824" s="53" t="s">
        <v>4330</v>
      </c>
      <c r="E3824" s="54"/>
      <c r="F3824" s="52" t="str">
        <f>IF(INDEX(I.CCUS.EndRange,752)="","",INDEX(I.CCUS.EndRange,752))</f>
        <v/>
      </c>
      <c r="G3824" s="54"/>
      <c r="H3824" s="52" t="str">
        <f>IF(AND(I.Compliance.FulfilledCCUS&gt;0,I.CCUS.RangeCount&gt;=752,F3824=""),"Incomplete","Complete")</f>
        <v>Complete</v>
      </c>
      <c r="I3824" s="55" t="s">
        <v>4021</v>
      </c>
    </row>
    <row r="3825" spans="2:9" ht="15" customHeight="1" x14ac:dyDescent="0.25">
      <c r="B3825" s="51" t="s">
        <v>127</v>
      </c>
      <c r="C3825" s="52">
        <v>753</v>
      </c>
      <c r="D3825" s="53" t="s">
        <v>4330</v>
      </c>
      <c r="E3825" s="54"/>
      <c r="F3825" s="52" t="str">
        <f>IF(INDEX(I.CCUS.EndRange,753)="","",INDEX(I.CCUS.EndRange,753))</f>
        <v/>
      </c>
      <c r="G3825" s="54"/>
      <c r="H3825" s="52" t="str">
        <f>IF(AND(I.Compliance.FulfilledCCUS&gt;0,I.CCUS.RangeCount&gt;=753,F3825=""),"Incomplete","Complete")</f>
        <v>Complete</v>
      </c>
      <c r="I3825" s="55" t="s">
        <v>4022</v>
      </c>
    </row>
    <row r="3826" spans="2:9" ht="15" customHeight="1" x14ac:dyDescent="0.25">
      <c r="B3826" s="51" t="s">
        <v>127</v>
      </c>
      <c r="C3826" s="52">
        <v>754</v>
      </c>
      <c r="D3826" s="53" t="s">
        <v>4330</v>
      </c>
      <c r="E3826" s="54"/>
      <c r="F3826" s="52" t="str">
        <f>IF(INDEX(I.CCUS.EndRange,754)="","",INDEX(I.CCUS.EndRange,754))</f>
        <v/>
      </c>
      <c r="G3826" s="54"/>
      <c r="H3826" s="52" t="str">
        <f>IF(AND(I.Compliance.FulfilledCCUS&gt;0,I.CCUS.RangeCount&gt;=754,F3826=""),"Incomplete","Complete")</f>
        <v>Complete</v>
      </c>
      <c r="I3826" s="55" t="s">
        <v>4023</v>
      </c>
    </row>
    <row r="3827" spans="2:9" ht="15" customHeight="1" x14ac:dyDescent="0.25">
      <c r="B3827" s="51" t="s">
        <v>127</v>
      </c>
      <c r="C3827" s="52">
        <v>755</v>
      </c>
      <c r="D3827" s="53" t="s">
        <v>4330</v>
      </c>
      <c r="E3827" s="54"/>
      <c r="F3827" s="52" t="str">
        <f>IF(INDEX(I.CCUS.EndRange,755)="","",INDEX(I.CCUS.EndRange,755))</f>
        <v/>
      </c>
      <c r="G3827" s="54"/>
      <c r="H3827" s="52" t="str">
        <f>IF(AND(I.Compliance.FulfilledCCUS&gt;0,I.CCUS.RangeCount&gt;=755,F3827=""),"Incomplete","Complete")</f>
        <v>Complete</v>
      </c>
      <c r="I3827" s="55" t="s">
        <v>4024</v>
      </c>
    </row>
    <row r="3828" spans="2:9" ht="15" customHeight="1" x14ac:dyDescent="0.25">
      <c r="B3828" s="51" t="s">
        <v>127</v>
      </c>
      <c r="C3828" s="52">
        <v>756</v>
      </c>
      <c r="D3828" s="53" t="s">
        <v>4330</v>
      </c>
      <c r="E3828" s="54"/>
      <c r="F3828" s="52" t="str">
        <f>IF(INDEX(I.CCUS.EndRange,756)="","",INDEX(I.CCUS.EndRange,756))</f>
        <v/>
      </c>
      <c r="G3828" s="54"/>
      <c r="H3828" s="52" t="str">
        <f>IF(AND(I.Compliance.FulfilledCCUS&gt;0,I.CCUS.RangeCount&gt;=756,F3828=""),"Incomplete","Complete")</f>
        <v>Complete</v>
      </c>
      <c r="I3828" s="55" t="s">
        <v>4025</v>
      </c>
    </row>
    <row r="3829" spans="2:9" ht="15" customHeight="1" x14ac:dyDescent="0.25">
      <c r="B3829" s="51" t="s">
        <v>127</v>
      </c>
      <c r="C3829" s="52">
        <v>757</v>
      </c>
      <c r="D3829" s="53" t="s">
        <v>4330</v>
      </c>
      <c r="E3829" s="54"/>
      <c r="F3829" s="52" t="str">
        <f>IF(INDEX(I.CCUS.EndRange,757)="","",INDEX(I.CCUS.EndRange,757))</f>
        <v/>
      </c>
      <c r="G3829" s="54"/>
      <c r="H3829" s="52" t="str">
        <f>IF(AND(I.Compliance.FulfilledCCUS&gt;0,I.CCUS.RangeCount&gt;=757,F3829=""),"Incomplete","Complete")</f>
        <v>Complete</v>
      </c>
      <c r="I3829" s="55" t="s">
        <v>4026</v>
      </c>
    </row>
    <row r="3830" spans="2:9" ht="15" customHeight="1" x14ac:dyDescent="0.25">
      <c r="B3830" s="51" t="s">
        <v>127</v>
      </c>
      <c r="C3830" s="52">
        <v>758</v>
      </c>
      <c r="D3830" s="53" t="s">
        <v>4330</v>
      </c>
      <c r="E3830" s="54"/>
      <c r="F3830" s="52" t="str">
        <f>IF(INDEX(I.CCUS.EndRange,758)="","",INDEX(I.CCUS.EndRange,758))</f>
        <v/>
      </c>
      <c r="G3830" s="54"/>
      <c r="H3830" s="52" t="str">
        <f>IF(AND(I.Compliance.FulfilledCCUS&gt;0,I.CCUS.RangeCount&gt;=758,F3830=""),"Incomplete","Complete")</f>
        <v>Complete</v>
      </c>
      <c r="I3830" s="55" t="s">
        <v>4027</v>
      </c>
    </row>
    <row r="3831" spans="2:9" ht="15" customHeight="1" x14ac:dyDescent="0.25">
      <c r="B3831" s="51" t="s">
        <v>127</v>
      </c>
      <c r="C3831" s="52">
        <v>759</v>
      </c>
      <c r="D3831" s="53" t="s">
        <v>4330</v>
      </c>
      <c r="E3831" s="54"/>
      <c r="F3831" s="52" t="str">
        <f>IF(INDEX(I.CCUS.EndRange,759)="","",INDEX(I.CCUS.EndRange,759))</f>
        <v/>
      </c>
      <c r="G3831" s="54"/>
      <c r="H3831" s="52" t="str">
        <f>IF(AND(I.Compliance.FulfilledCCUS&gt;0,I.CCUS.RangeCount&gt;=759,F3831=""),"Incomplete","Complete")</f>
        <v>Complete</v>
      </c>
      <c r="I3831" s="55" t="s">
        <v>4028</v>
      </c>
    </row>
    <row r="3832" spans="2:9" ht="15" customHeight="1" x14ac:dyDescent="0.25">
      <c r="B3832" s="51" t="s">
        <v>127</v>
      </c>
      <c r="C3832" s="52">
        <v>760</v>
      </c>
      <c r="D3832" s="53" t="s">
        <v>4330</v>
      </c>
      <c r="E3832" s="54"/>
      <c r="F3832" s="52" t="str">
        <f>IF(INDEX(I.CCUS.EndRange,760)="","",INDEX(I.CCUS.EndRange,760))</f>
        <v/>
      </c>
      <c r="G3832" s="54"/>
      <c r="H3832" s="52" t="str">
        <f>IF(AND(I.Compliance.FulfilledCCUS&gt;0,I.CCUS.RangeCount&gt;=760,F3832=""),"Incomplete","Complete")</f>
        <v>Complete</v>
      </c>
      <c r="I3832" s="55" t="s">
        <v>4029</v>
      </c>
    </row>
    <row r="3833" spans="2:9" ht="15" customHeight="1" x14ac:dyDescent="0.25">
      <c r="B3833" s="51" t="s">
        <v>127</v>
      </c>
      <c r="C3833" s="52">
        <v>761</v>
      </c>
      <c r="D3833" s="53" t="s">
        <v>4330</v>
      </c>
      <c r="E3833" s="54"/>
      <c r="F3833" s="52" t="str">
        <f>IF(INDEX(I.CCUS.EndRange,761)="","",INDEX(I.CCUS.EndRange,761))</f>
        <v/>
      </c>
      <c r="G3833" s="54"/>
      <c r="H3833" s="52" t="str">
        <f>IF(AND(I.Compliance.FulfilledCCUS&gt;0,I.CCUS.RangeCount&gt;=761,F3833=""),"Incomplete","Complete")</f>
        <v>Complete</v>
      </c>
      <c r="I3833" s="55" t="s">
        <v>4030</v>
      </c>
    </row>
    <row r="3834" spans="2:9" ht="15" customHeight="1" x14ac:dyDescent="0.25">
      <c r="B3834" s="51" t="s">
        <v>127</v>
      </c>
      <c r="C3834" s="52">
        <v>762</v>
      </c>
      <c r="D3834" s="53" t="s">
        <v>4330</v>
      </c>
      <c r="E3834" s="54"/>
      <c r="F3834" s="52" t="str">
        <f>IF(INDEX(I.CCUS.EndRange,762)="","",INDEX(I.CCUS.EndRange,762))</f>
        <v/>
      </c>
      <c r="G3834" s="54"/>
      <c r="H3834" s="52" t="str">
        <f>IF(AND(I.Compliance.FulfilledCCUS&gt;0,I.CCUS.RangeCount&gt;=762,F3834=""),"Incomplete","Complete")</f>
        <v>Complete</v>
      </c>
      <c r="I3834" s="55" t="s">
        <v>4031</v>
      </c>
    </row>
    <row r="3835" spans="2:9" ht="15" customHeight="1" x14ac:dyDescent="0.25">
      <c r="B3835" s="51" t="s">
        <v>127</v>
      </c>
      <c r="C3835" s="52">
        <v>763</v>
      </c>
      <c r="D3835" s="53" t="s">
        <v>4330</v>
      </c>
      <c r="E3835" s="54"/>
      <c r="F3835" s="52" t="str">
        <f>IF(INDEX(I.CCUS.EndRange,763)="","",INDEX(I.CCUS.EndRange,763))</f>
        <v/>
      </c>
      <c r="G3835" s="54"/>
      <c r="H3835" s="52" t="str">
        <f>IF(AND(I.Compliance.FulfilledCCUS&gt;0,I.CCUS.RangeCount&gt;=763,F3835=""),"Incomplete","Complete")</f>
        <v>Complete</v>
      </c>
      <c r="I3835" s="55" t="s">
        <v>4032</v>
      </c>
    </row>
    <row r="3836" spans="2:9" ht="15" customHeight="1" x14ac:dyDescent="0.25">
      <c r="B3836" s="51" t="s">
        <v>127</v>
      </c>
      <c r="C3836" s="52">
        <v>764</v>
      </c>
      <c r="D3836" s="53" t="s">
        <v>4330</v>
      </c>
      <c r="E3836" s="54"/>
      <c r="F3836" s="52" t="str">
        <f>IF(INDEX(I.CCUS.EndRange,764)="","",INDEX(I.CCUS.EndRange,764))</f>
        <v/>
      </c>
      <c r="G3836" s="54"/>
      <c r="H3836" s="52" t="str">
        <f>IF(AND(I.Compliance.FulfilledCCUS&gt;0,I.CCUS.RangeCount&gt;=764,F3836=""),"Incomplete","Complete")</f>
        <v>Complete</v>
      </c>
      <c r="I3836" s="55" t="s">
        <v>4033</v>
      </c>
    </row>
    <row r="3837" spans="2:9" ht="15" customHeight="1" x14ac:dyDescent="0.25">
      <c r="B3837" s="51" t="s">
        <v>127</v>
      </c>
      <c r="C3837" s="52">
        <v>765</v>
      </c>
      <c r="D3837" s="53" t="s">
        <v>4330</v>
      </c>
      <c r="E3837" s="54"/>
      <c r="F3837" s="52" t="str">
        <f>IF(INDEX(I.CCUS.EndRange,765)="","",INDEX(I.CCUS.EndRange,765))</f>
        <v/>
      </c>
      <c r="G3837" s="54"/>
      <c r="H3837" s="52" t="str">
        <f>IF(AND(I.Compliance.FulfilledCCUS&gt;0,I.CCUS.RangeCount&gt;=765,F3837=""),"Incomplete","Complete")</f>
        <v>Complete</v>
      </c>
      <c r="I3837" s="55" t="s">
        <v>4034</v>
      </c>
    </row>
    <row r="3838" spans="2:9" ht="15" customHeight="1" x14ac:dyDescent="0.25">
      <c r="B3838" s="51" t="s">
        <v>127</v>
      </c>
      <c r="C3838" s="52">
        <v>766</v>
      </c>
      <c r="D3838" s="53" t="s">
        <v>4330</v>
      </c>
      <c r="E3838" s="54"/>
      <c r="F3838" s="52" t="str">
        <f>IF(INDEX(I.CCUS.EndRange,766)="","",INDEX(I.CCUS.EndRange,766))</f>
        <v/>
      </c>
      <c r="G3838" s="54"/>
      <c r="H3838" s="52" t="str">
        <f>IF(AND(I.Compliance.FulfilledCCUS&gt;0,I.CCUS.RangeCount&gt;=766,F3838=""),"Incomplete","Complete")</f>
        <v>Complete</v>
      </c>
      <c r="I3838" s="55" t="s">
        <v>4035</v>
      </c>
    </row>
    <row r="3839" spans="2:9" ht="15" customHeight="1" x14ac:dyDescent="0.25">
      <c r="B3839" s="51" t="s">
        <v>127</v>
      </c>
      <c r="C3839" s="52">
        <v>767</v>
      </c>
      <c r="D3839" s="53" t="s">
        <v>4330</v>
      </c>
      <c r="E3839" s="54"/>
      <c r="F3839" s="52" t="str">
        <f>IF(INDEX(I.CCUS.EndRange,767)="","",INDEX(I.CCUS.EndRange,767))</f>
        <v/>
      </c>
      <c r="G3839" s="54"/>
      <c r="H3839" s="52" t="str">
        <f>IF(AND(I.Compliance.FulfilledCCUS&gt;0,I.CCUS.RangeCount&gt;=767,F3839=""),"Incomplete","Complete")</f>
        <v>Complete</v>
      </c>
      <c r="I3839" s="55" t="s">
        <v>4036</v>
      </c>
    </row>
    <row r="3840" spans="2:9" ht="15" customHeight="1" x14ac:dyDescent="0.25">
      <c r="B3840" s="51" t="s">
        <v>127</v>
      </c>
      <c r="C3840" s="52">
        <v>768</v>
      </c>
      <c r="D3840" s="53" t="s">
        <v>4330</v>
      </c>
      <c r="E3840" s="54"/>
      <c r="F3840" s="52" t="str">
        <f>IF(INDEX(I.CCUS.EndRange,768)="","",INDEX(I.CCUS.EndRange,768))</f>
        <v/>
      </c>
      <c r="G3840" s="54"/>
      <c r="H3840" s="52" t="str">
        <f>IF(AND(I.Compliance.FulfilledCCUS&gt;0,I.CCUS.RangeCount&gt;=768,F3840=""),"Incomplete","Complete")</f>
        <v>Complete</v>
      </c>
      <c r="I3840" s="55" t="s">
        <v>4037</v>
      </c>
    </row>
    <row r="3841" spans="2:9" ht="15" customHeight="1" x14ac:dyDescent="0.25">
      <c r="B3841" s="51" t="s">
        <v>127</v>
      </c>
      <c r="C3841" s="52">
        <v>769</v>
      </c>
      <c r="D3841" s="53" t="s">
        <v>4330</v>
      </c>
      <c r="E3841" s="54"/>
      <c r="F3841" s="52" t="str">
        <f>IF(INDEX(I.CCUS.EndRange,769)="","",INDEX(I.CCUS.EndRange,769))</f>
        <v/>
      </c>
      <c r="G3841" s="54"/>
      <c r="H3841" s="52" t="str">
        <f>IF(AND(I.Compliance.FulfilledCCUS&gt;0,I.CCUS.RangeCount&gt;=769,F3841=""),"Incomplete","Complete")</f>
        <v>Complete</v>
      </c>
      <c r="I3841" s="55" t="s">
        <v>4038</v>
      </c>
    </row>
    <row r="3842" spans="2:9" ht="15" customHeight="1" x14ac:dyDescent="0.25">
      <c r="B3842" s="51" t="s">
        <v>127</v>
      </c>
      <c r="C3842" s="52">
        <v>770</v>
      </c>
      <c r="D3842" s="53" t="s">
        <v>4330</v>
      </c>
      <c r="E3842" s="54"/>
      <c r="F3842" s="52" t="str">
        <f>IF(INDEX(I.CCUS.EndRange,770)="","",INDEX(I.CCUS.EndRange,770))</f>
        <v/>
      </c>
      <c r="G3842" s="54"/>
      <c r="H3842" s="52" t="str">
        <f>IF(AND(I.Compliance.FulfilledCCUS&gt;0,I.CCUS.RangeCount&gt;=770,F3842=""),"Incomplete","Complete")</f>
        <v>Complete</v>
      </c>
      <c r="I3842" s="55" t="s">
        <v>4039</v>
      </c>
    </row>
    <row r="3843" spans="2:9" ht="15" customHeight="1" x14ac:dyDescent="0.25">
      <c r="B3843" s="51" t="s">
        <v>127</v>
      </c>
      <c r="C3843" s="52">
        <v>771</v>
      </c>
      <c r="D3843" s="53" t="s">
        <v>4330</v>
      </c>
      <c r="E3843" s="54"/>
      <c r="F3843" s="52" t="str">
        <f>IF(INDEX(I.CCUS.EndRange,771)="","",INDEX(I.CCUS.EndRange,771))</f>
        <v/>
      </c>
      <c r="G3843" s="54"/>
      <c r="H3843" s="52" t="str">
        <f>IF(AND(I.Compliance.FulfilledCCUS&gt;0,I.CCUS.RangeCount&gt;=771,F3843=""),"Incomplete","Complete")</f>
        <v>Complete</v>
      </c>
      <c r="I3843" s="55" t="s">
        <v>4040</v>
      </c>
    </row>
    <row r="3844" spans="2:9" ht="15" customHeight="1" x14ac:dyDescent="0.25">
      <c r="B3844" s="51" t="s">
        <v>127</v>
      </c>
      <c r="C3844" s="52">
        <v>772</v>
      </c>
      <c r="D3844" s="53" t="s">
        <v>4330</v>
      </c>
      <c r="E3844" s="54"/>
      <c r="F3844" s="52" t="str">
        <f>IF(INDEX(I.CCUS.EndRange,772)="","",INDEX(I.CCUS.EndRange,772))</f>
        <v/>
      </c>
      <c r="G3844" s="54"/>
      <c r="H3844" s="52" t="str">
        <f>IF(AND(I.Compliance.FulfilledCCUS&gt;0,I.CCUS.RangeCount&gt;=772,F3844=""),"Incomplete","Complete")</f>
        <v>Complete</v>
      </c>
      <c r="I3844" s="55" t="s">
        <v>4041</v>
      </c>
    </row>
    <row r="3845" spans="2:9" ht="15" customHeight="1" x14ac:dyDescent="0.25">
      <c r="B3845" s="51" t="s">
        <v>127</v>
      </c>
      <c r="C3845" s="52">
        <v>773</v>
      </c>
      <c r="D3845" s="53" t="s">
        <v>4330</v>
      </c>
      <c r="E3845" s="54"/>
      <c r="F3845" s="52" t="str">
        <f>IF(INDEX(I.CCUS.EndRange,773)="","",INDEX(I.CCUS.EndRange,773))</f>
        <v/>
      </c>
      <c r="G3845" s="54"/>
      <c r="H3845" s="52" t="str">
        <f>IF(AND(I.Compliance.FulfilledCCUS&gt;0,I.CCUS.RangeCount&gt;=773,F3845=""),"Incomplete","Complete")</f>
        <v>Complete</v>
      </c>
      <c r="I3845" s="55" t="s">
        <v>4042</v>
      </c>
    </row>
    <row r="3846" spans="2:9" ht="15" customHeight="1" x14ac:dyDescent="0.25">
      <c r="B3846" s="51" t="s">
        <v>127</v>
      </c>
      <c r="C3846" s="52">
        <v>774</v>
      </c>
      <c r="D3846" s="53" t="s">
        <v>4330</v>
      </c>
      <c r="E3846" s="54"/>
      <c r="F3846" s="52" t="str">
        <f>IF(INDEX(I.CCUS.EndRange,774)="","",INDEX(I.CCUS.EndRange,774))</f>
        <v/>
      </c>
      <c r="G3846" s="54"/>
      <c r="H3846" s="52" t="str">
        <f>IF(AND(I.Compliance.FulfilledCCUS&gt;0,I.CCUS.RangeCount&gt;=774,F3846=""),"Incomplete","Complete")</f>
        <v>Complete</v>
      </c>
      <c r="I3846" s="55" t="s">
        <v>4043</v>
      </c>
    </row>
    <row r="3847" spans="2:9" ht="15" customHeight="1" x14ac:dyDescent="0.25">
      <c r="B3847" s="51" t="s">
        <v>127</v>
      </c>
      <c r="C3847" s="52">
        <v>775</v>
      </c>
      <c r="D3847" s="53" t="s">
        <v>4330</v>
      </c>
      <c r="E3847" s="54"/>
      <c r="F3847" s="52" t="str">
        <f>IF(INDEX(I.CCUS.EndRange,775)="","",INDEX(I.CCUS.EndRange,775))</f>
        <v/>
      </c>
      <c r="G3847" s="54"/>
      <c r="H3847" s="52" t="str">
        <f>IF(AND(I.Compliance.FulfilledCCUS&gt;0,I.CCUS.RangeCount&gt;=775,F3847=""),"Incomplete","Complete")</f>
        <v>Complete</v>
      </c>
      <c r="I3847" s="55" t="s">
        <v>4044</v>
      </c>
    </row>
    <row r="3848" spans="2:9" ht="15" customHeight="1" x14ac:dyDescent="0.25">
      <c r="B3848" s="51" t="s">
        <v>127</v>
      </c>
      <c r="C3848" s="52">
        <v>776</v>
      </c>
      <c r="D3848" s="53" t="s">
        <v>4330</v>
      </c>
      <c r="E3848" s="54"/>
      <c r="F3848" s="52" t="str">
        <f>IF(INDEX(I.CCUS.EndRange,776)="","",INDEX(I.CCUS.EndRange,776))</f>
        <v/>
      </c>
      <c r="G3848" s="54"/>
      <c r="H3848" s="52" t="str">
        <f>IF(AND(I.Compliance.FulfilledCCUS&gt;0,I.CCUS.RangeCount&gt;=776,F3848=""),"Incomplete","Complete")</f>
        <v>Complete</v>
      </c>
      <c r="I3848" s="55" t="s">
        <v>4045</v>
      </c>
    </row>
    <row r="3849" spans="2:9" ht="15" customHeight="1" x14ac:dyDescent="0.25">
      <c r="B3849" s="51" t="s">
        <v>127</v>
      </c>
      <c r="C3849" s="52">
        <v>777</v>
      </c>
      <c r="D3849" s="53" t="s">
        <v>4330</v>
      </c>
      <c r="E3849" s="54"/>
      <c r="F3849" s="52" t="str">
        <f>IF(INDEX(I.CCUS.EndRange,777)="","",INDEX(I.CCUS.EndRange,777))</f>
        <v/>
      </c>
      <c r="G3849" s="54"/>
      <c r="H3849" s="52" t="str">
        <f>IF(AND(I.Compliance.FulfilledCCUS&gt;0,I.CCUS.RangeCount&gt;=777,F3849=""),"Incomplete","Complete")</f>
        <v>Complete</v>
      </c>
      <c r="I3849" s="55" t="s">
        <v>4046</v>
      </c>
    </row>
    <row r="3850" spans="2:9" ht="15" customHeight="1" x14ac:dyDescent="0.25">
      <c r="B3850" s="51" t="s">
        <v>127</v>
      </c>
      <c r="C3850" s="52">
        <v>778</v>
      </c>
      <c r="D3850" s="53" t="s">
        <v>4330</v>
      </c>
      <c r="E3850" s="54"/>
      <c r="F3850" s="52" t="str">
        <f>IF(INDEX(I.CCUS.EndRange,778)="","",INDEX(I.CCUS.EndRange,778))</f>
        <v/>
      </c>
      <c r="G3850" s="54"/>
      <c r="H3850" s="52" t="str">
        <f>IF(AND(I.Compliance.FulfilledCCUS&gt;0,I.CCUS.RangeCount&gt;=778,F3850=""),"Incomplete","Complete")</f>
        <v>Complete</v>
      </c>
      <c r="I3850" s="55" t="s">
        <v>4047</v>
      </c>
    </row>
    <row r="3851" spans="2:9" ht="15" customHeight="1" x14ac:dyDescent="0.25">
      <c r="B3851" s="51" t="s">
        <v>127</v>
      </c>
      <c r="C3851" s="52">
        <v>779</v>
      </c>
      <c r="D3851" s="53" t="s">
        <v>4330</v>
      </c>
      <c r="E3851" s="54"/>
      <c r="F3851" s="52" t="str">
        <f>IF(INDEX(I.CCUS.EndRange,779)="","",INDEX(I.CCUS.EndRange,779))</f>
        <v/>
      </c>
      <c r="G3851" s="54"/>
      <c r="H3851" s="52" t="str">
        <f>IF(AND(I.Compliance.FulfilledCCUS&gt;0,I.CCUS.RangeCount&gt;=779,F3851=""),"Incomplete","Complete")</f>
        <v>Complete</v>
      </c>
      <c r="I3851" s="55" t="s">
        <v>4048</v>
      </c>
    </row>
    <row r="3852" spans="2:9" ht="15" customHeight="1" x14ac:dyDescent="0.25">
      <c r="B3852" s="51" t="s">
        <v>127</v>
      </c>
      <c r="C3852" s="52">
        <v>780</v>
      </c>
      <c r="D3852" s="53" t="s">
        <v>4330</v>
      </c>
      <c r="E3852" s="54"/>
      <c r="F3852" s="52" t="str">
        <f>IF(INDEX(I.CCUS.EndRange,780)="","",INDEX(I.CCUS.EndRange,780))</f>
        <v/>
      </c>
      <c r="G3852" s="54"/>
      <c r="H3852" s="52" t="str">
        <f>IF(AND(I.Compliance.FulfilledCCUS&gt;0,I.CCUS.RangeCount&gt;=780,F3852=""),"Incomplete","Complete")</f>
        <v>Complete</v>
      </c>
      <c r="I3852" s="55" t="s">
        <v>4049</v>
      </c>
    </row>
    <row r="3853" spans="2:9" ht="15" customHeight="1" x14ac:dyDescent="0.25">
      <c r="B3853" s="51" t="s">
        <v>127</v>
      </c>
      <c r="C3853" s="52">
        <v>781</v>
      </c>
      <c r="D3853" s="53" t="s">
        <v>4330</v>
      </c>
      <c r="E3853" s="54"/>
      <c r="F3853" s="52" t="str">
        <f>IF(INDEX(I.CCUS.EndRange,781)="","",INDEX(I.CCUS.EndRange,781))</f>
        <v/>
      </c>
      <c r="G3853" s="54"/>
      <c r="H3853" s="52" t="str">
        <f>IF(AND(I.Compliance.FulfilledCCUS&gt;0,I.CCUS.RangeCount&gt;=781,F3853=""),"Incomplete","Complete")</f>
        <v>Complete</v>
      </c>
      <c r="I3853" s="55" t="s">
        <v>4050</v>
      </c>
    </row>
    <row r="3854" spans="2:9" ht="15" customHeight="1" x14ac:dyDescent="0.25">
      <c r="B3854" s="51" t="s">
        <v>127</v>
      </c>
      <c r="C3854" s="52">
        <v>782</v>
      </c>
      <c r="D3854" s="53" t="s">
        <v>4330</v>
      </c>
      <c r="E3854" s="54"/>
      <c r="F3854" s="52" t="str">
        <f>IF(INDEX(I.CCUS.EndRange,782)="","",INDEX(I.CCUS.EndRange,782))</f>
        <v/>
      </c>
      <c r="G3854" s="54"/>
      <c r="H3854" s="52" t="str">
        <f>IF(AND(I.Compliance.FulfilledCCUS&gt;0,I.CCUS.RangeCount&gt;=782,F3854=""),"Incomplete","Complete")</f>
        <v>Complete</v>
      </c>
      <c r="I3854" s="55" t="s">
        <v>4051</v>
      </c>
    </row>
    <row r="3855" spans="2:9" ht="15" customHeight="1" x14ac:dyDescent="0.25">
      <c r="B3855" s="51" t="s">
        <v>127</v>
      </c>
      <c r="C3855" s="52">
        <v>783</v>
      </c>
      <c r="D3855" s="53" t="s">
        <v>4330</v>
      </c>
      <c r="E3855" s="54"/>
      <c r="F3855" s="52" t="str">
        <f>IF(INDEX(I.CCUS.EndRange,783)="","",INDEX(I.CCUS.EndRange,783))</f>
        <v/>
      </c>
      <c r="G3855" s="54"/>
      <c r="H3855" s="52" t="str">
        <f>IF(AND(I.Compliance.FulfilledCCUS&gt;0,I.CCUS.RangeCount&gt;=783,F3855=""),"Incomplete","Complete")</f>
        <v>Complete</v>
      </c>
      <c r="I3855" s="55" t="s">
        <v>4052</v>
      </c>
    </row>
    <row r="3856" spans="2:9" ht="15" customHeight="1" x14ac:dyDescent="0.25">
      <c r="B3856" s="51" t="s">
        <v>127</v>
      </c>
      <c r="C3856" s="52">
        <v>784</v>
      </c>
      <c r="D3856" s="53" t="s">
        <v>4330</v>
      </c>
      <c r="E3856" s="54"/>
      <c r="F3856" s="52" t="str">
        <f>IF(INDEX(I.CCUS.EndRange,784)="","",INDEX(I.CCUS.EndRange,784))</f>
        <v/>
      </c>
      <c r="G3856" s="54"/>
      <c r="H3856" s="52" t="str">
        <f>IF(AND(I.Compliance.FulfilledCCUS&gt;0,I.CCUS.RangeCount&gt;=784,F3856=""),"Incomplete","Complete")</f>
        <v>Complete</v>
      </c>
      <c r="I3856" s="55" t="s">
        <v>4053</v>
      </c>
    </row>
    <row r="3857" spans="2:9" ht="15" customHeight="1" x14ac:dyDescent="0.25">
      <c r="B3857" s="51" t="s">
        <v>127</v>
      </c>
      <c r="C3857" s="52">
        <v>785</v>
      </c>
      <c r="D3857" s="53" t="s">
        <v>4330</v>
      </c>
      <c r="E3857" s="54"/>
      <c r="F3857" s="52" t="str">
        <f>IF(INDEX(I.CCUS.EndRange,785)="","",INDEX(I.CCUS.EndRange,785))</f>
        <v/>
      </c>
      <c r="G3857" s="54"/>
      <c r="H3857" s="52" t="str">
        <f>IF(AND(I.Compliance.FulfilledCCUS&gt;0,I.CCUS.RangeCount&gt;=785,F3857=""),"Incomplete","Complete")</f>
        <v>Complete</v>
      </c>
      <c r="I3857" s="55" t="s">
        <v>4054</v>
      </c>
    </row>
    <row r="3858" spans="2:9" ht="15" customHeight="1" x14ac:dyDescent="0.25">
      <c r="B3858" s="51" t="s">
        <v>127</v>
      </c>
      <c r="C3858" s="52">
        <v>786</v>
      </c>
      <c r="D3858" s="53" t="s">
        <v>4330</v>
      </c>
      <c r="E3858" s="54"/>
      <c r="F3858" s="52" t="str">
        <f>IF(INDEX(I.CCUS.EndRange,786)="","",INDEX(I.CCUS.EndRange,786))</f>
        <v/>
      </c>
      <c r="G3858" s="54"/>
      <c r="H3858" s="52" t="str">
        <f>IF(AND(I.Compliance.FulfilledCCUS&gt;0,I.CCUS.RangeCount&gt;=786,F3858=""),"Incomplete","Complete")</f>
        <v>Complete</v>
      </c>
      <c r="I3858" s="55" t="s">
        <v>4055</v>
      </c>
    </row>
    <row r="3859" spans="2:9" ht="15" customHeight="1" x14ac:dyDescent="0.25">
      <c r="B3859" s="51" t="s">
        <v>127</v>
      </c>
      <c r="C3859" s="52">
        <v>787</v>
      </c>
      <c r="D3859" s="53" t="s">
        <v>4330</v>
      </c>
      <c r="E3859" s="54"/>
      <c r="F3859" s="52" t="str">
        <f>IF(INDEX(I.CCUS.EndRange,787)="","",INDEX(I.CCUS.EndRange,787))</f>
        <v/>
      </c>
      <c r="G3859" s="54"/>
      <c r="H3859" s="52" t="str">
        <f>IF(AND(I.Compliance.FulfilledCCUS&gt;0,I.CCUS.RangeCount&gt;=787,F3859=""),"Incomplete","Complete")</f>
        <v>Complete</v>
      </c>
      <c r="I3859" s="55" t="s">
        <v>4056</v>
      </c>
    </row>
    <row r="3860" spans="2:9" ht="15" customHeight="1" x14ac:dyDescent="0.25">
      <c r="B3860" s="51" t="s">
        <v>127</v>
      </c>
      <c r="C3860" s="52">
        <v>788</v>
      </c>
      <c r="D3860" s="53" t="s">
        <v>4330</v>
      </c>
      <c r="E3860" s="54"/>
      <c r="F3860" s="52" t="str">
        <f>IF(INDEX(I.CCUS.EndRange,788)="","",INDEX(I.CCUS.EndRange,788))</f>
        <v/>
      </c>
      <c r="G3860" s="54"/>
      <c r="H3860" s="52" t="str">
        <f>IF(AND(I.Compliance.FulfilledCCUS&gt;0,I.CCUS.RangeCount&gt;=788,F3860=""),"Incomplete","Complete")</f>
        <v>Complete</v>
      </c>
      <c r="I3860" s="55" t="s">
        <v>4057</v>
      </c>
    </row>
    <row r="3861" spans="2:9" ht="15" customHeight="1" x14ac:dyDescent="0.25">
      <c r="B3861" s="51" t="s">
        <v>127</v>
      </c>
      <c r="C3861" s="52">
        <v>789</v>
      </c>
      <c r="D3861" s="53" t="s">
        <v>4330</v>
      </c>
      <c r="E3861" s="54"/>
      <c r="F3861" s="52" t="str">
        <f>IF(INDEX(I.CCUS.EndRange,789)="","",INDEX(I.CCUS.EndRange,789))</f>
        <v/>
      </c>
      <c r="G3861" s="54"/>
      <c r="H3861" s="52" t="str">
        <f>IF(AND(I.Compliance.FulfilledCCUS&gt;0,I.CCUS.RangeCount&gt;=789,F3861=""),"Incomplete","Complete")</f>
        <v>Complete</v>
      </c>
      <c r="I3861" s="55" t="s">
        <v>4058</v>
      </c>
    </row>
    <row r="3862" spans="2:9" ht="15" customHeight="1" x14ac:dyDescent="0.25">
      <c r="B3862" s="51" t="s">
        <v>127</v>
      </c>
      <c r="C3862" s="52">
        <v>790</v>
      </c>
      <c r="D3862" s="53" t="s">
        <v>4330</v>
      </c>
      <c r="E3862" s="54"/>
      <c r="F3862" s="52" t="str">
        <f>IF(INDEX(I.CCUS.EndRange,790)="","",INDEX(I.CCUS.EndRange,790))</f>
        <v/>
      </c>
      <c r="G3862" s="54"/>
      <c r="H3862" s="52" t="str">
        <f>IF(AND(I.Compliance.FulfilledCCUS&gt;0,I.CCUS.RangeCount&gt;=790,F3862=""),"Incomplete","Complete")</f>
        <v>Complete</v>
      </c>
      <c r="I3862" s="55" t="s">
        <v>4059</v>
      </c>
    </row>
    <row r="3863" spans="2:9" ht="15" customHeight="1" x14ac:dyDescent="0.25">
      <c r="B3863" s="51" t="s">
        <v>127</v>
      </c>
      <c r="C3863" s="52">
        <v>791</v>
      </c>
      <c r="D3863" s="53" t="s">
        <v>4330</v>
      </c>
      <c r="E3863" s="54"/>
      <c r="F3863" s="52" t="str">
        <f>IF(INDEX(I.CCUS.EndRange,791)="","",INDEX(I.CCUS.EndRange,791))</f>
        <v/>
      </c>
      <c r="G3863" s="54"/>
      <c r="H3863" s="52" t="str">
        <f>IF(AND(I.Compliance.FulfilledCCUS&gt;0,I.CCUS.RangeCount&gt;=791,F3863=""),"Incomplete","Complete")</f>
        <v>Complete</v>
      </c>
      <c r="I3863" s="55" t="s">
        <v>4060</v>
      </c>
    </row>
    <row r="3864" spans="2:9" ht="15" customHeight="1" x14ac:dyDescent="0.25">
      <c r="B3864" s="51" t="s">
        <v>127</v>
      </c>
      <c r="C3864" s="52">
        <v>792</v>
      </c>
      <c r="D3864" s="53" t="s">
        <v>4330</v>
      </c>
      <c r="E3864" s="54"/>
      <c r="F3864" s="52" t="str">
        <f>IF(INDEX(I.CCUS.EndRange,792)="","",INDEX(I.CCUS.EndRange,792))</f>
        <v/>
      </c>
      <c r="G3864" s="54"/>
      <c r="H3864" s="52" t="str">
        <f>IF(AND(I.Compliance.FulfilledCCUS&gt;0,I.CCUS.RangeCount&gt;=792,F3864=""),"Incomplete","Complete")</f>
        <v>Complete</v>
      </c>
      <c r="I3864" s="55" t="s">
        <v>4061</v>
      </c>
    </row>
    <row r="3865" spans="2:9" ht="15" customHeight="1" x14ac:dyDescent="0.25">
      <c r="B3865" s="51" t="s">
        <v>127</v>
      </c>
      <c r="C3865" s="52">
        <v>793</v>
      </c>
      <c r="D3865" s="53" t="s">
        <v>4330</v>
      </c>
      <c r="E3865" s="54"/>
      <c r="F3865" s="52" t="str">
        <f>IF(INDEX(I.CCUS.EndRange,793)="","",INDEX(I.CCUS.EndRange,793))</f>
        <v/>
      </c>
      <c r="G3865" s="54"/>
      <c r="H3865" s="52" t="str">
        <f>IF(AND(I.Compliance.FulfilledCCUS&gt;0,I.CCUS.RangeCount&gt;=793,F3865=""),"Incomplete","Complete")</f>
        <v>Complete</v>
      </c>
      <c r="I3865" s="55" t="s">
        <v>4062</v>
      </c>
    </row>
    <row r="3866" spans="2:9" ht="15" customHeight="1" x14ac:dyDescent="0.25">
      <c r="B3866" s="51" t="s">
        <v>127</v>
      </c>
      <c r="C3866" s="52">
        <v>794</v>
      </c>
      <c r="D3866" s="53" t="s">
        <v>4330</v>
      </c>
      <c r="E3866" s="54"/>
      <c r="F3866" s="52" t="str">
        <f>IF(INDEX(I.CCUS.EndRange,794)="","",INDEX(I.CCUS.EndRange,794))</f>
        <v/>
      </c>
      <c r="G3866" s="54"/>
      <c r="H3866" s="52" t="str">
        <f>IF(AND(I.Compliance.FulfilledCCUS&gt;0,I.CCUS.RangeCount&gt;=794,F3866=""),"Incomplete","Complete")</f>
        <v>Complete</v>
      </c>
      <c r="I3866" s="55" t="s">
        <v>4063</v>
      </c>
    </row>
    <row r="3867" spans="2:9" ht="15" customHeight="1" x14ac:dyDescent="0.25">
      <c r="B3867" s="51" t="s">
        <v>127</v>
      </c>
      <c r="C3867" s="52">
        <v>795</v>
      </c>
      <c r="D3867" s="53" t="s">
        <v>4330</v>
      </c>
      <c r="E3867" s="54"/>
      <c r="F3867" s="52" t="str">
        <f>IF(INDEX(I.CCUS.EndRange,795)="","",INDEX(I.CCUS.EndRange,795))</f>
        <v/>
      </c>
      <c r="G3867" s="54"/>
      <c r="H3867" s="52" t="str">
        <f>IF(AND(I.Compliance.FulfilledCCUS&gt;0,I.CCUS.RangeCount&gt;=795,F3867=""),"Incomplete","Complete")</f>
        <v>Complete</v>
      </c>
      <c r="I3867" s="55" t="s">
        <v>4064</v>
      </c>
    </row>
    <row r="3868" spans="2:9" ht="15" customHeight="1" x14ac:dyDescent="0.25">
      <c r="B3868" s="51" t="s">
        <v>127</v>
      </c>
      <c r="C3868" s="52">
        <v>796</v>
      </c>
      <c r="D3868" s="53" t="s">
        <v>4330</v>
      </c>
      <c r="E3868" s="54"/>
      <c r="F3868" s="52" t="str">
        <f>IF(INDEX(I.CCUS.EndRange,796)="","",INDEX(I.CCUS.EndRange,796))</f>
        <v/>
      </c>
      <c r="G3868" s="54"/>
      <c r="H3868" s="52" t="str">
        <f>IF(AND(I.Compliance.FulfilledCCUS&gt;0,I.CCUS.RangeCount&gt;=796,F3868=""),"Incomplete","Complete")</f>
        <v>Complete</v>
      </c>
      <c r="I3868" s="55" t="s">
        <v>4065</v>
      </c>
    </row>
    <row r="3869" spans="2:9" ht="15" customHeight="1" x14ac:dyDescent="0.25">
      <c r="B3869" s="51" t="s">
        <v>127</v>
      </c>
      <c r="C3869" s="52">
        <v>797</v>
      </c>
      <c r="D3869" s="53" t="s">
        <v>4330</v>
      </c>
      <c r="E3869" s="54"/>
      <c r="F3869" s="52" t="str">
        <f>IF(INDEX(I.CCUS.EndRange,797)="","",INDEX(I.CCUS.EndRange,797))</f>
        <v/>
      </c>
      <c r="G3869" s="54"/>
      <c r="H3869" s="52" t="str">
        <f>IF(AND(I.Compliance.FulfilledCCUS&gt;0,I.CCUS.RangeCount&gt;=797,F3869=""),"Incomplete","Complete")</f>
        <v>Complete</v>
      </c>
      <c r="I3869" s="55" t="s">
        <v>4066</v>
      </c>
    </row>
    <row r="3870" spans="2:9" ht="15" customHeight="1" x14ac:dyDescent="0.25">
      <c r="B3870" s="51" t="s">
        <v>127</v>
      </c>
      <c r="C3870" s="52">
        <v>798</v>
      </c>
      <c r="D3870" s="53" t="s">
        <v>4330</v>
      </c>
      <c r="E3870" s="54"/>
      <c r="F3870" s="52" t="str">
        <f>IF(INDEX(I.CCUS.EndRange,798)="","",INDEX(I.CCUS.EndRange,798))</f>
        <v/>
      </c>
      <c r="G3870" s="54"/>
      <c r="H3870" s="52" t="str">
        <f>IF(AND(I.Compliance.FulfilledCCUS&gt;0,I.CCUS.RangeCount&gt;=798,F3870=""),"Incomplete","Complete")</f>
        <v>Complete</v>
      </c>
      <c r="I3870" s="55" t="s">
        <v>4067</v>
      </c>
    </row>
    <row r="3871" spans="2:9" ht="15" customHeight="1" x14ac:dyDescent="0.25">
      <c r="B3871" s="51" t="s">
        <v>127</v>
      </c>
      <c r="C3871" s="52">
        <v>799</v>
      </c>
      <c r="D3871" s="53" t="s">
        <v>4330</v>
      </c>
      <c r="E3871" s="54"/>
      <c r="F3871" s="52" t="str">
        <f>IF(INDEX(I.CCUS.EndRange,799)="","",INDEX(I.CCUS.EndRange,799))</f>
        <v/>
      </c>
      <c r="G3871" s="54"/>
      <c r="H3871" s="52" t="str">
        <f>IF(AND(I.Compliance.FulfilledCCUS&gt;0,I.CCUS.RangeCount&gt;=799,F3871=""),"Incomplete","Complete")</f>
        <v>Complete</v>
      </c>
      <c r="I3871" s="55" t="s">
        <v>4068</v>
      </c>
    </row>
    <row r="3872" spans="2:9" ht="15" customHeight="1" x14ac:dyDescent="0.25">
      <c r="B3872" s="51" t="s">
        <v>127</v>
      </c>
      <c r="C3872" s="52">
        <v>800</v>
      </c>
      <c r="D3872" s="53" t="s">
        <v>4330</v>
      </c>
      <c r="E3872" s="54"/>
      <c r="F3872" s="52" t="str">
        <f>IF(INDEX(I.CCUS.EndRange,800)="","",INDEX(I.CCUS.EndRange,800))</f>
        <v/>
      </c>
      <c r="G3872" s="54"/>
      <c r="H3872" s="52" t="str">
        <f>IF(AND(I.Compliance.FulfilledCCUS&gt;0,I.CCUS.RangeCount&gt;=800,F3872=""),"Incomplete","Complete")</f>
        <v>Complete</v>
      </c>
      <c r="I3872" s="55" t="s">
        <v>4069</v>
      </c>
    </row>
    <row r="3873" spans="2:9" ht="15" customHeight="1" x14ac:dyDescent="0.25">
      <c r="B3873" s="51" t="s">
        <v>127</v>
      </c>
      <c r="C3873" s="52">
        <v>801</v>
      </c>
      <c r="D3873" s="53" t="s">
        <v>4330</v>
      </c>
      <c r="E3873" s="54"/>
      <c r="F3873" s="52" t="str">
        <f>IF(INDEX(I.CCUS.EndRange,801)="","",INDEX(I.CCUS.EndRange,801))</f>
        <v/>
      </c>
      <c r="G3873" s="54"/>
      <c r="H3873" s="52" t="str">
        <f>IF(AND(I.Compliance.FulfilledCCUS&gt;0,I.CCUS.RangeCount&gt;=801,F3873=""),"Incomplete","Complete")</f>
        <v>Complete</v>
      </c>
      <c r="I3873" s="55" t="s">
        <v>4070</v>
      </c>
    </row>
    <row r="3874" spans="2:9" ht="15" customHeight="1" x14ac:dyDescent="0.25">
      <c r="B3874" s="51" t="s">
        <v>127</v>
      </c>
      <c r="C3874" s="52">
        <v>802</v>
      </c>
      <c r="D3874" s="53" t="s">
        <v>4330</v>
      </c>
      <c r="E3874" s="54"/>
      <c r="F3874" s="52" t="str">
        <f>IF(INDEX(I.CCUS.EndRange,802)="","",INDEX(I.CCUS.EndRange,802))</f>
        <v/>
      </c>
      <c r="G3874" s="54"/>
      <c r="H3874" s="52" t="str">
        <f>IF(AND(I.Compliance.FulfilledCCUS&gt;0,I.CCUS.RangeCount&gt;=802,F3874=""),"Incomplete","Complete")</f>
        <v>Complete</v>
      </c>
      <c r="I3874" s="55" t="s">
        <v>4071</v>
      </c>
    </row>
    <row r="3875" spans="2:9" ht="15" customHeight="1" x14ac:dyDescent="0.25">
      <c r="B3875" s="51" t="s">
        <v>127</v>
      </c>
      <c r="C3875" s="52">
        <v>803</v>
      </c>
      <c r="D3875" s="53" t="s">
        <v>4330</v>
      </c>
      <c r="E3875" s="54"/>
      <c r="F3875" s="52" t="str">
        <f>IF(INDEX(I.CCUS.EndRange,803)="","",INDEX(I.CCUS.EndRange,803))</f>
        <v/>
      </c>
      <c r="G3875" s="54"/>
      <c r="H3875" s="52" t="str">
        <f>IF(AND(I.Compliance.FulfilledCCUS&gt;0,I.CCUS.RangeCount&gt;=803,F3875=""),"Incomplete","Complete")</f>
        <v>Complete</v>
      </c>
      <c r="I3875" s="55" t="s">
        <v>4072</v>
      </c>
    </row>
    <row r="3876" spans="2:9" ht="15" customHeight="1" x14ac:dyDescent="0.25">
      <c r="B3876" s="51" t="s">
        <v>127</v>
      </c>
      <c r="C3876" s="52">
        <v>804</v>
      </c>
      <c r="D3876" s="53" t="s">
        <v>4330</v>
      </c>
      <c r="E3876" s="54"/>
      <c r="F3876" s="52" t="str">
        <f>IF(INDEX(I.CCUS.EndRange,804)="","",INDEX(I.CCUS.EndRange,804))</f>
        <v/>
      </c>
      <c r="G3876" s="54"/>
      <c r="H3876" s="52" t="str">
        <f>IF(AND(I.Compliance.FulfilledCCUS&gt;0,I.CCUS.RangeCount&gt;=804,F3876=""),"Incomplete","Complete")</f>
        <v>Complete</v>
      </c>
      <c r="I3876" s="55" t="s">
        <v>4073</v>
      </c>
    </row>
    <row r="3877" spans="2:9" ht="15" customHeight="1" x14ac:dyDescent="0.25">
      <c r="B3877" s="51" t="s">
        <v>127</v>
      </c>
      <c r="C3877" s="52">
        <v>805</v>
      </c>
      <c r="D3877" s="53" t="s">
        <v>4330</v>
      </c>
      <c r="E3877" s="54"/>
      <c r="F3877" s="52" t="str">
        <f>IF(INDEX(I.CCUS.EndRange,805)="","",INDEX(I.CCUS.EndRange,805))</f>
        <v/>
      </c>
      <c r="G3877" s="54"/>
      <c r="H3877" s="52" t="str">
        <f>IF(AND(I.Compliance.FulfilledCCUS&gt;0,I.CCUS.RangeCount&gt;=805,F3877=""),"Incomplete","Complete")</f>
        <v>Complete</v>
      </c>
      <c r="I3877" s="55" t="s">
        <v>4074</v>
      </c>
    </row>
    <row r="3878" spans="2:9" ht="15" customHeight="1" x14ac:dyDescent="0.25">
      <c r="B3878" s="51" t="s">
        <v>127</v>
      </c>
      <c r="C3878" s="52">
        <v>806</v>
      </c>
      <c r="D3878" s="53" t="s">
        <v>4330</v>
      </c>
      <c r="E3878" s="54"/>
      <c r="F3878" s="52" t="str">
        <f>IF(INDEX(I.CCUS.EndRange,806)="","",INDEX(I.CCUS.EndRange,806))</f>
        <v/>
      </c>
      <c r="G3878" s="54"/>
      <c r="H3878" s="52" t="str">
        <f>IF(AND(I.Compliance.FulfilledCCUS&gt;0,I.CCUS.RangeCount&gt;=806,F3878=""),"Incomplete","Complete")</f>
        <v>Complete</v>
      </c>
      <c r="I3878" s="55" t="s">
        <v>4075</v>
      </c>
    </row>
    <row r="3879" spans="2:9" ht="15" customHeight="1" x14ac:dyDescent="0.25">
      <c r="B3879" s="51" t="s">
        <v>127</v>
      </c>
      <c r="C3879" s="52">
        <v>807</v>
      </c>
      <c r="D3879" s="53" t="s">
        <v>4330</v>
      </c>
      <c r="E3879" s="54"/>
      <c r="F3879" s="52" t="str">
        <f>IF(INDEX(I.CCUS.EndRange,807)="","",INDEX(I.CCUS.EndRange,807))</f>
        <v/>
      </c>
      <c r="G3879" s="54"/>
      <c r="H3879" s="52" t="str">
        <f>IF(AND(I.Compliance.FulfilledCCUS&gt;0,I.CCUS.RangeCount&gt;=807,F3879=""),"Incomplete","Complete")</f>
        <v>Complete</v>
      </c>
      <c r="I3879" s="55" t="s">
        <v>4076</v>
      </c>
    </row>
    <row r="3880" spans="2:9" ht="15" customHeight="1" x14ac:dyDescent="0.25">
      <c r="B3880" s="51" t="s">
        <v>127</v>
      </c>
      <c r="C3880" s="52">
        <v>808</v>
      </c>
      <c r="D3880" s="53" t="s">
        <v>4330</v>
      </c>
      <c r="E3880" s="54"/>
      <c r="F3880" s="52" t="str">
        <f>IF(INDEX(I.CCUS.EndRange,808)="","",INDEX(I.CCUS.EndRange,808))</f>
        <v/>
      </c>
      <c r="G3880" s="54"/>
      <c r="H3880" s="52" t="str">
        <f>IF(AND(I.Compliance.FulfilledCCUS&gt;0,I.CCUS.RangeCount&gt;=808,F3880=""),"Incomplete","Complete")</f>
        <v>Complete</v>
      </c>
      <c r="I3880" s="55" t="s">
        <v>4077</v>
      </c>
    </row>
    <row r="3881" spans="2:9" ht="15" customHeight="1" x14ac:dyDescent="0.25">
      <c r="B3881" s="51" t="s">
        <v>127</v>
      </c>
      <c r="C3881" s="52">
        <v>809</v>
      </c>
      <c r="D3881" s="53" t="s">
        <v>4330</v>
      </c>
      <c r="E3881" s="54"/>
      <c r="F3881" s="52" t="str">
        <f>IF(INDEX(I.CCUS.EndRange,809)="","",INDEX(I.CCUS.EndRange,809))</f>
        <v/>
      </c>
      <c r="G3881" s="54"/>
      <c r="H3881" s="52" t="str">
        <f>IF(AND(I.Compliance.FulfilledCCUS&gt;0,I.CCUS.RangeCount&gt;=809,F3881=""),"Incomplete","Complete")</f>
        <v>Complete</v>
      </c>
      <c r="I3881" s="55" t="s">
        <v>4078</v>
      </c>
    </row>
    <row r="3882" spans="2:9" ht="15" customHeight="1" x14ac:dyDescent="0.25">
      <c r="B3882" s="51" t="s">
        <v>127</v>
      </c>
      <c r="C3882" s="52">
        <v>810</v>
      </c>
      <c r="D3882" s="53" t="s">
        <v>4330</v>
      </c>
      <c r="E3882" s="54"/>
      <c r="F3882" s="52" t="str">
        <f>IF(INDEX(I.CCUS.EndRange,810)="","",INDEX(I.CCUS.EndRange,810))</f>
        <v/>
      </c>
      <c r="G3882" s="54"/>
      <c r="H3882" s="52" t="str">
        <f>IF(AND(I.Compliance.FulfilledCCUS&gt;0,I.CCUS.RangeCount&gt;=810,F3882=""),"Incomplete","Complete")</f>
        <v>Complete</v>
      </c>
      <c r="I3882" s="55" t="s">
        <v>4079</v>
      </c>
    </row>
    <row r="3883" spans="2:9" ht="15" customHeight="1" x14ac:dyDescent="0.25">
      <c r="B3883" s="51" t="s">
        <v>127</v>
      </c>
      <c r="C3883" s="52">
        <v>811</v>
      </c>
      <c r="D3883" s="53" t="s">
        <v>4330</v>
      </c>
      <c r="E3883" s="54"/>
      <c r="F3883" s="52" t="str">
        <f>IF(INDEX(I.CCUS.EndRange,811)="","",INDEX(I.CCUS.EndRange,811))</f>
        <v/>
      </c>
      <c r="G3883" s="54"/>
      <c r="H3883" s="52" t="str">
        <f>IF(AND(I.Compliance.FulfilledCCUS&gt;0,I.CCUS.RangeCount&gt;=811,F3883=""),"Incomplete","Complete")</f>
        <v>Complete</v>
      </c>
      <c r="I3883" s="55" t="s">
        <v>4080</v>
      </c>
    </row>
    <row r="3884" spans="2:9" ht="15" customHeight="1" x14ac:dyDescent="0.25">
      <c r="B3884" s="51" t="s">
        <v>127</v>
      </c>
      <c r="C3884" s="52">
        <v>812</v>
      </c>
      <c r="D3884" s="53" t="s">
        <v>4330</v>
      </c>
      <c r="E3884" s="54"/>
      <c r="F3884" s="52" t="str">
        <f>IF(INDEX(I.CCUS.EndRange,812)="","",INDEX(I.CCUS.EndRange,812))</f>
        <v/>
      </c>
      <c r="G3884" s="54"/>
      <c r="H3884" s="52" t="str">
        <f>IF(AND(I.Compliance.FulfilledCCUS&gt;0,I.CCUS.RangeCount&gt;=812,F3884=""),"Incomplete","Complete")</f>
        <v>Complete</v>
      </c>
      <c r="I3884" s="55" t="s">
        <v>4081</v>
      </c>
    </row>
    <row r="3885" spans="2:9" ht="15" customHeight="1" x14ac:dyDescent="0.25">
      <c r="B3885" s="51" t="s">
        <v>127</v>
      </c>
      <c r="C3885" s="52">
        <v>813</v>
      </c>
      <c r="D3885" s="53" t="s">
        <v>4330</v>
      </c>
      <c r="E3885" s="54"/>
      <c r="F3885" s="52" t="str">
        <f>IF(INDEX(I.CCUS.EndRange,813)="","",INDEX(I.CCUS.EndRange,813))</f>
        <v/>
      </c>
      <c r="G3885" s="54"/>
      <c r="H3885" s="52" t="str">
        <f>IF(AND(I.Compliance.FulfilledCCUS&gt;0,I.CCUS.RangeCount&gt;=813,F3885=""),"Incomplete","Complete")</f>
        <v>Complete</v>
      </c>
      <c r="I3885" s="55" t="s">
        <v>4082</v>
      </c>
    </row>
    <row r="3886" spans="2:9" ht="15" customHeight="1" x14ac:dyDescent="0.25">
      <c r="B3886" s="51" t="s">
        <v>127</v>
      </c>
      <c r="C3886" s="52">
        <v>814</v>
      </c>
      <c r="D3886" s="53" t="s">
        <v>4330</v>
      </c>
      <c r="E3886" s="54"/>
      <c r="F3886" s="52" t="str">
        <f>IF(INDEX(I.CCUS.EndRange,814)="","",INDEX(I.CCUS.EndRange,814))</f>
        <v/>
      </c>
      <c r="G3886" s="54"/>
      <c r="H3886" s="52" t="str">
        <f>IF(AND(I.Compliance.FulfilledCCUS&gt;0,I.CCUS.RangeCount&gt;=814,F3886=""),"Incomplete","Complete")</f>
        <v>Complete</v>
      </c>
      <c r="I3886" s="55" t="s">
        <v>4083</v>
      </c>
    </row>
    <row r="3887" spans="2:9" ht="15" customHeight="1" x14ac:dyDescent="0.25">
      <c r="B3887" s="51" t="s">
        <v>127</v>
      </c>
      <c r="C3887" s="52">
        <v>815</v>
      </c>
      <c r="D3887" s="53" t="s">
        <v>4330</v>
      </c>
      <c r="E3887" s="54"/>
      <c r="F3887" s="52" t="str">
        <f>IF(INDEX(I.CCUS.EndRange,815)="","",INDEX(I.CCUS.EndRange,815))</f>
        <v/>
      </c>
      <c r="G3887" s="54"/>
      <c r="H3887" s="52" t="str">
        <f>IF(AND(I.Compliance.FulfilledCCUS&gt;0,I.CCUS.RangeCount&gt;=815,F3887=""),"Incomplete","Complete")</f>
        <v>Complete</v>
      </c>
      <c r="I3887" s="55" t="s">
        <v>4084</v>
      </c>
    </row>
    <row r="3888" spans="2:9" ht="15" customHeight="1" x14ac:dyDescent="0.25">
      <c r="B3888" s="51" t="s">
        <v>127</v>
      </c>
      <c r="C3888" s="52">
        <v>816</v>
      </c>
      <c r="D3888" s="53" t="s">
        <v>4330</v>
      </c>
      <c r="E3888" s="54"/>
      <c r="F3888" s="52" t="str">
        <f>IF(INDEX(I.CCUS.EndRange,816)="","",INDEX(I.CCUS.EndRange,816))</f>
        <v/>
      </c>
      <c r="G3888" s="54"/>
      <c r="H3888" s="52" t="str">
        <f>IF(AND(I.Compliance.FulfilledCCUS&gt;0,I.CCUS.RangeCount&gt;=816,F3888=""),"Incomplete","Complete")</f>
        <v>Complete</v>
      </c>
      <c r="I3888" s="55" t="s">
        <v>4085</v>
      </c>
    </row>
    <row r="3889" spans="2:9" ht="15" customHeight="1" x14ac:dyDescent="0.25">
      <c r="B3889" s="51" t="s">
        <v>127</v>
      </c>
      <c r="C3889" s="52">
        <v>817</v>
      </c>
      <c r="D3889" s="53" t="s">
        <v>4330</v>
      </c>
      <c r="E3889" s="54"/>
      <c r="F3889" s="52" t="str">
        <f>IF(INDEX(I.CCUS.EndRange,817)="","",INDEX(I.CCUS.EndRange,817))</f>
        <v/>
      </c>
      <c r="G3889" s="54"/>
      <c r="H3889" s="52" t="str">
        <f>IF(AND(I.Compliance.FulfilledCCUS&gt;0,I.CCUS.RangeCount&gt;=817,F3889=""),"Incomplete","Complete")</f>
        <v>Complete</v>
      </c>
      <c r="I3889" s="55" t="s">
        <v>4086</v>
      </c>
    </row>
    <row r="3890" spans="2:9" ht="15" customHeight="1" x14ac:dyDescent="0.25">
      <c r="B3890" s="51" t="s">
        <v>127</v>
      </c>
      <c r="C3890" s="52">
        <v>818</v>
      </c>
      <c r="D3890" s="53" t="s">
        <v>4330</v>
      </c>
      <c r="E3890" s="54"/>
      <c r="F3890" s="52" t="str">
        <f>IF(INDEX(I.CCUS.EndRange,818)="","",INDEX(I.CCUS.EndRange,818))</f>
        <v/>
      </c>
      <c r="G3890" s="54"/>
      <c r="H3890" s="52" t="str">
        <f>IF(AND(I.Compliance.FulfilledCCUS&gt;0,I.CCUS.RangeCount&gt;=818,F3890=""),"Incomplete","Complete")</f>
        <v>Complete</v>
      </c>
      <c r="I3890" s="55" t="s">
        <v>4087</v>
      </c>
    </row>
    <row r="3891" spans="2:9" ht="15" customHeight="1" x14ac:dyDescent="0.25">
      <c r="B3891" s="51" t="s">
        <v>127</v>
      </c>
      <c r="C3891" s="52">
        <v>819</v>
      </c>
      <c r="D3891" s="53" t="s">
        <v>4330</v>
      </c>
      <c r="E3891" s="54"/>
      <c r="F3891" s="52" t="str">
        <f>IF(INDEX(I.CCUS.EndRange,819)="","",INDEX(I.CCUS.EndRange,819))</f>
        <v/>
      </c>
      <c r="G3891" s="54"/>
      <c r="H3891" s="52" t="str">
        <f>IF(AND(I.Compliance.FulfilledCCUS&gt;0,I.CCUS.RangeCount&gt;=819,F3891=""),"Incomplete","Complete")</f>
        <v>Complete</v>
      </c>
      <c r="I3891" s="55" t="s">
        <v>4088</v>
      </c>
    </row>
    <row r="3892" spans="2:9" ht="15" customHeight="1" x14ac:dyDescent="0.25">
      <c r="B3892" s="51" t="s">
        <v>127</v>
      </c>
      <c r="C3892" s="52">
        <v>820</v>
      </c>
      <c r="D3892" s="53" t="s">
        <v>4330</v>
      </c>
      <c r="E3892" s="54"/>
      <c r="F3892" s="52" t="str">
        <f>IF(INDEX(I.CCUS.EndRange,820)="","",INDEX(I.CCUS.EndRange,820))</f>
        <v/>
      </c>
      <c r="G3892" s="54"/>
      <c r="H3892" s="52" t="str">
        <f>IF(AND(I.Compliance.FulfilledCCUS&gt;0,I.CCUS.RangeCount&gt;=820,F3892=""),"Incomplete","Complete")</f>
        <v>Complete</v>
      </c>
      <c r="I3892" s="55" t="s">
        <v>4089</v>
      </c>
    </row>
    <row r="3893" spans="2:9" ht="15" customHeight="1" x14ac:dyDescent="0.25">
      <c r="B3893" s="51" t="s">
        <v>127</v>
      </c>
      <c r="C3893" s="52">
        <v>821</v>
      </c>
      <c r="D3893" s="53" t="s">
        <v>4330</v>
      </c>
      <c r="E3893" s="54"/>
      <c r="F3893" s="52" t="str">
        <f>IF(INDEX(I.CCUS.EndRange,821)="","",INDEX(I.CCUS.EndRange,821))</f>
        <v/>
      </c>
      <c r="G3893" s="54"/>
      <c r="H3893" s="52" t="str">
        <f>IF(AND(I.Compliance.FulfilledCCUS&gt;0,I.CCUS.RangeCount&gt;=821,F3893=""),"Incomplete","Complete")</f>
        <v>Complete</v>
      </c>
      <c r="I3893" s="55" t="s">
        <v>4090</v>
      </c>
    </row>
    <row r="3894" spans="2:9" ht="15" customHeight="1" x14ac:dyDescent="0.25">
      <c r="B3894" s="51" t="s">
        <v>127</v>
      </c>
      <c r="C3894" s="52">
        <v>822</v>
      </c>
      <c r="D3894" s="53" t="s">
        <v>4330</v>
      </c>
      <c r="E3894" s="54"/>
      <c r="F3894" s="52" t="str">
        <f>IF(INDEX(I.CCUS.EndRange,822)="","",INDEX(I.CCUS.EndRange,822))</f>
        <v/>
      </c>
      <c r="G3894" s="54"/>
      <c r="H3894" s="52" t="str">
        <f>IF(AND(I.Compliance.FulfilledCCUS&gt;0,I.CCUS.RangeCount&gt;=822,F3894=""),"Incomplete","Complete")</f>
        <v>Complete</v>
      </c>
      <c r="I3894" s="55" t="s">
        <v>4091</v>
      </c>
    </row>
    <row r="3895" spans="2:9" ht="15" customHeight="1" x14ac:dyDescent="0.25">
      <c r="B3895" s="51" t="s">
        <v>127</v>
      </c>
      <c r="C3895" s="52">
        <v>823</v>
      </c>
      <c r="D3895" s="53" t="s">
        <v>4330</v>
      </c>
      <c r="E3895" s="54"/>
      <c r="F3895" s="52" t="str">
        <f>IF(INDEX(I.CCUS.EndRange,823)="","",INDEX(I.CCUS.EndRange,823))</f>
        <v/>
      </c>
      <c r="G3895" s="54"/>
      <c r="H3895" s="52" t="str">
        <f>IF(AND(I.Compliance.FulfilledCCUS&gt;0,I.CCUS.RangeCount&gt;=823,F3895=""),"Incomplete","Complete")</f>
        <v>Complete</v>
      </c>
      <c r="I3895" s="55" t="s">
        <v>4092</v>
      </c>
    </row>
    <row r="3896" spans="2:9" ht="15" customHeight="1" x14ac:dyDescent="0.25">
      <c r="B3896" s="51" t="s">
        <v>127</v>
      </c>
      <c r="C3896" s="52">
        <v>824</v>
      </c>
      <c r="D3896" s="53" t="s">
        <v>4330</v>
      </c>
      <c r="E3896" s="54"/>
      <c r="F3896" s="52" t="str">
        <f>IF(INDEX(I.CCUS.EndRange,824)="","",INDEX(I.CCUS.EndRange,824))</f>
        <v/>
      </c>
      <c r="G3896" s="54"/>
      <c r="H3896" s="52" t="str">
        <f>IF(AND(I.Compliance.FulfilledCCUS&gt;0,I.CCUS.RangeCount&gt;=824,F3896=""),"Incomplete","Complete")</f>
        <v>Complete</v>
      </c>
      <c r="I3896" s="55" t="s">
        <v>4093</v>
      </c>
    </row>
    <row r="3897" spans="2:9" ht="15" customHeight="1" x14ac:dyDescent="0.25">
      <c r="B3897" s="51" t="s">
        <v>127</v>
      </c>
      <c r="C3897" s="52">
        <v>825</v>
      </c>
      <c r="D3897" s="53" t="s">
        <v>4330</v>
      </c>
      <c r="E3897" s="54"/>
      <c r="F3897" s="52" t="str">
        <f>IF(INDEX(I.CCUS.EndRange,825)="","",INDEX(I.CCUS.EndRange,825))</f>
        <v/>
      </c>
      <c r="G3897" s="54"/>
      <c r="H3897" s="52" t="str">
        <f>IF(AND(I.Compliance.FulfilledCCUS&gt;0,I.CCUS.RangeCount&gt;=825,F3897=""),"Incomplete","Complete")</f>
        <v>Complete</v>
      </c>
      <c r="I3897" s="55" t="s">
        <v>4094</v>
      </c>
    </row>
    <row r="3898" spans="2:9" ht="15" customHeight="1" x14ac:dyDescent="0.25">
      <c r="B3898" s="51" t="s">
        <v>127</v>
      </c>
      <c r="C3898" s="52">
        <v>826</v>
      </c>
      <c r="D3898" s="53" t="s">
        <v>4330</v>
      </c>
      <c r="E3898" s="54"/>
      <c r="F3898" s="52" t="str">
        <f>IF(INDEX(I.CCUS.EndRange,826)="","",INDEX(I.CCUS.EndRange,826))</f>
        <v/>
      </c>
      <c r="G3898" s="54"/>
      <c r="H3898" s="52" t="str">
        <f>IF(AND(I.Compliance.FulfilledCCUS&gt;0,I.CCUS.RangeCount&gt;=826,F3898=""),"Incomplete","Complete")</f>
        <v>Complete</v>
      </c>
      <c r="I3898" s="55" t="s">
        <v>4095</v>
      </c>
    </row>
    <row r="3899" spans="2:9" ht="15" customHeight="1" x14ac:dyDescent="0.25">
      <c r="B3899" s="51" t="s">
        <v>127</v>
      </c>
      <c r="C3899" s="52">
        <v>827</v>
      </c>
      <c r="D3899" s="53" t="s">
        <v>4330</v>
      </c>
      <c r="E3899" s="54"/>
      <c r="F3899" s="52" t="str">
        <f>IF(INDEX(I.CCUS.EndRange,827)="","",INDEX(I.CCUS.EndRange,827))</f>
        <v/>
      </c>
      <c r="G3899" s="54"/>
      <c r="H3899" s="52" t="str">
        <f>IF(AND(I.Compliance.FulfilledCCUS&gt;0,I.CCUS.RangeCount&gt;=827,F3899=""),"Incomplete","Complete")</f>
        <v>Complete</v>
      </c>
      <c r="I3899" s="55" t="s">
        <v>4096</v>
      </c>
    </row>
    <row r="3900" spans="2:9" ht="15" customHeight="1" x14ac:dyDescent="0.25">
      <c r="B3900" s="51" t="s">
        <v>127</v>
      </c>
      <c r="C3900" s="52">
        <v>828</v>
      </c>
      <c r="D3900" s="53" t="s">
        <v>4330</v>
      </c>
      <c r="E3900" s="54"/>
      <c r="F3900" s="52" t="str">
        <f>IF(INDEX(I.CCUS.EndRange,828)="","",INDEX(I.CCUS.EndRange,828))</f>
        <v/>
      </c>
      <c r="G3900" s="54"/>
      <c r="H3900" s="52" t="str">
        <f>IF(AND(I.Compliance.FulfilledCCUS&gt;0,I.CCUS.RangeCount&gt;=828,F3900=""),"Incomplete","Complete")</f>
        <v>Complete</v>
      </c>
      <c r="I3900" s="55" t="s">
        <v>4097</v>
      </c>
    </row>
    <row r="3901" spans="2:9" ht="15" customHeight="1" x14ac:dyDescent="0.25">
      <c r="B3901" s="51" t="s">
        <v>127</v>
      </c>
      <c r="C3901" s="52">
        <v>829</v>
      </c>
      <c r="D3901" s="53" t="s">
        <v>4330</v>
      </c>
      <c r="E3901" s="54"/>
      <c r="F3901" s="52" t="str">
        <f>IF(INDEX(I.CCUS.EndRange,829)="","",INDEX(I.CCUS.EndRange,829))</f>
        <v/>
      </c>
      <c r="G3901" s="54"/>
      <c r="H3901" s="52" t="str">
        <f>IF(AND(I.Compliance.FulfilledCCUS&gt;0,I.CCUS.RangeCount&gt;=829,F3901=""),"Incomplete","Complete")</f>
        <v>Complete</v>
      </c>
      <c r="I3901" s="55" t="s">
        <v>4098</v>
      </c>
    </row>
    <row r="3902" spans="2:9" ht="15" customHeight="1" x14ac:dyDescent="0.25">
      <c r="B3902" s="51" t="s">
        <v>127</v>
      </c>
      <c r="C3902" s="52">
        <v>830</v>
      </c>
      <c r="D3902" s="53" t="s">
        <v>4330</v>
      </c>
      <c r="E3902" s="54"/>
      <c r="F3902" s="52" t="str">
        <f>IF(INDEX(I.CCUS.EndRange,830)="","",INDEX(I.CCUS.EndRange,830))</f>
        <v/>
      </c>
      <c r="G3902" s="54"/>
      <c r="H3902" s="52" t="str">
        <f>IF(AND(I.Compliance.FulfilledCCUS&gt;0,I.CCUS.RangeCount&gt;=830,F3902=""),"Incomplete","Complete")</f>
        <v>Complete</v>
      </c>
      <c r="I3902" s="55" t="s">
        <v>4099</v>
      </c>
    </row>
    <row r="3903" spans="2:9" ht="15" customHeight="1" x14ac:dyDescent="0.25">
      <c r="B3903" s="51" t="s">
        <v>127</v>
      </c>
      <c r="C3903" s="52">
        <v>831</v>
      </c>
      <c r="D3903" s="53" t="s">
        <v>4330</v>
      </c>
      <c r="E3903" s="54"/>
      <c r="F3903" s="52" t="str">
        <f>IF(INDEX(I.CCUS.EndRange,831)="","",INDEX(I.CCUS.EndRange,831))</f>
        <v/>
      </c>
      <c r="G3903" s="54"/>
      <c r="H3903" s="52" t="str">
        <f>IF(AND(I.Compliance.FulfilledCCUS&gt;0,I.CCUS.RangeCount&gt;=831,F3903=""),"Incomplete","Complete")</f>
        <v>Complete</v>
      </c>
      <c r="I3903" s="55" t="s">
        <v>4100</v>
      </c>
    </row>
    <row r="3904" spans="2:9" ht="15" customHeight="1" x14ac:dyDescent="0.25">
      <c r="B3904" s="51" t="s">
        <v>127</v>
      </c>
      <c r="C3904" s="52">
        <v>832</v>
      </c>
      <c r="D3904" s="53" t="s">
        <v>4330</v>
      </c>
      <c r="E3904" s="54"/>
      <c r="F3904" s="52" t="str">
        <f>IF(INDEX(I.CCUS.EndRange,832)="","",INDEX(I.CCUS.EndRange,832))</f>
        <v/>
      </c>
      <c r="G3904" s="54"/>
      <c r="H3904" s="52" t="str">
        <f>IF(AND(I.Compliance.FulfilledCCUS&gt;0,I.CCUS.RangeCount&gt;=832,F3904=""),"Incomplete","Complete")</f>
        <v>Complete</v>
      </c>
      <c r="I3904" s="55" t="s">
        <v>4101</v>
      </c>
    </row>
    <row r="3905" spans="2:9" ht="15" customHeight="1" x14ac:dyDescent="0.25">
      <c r="B3905" s="51" t="s">
        <v>127</v>
      </c>
      <c r="C3905" s="52">
        <v>833</v>
      </c>
      <c r="D3905" s="53" t="s">
        <v>4330</v>
      </c>
      <c r="E3905" s="54"/>
      <c r="F3905" s="52" t="str">
        <f>IF(INDEX(I.CCUS.EndRange,833)="","",INDEX(I.CCUS.EndRange,833))</f>
        <v/>
      </c>
      <c r="G3905" s="54"/>
      <c r="H3905" s="52" t="str">
        <f>IF(AND(I.Compliance.FulfilledCCUS&gt;0,I.CCUS.RangeCount&gt;=833,F3905=""),"Incomplete","Complete")</f>
        <v>Complete</v>
      </c>
      <c r="I3905" s="55" t="s">
        <v>4102</v>
      </c>
    </row>
    <row r="3906" spans="2:9" ht="15" customHeight="1" x14ac:dyDescent="0.25">
      <c r="B3906" s="51" t="s">
        <v>127</v>
      </c>
      <c r="C3906" s="52">
        <v>834</v>
      </c>
      <c r="D3906" s="53" t="s">
        <v>4330</v>
      </c>
      <c r="E3906" s="54"/>
      <c r="F3906" s="52" t="str">
        <f>IF(INDEX(I.CCUS.EndRange,834)="","",INDEX(I.CCUS.EndRange,834))</f>
        <v/>
      </c>
      <c r="G3906" s="54"/>
      <c r="H3906" s="52" t="str">
        <f>IF(AND(I.Compliance.FulfilledCCUS&gt;0,I.CCUS.RangeCount&gt;=834,F3906=""),"Incomplete","Complete")</f>
        <v>Complete</v>
      </c>
      <c r="I3906" s="55" t="s">
        <v>4103</v>
      </c>
    </row>
    <row r="3907" spans="2:9" ht="15" customHeight="1" x14ac:dyDescent="0.25">
      <c r="B3907" s="51" t="s">
        <v>127</v>
      </c>
      <c r="C3907" s="52">
        <v>835</v>
      </c>
      <c r="D3907" s="53" t="s">
        <v>4330</v>
      </c>
      <c r="E3907" s="54"/>
      <c r="F3907" s="52" t="str">
        <f>IF(INDEX(I.CCUS.EndRange,835)="","",INDEX(I.CCUS.EndRange,835))</f>
        <v/>
      </c>
      <c r="G3907" s="54"/>
      <c r="H3907" s="52" t="str">
        <f>IF(AND(I.Compliance.FulfilledCCUS&gt;0,I.CCUS.RangeCount&gt;=835,F3907=""),"Incomplete","Complete")</f>
        <v>Complete</v>
      </c>
      <c r="I3907" s="55" t="s">
        <v>4104</v>
      </c>
    </row>
    <row r="3908" spans="2:9" ht="15" customHeight="1" x14ac:dyDescent="0.25">
      <c r="B3908" s="51" t="s">
        <v>127</v>
      </c>
      <c r="C3908" s="52">
        <v>836</v>
      </c>
      <c r="D3908" s="53" t="s">
        <v>4330</v>
      </c>
      <c r="E3908" s="54"/>
      <c r="F3908" s="52" t="str">
        <f>IF(INDEX(I.CCUS.EndRange,836)="","",INDEX(I.CCUS.EndRange,836))</f>
        <v/>
      </c>
      <c r="G3908" s="54"/>
      <c r="H3908" s="52" t="str">
        <f>IF(AND(I.Compliance.FulfilledCCUS&gt;0,I.CCUS.RangeCount&gt;=836,F3908=""),"Incomplete","Complete")</f>
        <v>Complete</v>
      </c>
      <c r="I3908" s="55" t="s">
        <v>4105</v>
      </c>
    </row>
    <row r="3909" spans="2:9" ht="15" customHeight="1" x14ac:dyDescent="0.25">
      <c r="B3909" s="51" t="s">
        <v>127</v>
      </c>
      <c r="C3909" s="52">
        <v>837</v>
      </c>
      <c r="D3909" s="53" t="s">
        <v>4330</v>
      </c>
      <c r="E3909" s="54"/>
      <c r="F3909" s="52" t="str">
        <f>IF(INDEX(I.CCUS.EndRange,837)="","",INDEX(I.CCUS.EndRange,837))</f>
        <v/>
      </c>
      <c r="G3909" s="54"/>
      <c r="H3909" s="52" t="str">
        <f>IF(AND(I.Compliance.FulfilledCCUS&gt;0,I.CCUS.RangeCount&gt;=837,F3909=""),"Incomplete","Complete")</f>
        <v>Complete</v>
      </c>
      <c r="I3909" s="55" t="s">
        <v>4106</v>
      </c>
    </row>
    <row r="3910" spans="2:9" ht="15" customHeight="1" x14ac:dyDescent="0.25">
      <c r="B3910" s="51" t="s">
        <v>127</v>
      </c>
      <c r="C3910" s="52">
        <v>838</v>
      </c>
      <c r="D3910" s="53" t="s">
        <v>4330</v>
      </c>
      <c r="E3910" s="54"/>
      <c r="F3910" s="52" t="str">
        <f>IF(INDEX(I.CCUS.EndRange,838)="","",INDEX(I.CCUS.EndRange,838))</f>
        <v/>
      </c>
      <c r="G3910" s="54"/>
      <c r="H3910" s="52" t="str">
        <f>IF(AND(I.Compliance.FulfilledCCUS&gt;0,I.CCUS.RangeCount&gt;=838,F3910=""),"Incomplete","Complete")</f>
        <v>Complete</v>
      </c>
      <c r="I3910" s="55" t="s">
        <v>4107</v>
      </c>
    </row>
    <row r="3911" spans="2:9" ht="15" customHeight="1" x14ac:dyDescent="0.25">
      <c r="B3911" s="51" t="s">
        <v>127</v>
      </c>
      <c r="C3911" s="52">
        <v>839</v>
      </c>
      <c r="D3911" s="53" t="s">
        <v>4330</v>
      </c>
      <c r="E3911" s="54"/>
      <c r="F3911" s="52" t="str">
        <f>IF(INDEX(I.CCUS.EndRange,839)="","",INDEX(I.CCUS.EndRange,839))</f>
        <v/>
      </c>
      <c r="G3911" s="54"/>
      <c r="H3911" s="52" t="str">
        <f>IF(AND(I.Compliance.FulfilledCCUS&gt;0,I.CCUS.RangeCount&gt;=839,F3911=""),"Incomplete","Complete")</f>
        <v>Complete</v>
      </c>
      <c r="I3911" s="55" t="s">
        <v>4108</v>
      </c>
    </row>
    <row r="3912" spans="2:9" ht="15" customHeight="1" x14ac:dyDescent="0.25">
      <c r="B3912" s="51" t="s">
        <v>127</v>
      </c>
      <c r="C3912" s="52">
        <v>840</v>
      </c>
      <c r="D3912" s="53" t="s">
        <v>4330</v>
      </c>
      <c r="E3912" s="54"/>
      <c r="F3912" s="52" t="str">
        <f>IF(INDEX(I.CCUS.EndRange,840)="","",INDEX(I.CCUS.EndRange,840))</f>
        <v/>
      </c>
      <c r="G3912" s="54"/>
      <c r="H3912" s="52" t="str">
        <f>IF(AND(I.Compliance.FulfilledCCUS&gt;0,I.CCUS.RangeCount&gt;=840,F3912=""),"Incomplete","Complete")</f>
        <v>Complete</v>
      </c>
      <c r="I3912" s="55" t="s">
        <v>4109</v>
      </c>
    </row>
    <row r="3913" spans="2:9" ht="15" customHeight="1" x14ac:dyDescent="0.25">
      <c r="B3913" s="51" t="s">
        <v>127</v>
      </c>
      <c r="C3913" s="52">
        <v>841</v>
      </c>
      <c r="D3913" s="53" t="s">
        <v>4330</v>
      </c>
      <c r="E3913" s="54"/>
      <c r="F3913" s="52" t="str">
        <f>IF(INDEX(I.CCUS.EndRange,841)="","",INDEX(I.CCUS.EndRange,841))</f>
        <v/>
      </c>
      <c r="G3913" s="54"/>
      <c r="H3913" s="52" t="str">
        <f>IF(AND(I.Compliance.FulfilledCCUS&gt;0,I.CCUS.RangeCount&gt;=841,F3913=""),"Incomplete","Complete")</f>
        <v>Complete</v>
      </c>
      <c r="I3913" s="55" t="s">
        <v>4110</v>
      </c>
    </row>
    <row r="3914" spans="2:9" ht="15" customHeight="1" x14ac:dyDescent="0.25">
      <c r="B3914" s="51" t="s">
        <v>127</v>
      </c>
      <c r="C3914" s="52">
        <v>842</v>
      </c>
      <c r="D3914" s="53" t="s">
        <v>4330</v>
      </c>
      <c r="E3914" s="54"/>
      <c r="F3914" s="52" t="str">
        <f>IF(INDEX(I.CCUS.EndRange,842)="","",INDEX(I.CCUS.EndRange,842))</f>
        <v/>
      </c>
      <c r="G3914" s="54"/>
      <c r="H3914" s="52" t="str">
        <f>IF(AND(I.Compliance.FulfilledCCUS&gt;0,I.CCUS.RangeCount&gt;=842,F3914=""),"Incomplete","Complete")</f>
        <v>Complete</v>
      </c>
      <c r="I3914" s="55" t="s">
        <v>4111</v>
      </c>
    </row>
    <row r="3915" spans="2:9" ht="15" customHeight="1" x14ac:dyDescent="0.25">
      <c r="B3915" s="51" t="s">
        <v>127</v>
      </c>
      <c r="C3915" s="52">
        <v>843</v>
      </c>
      <c r="D3915" s="53" t="s">
        <v>4330</v>
      </c>
      <c r="E3915" s="54"/>
      <c r="F3915" s="52" t="str">
        <f>IF(INDEX(I.CCUS.EndRange,843)="","",INDEX(I.CCUS.EndRange,843))</f>
        <v/>
      </c>
      <c r="G3915" s="54"/>
      <c r="H3915" s="52" t="str">
        <f>IF(AND(I.Compliance.FulfilledCCUS&gt;0,I.CCUS.RangeCount&gt;=843,F3915=""),"Incomplete","Complete")</f>
        <v>Complete</v>
      </c>
      <c r="I3915" s="55" t="s">
        <v>4112</v>
      </c>
    </row>
    <row r="3916" spans="2:9" ht="15" customHeight="1" x14ac:dyDescent="0.25">
      <c r="B3916" s="51" t="s">
        <v>127</v>
      </c>
      <c r="C3916" s="52">
        <v>844</v>
      </c>
      <c r="D3916" s="53" t="s">
        <v>4330</v>
      </c>
      <c r="E3916" s="54"/>
      <c r="F3916" s="52" t="str">
        <f>IF(INDEX(I.CCUS.EndRange,844)="","",INDEX(I.CCUS.EndRange,844))</f>
        <v/>
      </c>
      <c r="G3916" s="54"/>
      <c r="H3916" s="52" t="str">
        <f>IF(AND(I.Compliance.FulfilledCCUS&gt;0,I.CCUS.RangeCount&gt;=844,F3916=""),"Incomplete","Complete")</f>
        <v>Complete</v>
      </c>
      <c r="I3916" s="55" t="s">
        <v>4113</v>
      </c>
    </row>
    <row r="3917" spans="2:9" ht="15" customHeight="1" x14ac:dyDescent="0.25">
      <c r="B3917" s="51" t="s">
        <v>127</v>
      </c>
      <c r="C3917" s="52">
        <v>845</v>
      </c>
      <c r="D3917" s="53" t="s">
        <v>4330</v>
      </c>
      <c r="E3917" s="54"/>
      <c r="F3917" s="52" t="str">
        <f>IF(INDEX(I.CCUS.EndRange,845)="","",INDEX(I.CCUS.EndRange,845))</f>
        <v/>
      </c>
      <c r="G3917" s="54"/>
      <c r="H3917" s="52" t="str">
        <f>IF(AND(I.Compliance.FulfilledCCUS&gt;0,I.CCUS.RangeCount&gt;=845,F3917=""),"Incomplete","Complete")</f>
        <v>Complete</v>
      </c>
      <c r="I3917" s="55" t="s">
        <v>4114</v>
      </c>
    </row>
    <row r="3918" spans="2:9" ht="15" customHeight="1" x14ac:dyDescent="0.25">
      <c r="B3918" s="51" t="s">
        <v>127</v>
      </c>
      <c r="C3918" s="52">
        <v>846</v>
      </c>
      <c r="D3918" s="53" t="s">
        <v>4330</v>
      </c>
      <c r="E3918" s="54"/>
      <c r="F3918" s="52" t="str">
        <f>IF(INDEX(I.CCUS.EndRange,846)="","",INDEX(I.CCUS.EndRange,846))</f>
        <v/>
      </c>
      <c r="G3918" s="54"/>
      <c r="H3918" s="52" t="str">
        <f>IF(AND(I.Compliance.FulfilledCCUS&gt;0,I.CCUS.RangeCount&gt;=846,F3918=""),"Incomplete","Complete")</f>
        <v>Complete</v>
      </c>
      <c r="I3918" s="55" t="s">
        <v>4115</v>
      </c>
    </row>
    <row r="3919" spans="2:9" ht="15" customHeight="1" x14ac:dyDescent="0.25">
      <c r="B3919" s="51" t="s">
        <v>127</v>
      </c>
      <c r="C3919" s="52">
        <v>847</v>
      </c>
      <c r="D3919" s="53" t="s">
        <v>4330</v>
      </c>
      <c r="E3919" s="54"/>
      <c r="F3919" s="52" t="str">
        <f>IF(INDEX(I.CCUS.EndRange,847)="","",INDEX(I.CCUS.EndRange,847))</f>
        <v/>
      </c>
      <c r="G3919" s="54"/>
      <c r="H3919" s="52" t="str">
        <f>IF(AND(I.Compliance.FulfilledCCUS&gt;0,I.CCUS.RangeCount&gt;=847,F3919=""),"Incomplete","Complete")</f>
        <v>Complete</v>
      </c>
      <c r="I3919" s="55" t="s">
        <v>4116</v>
      </c>
    </row>
    <row r="3920" spans="2:9" ht="15" customHeight="1" x14ac:dyDescent="0.25">
      <c r="B3920" s="51" t="s">
        <v>127</v>
      </c>
      <c r="C3920" s="52">
        <v>848</v>
      </c>
      <c r="D3920" s="53" t="s">
        <v>4330</v>
      </c>
      <c r="E3920" s="54"/>
      <c r="F3920" s="52" t="str">
        <f>IF(INDEX(I.CCUS.EndRange,848)="","",INDEX(I.CCUS.EndRange,848))</f>
        <v/>
      </c>
      <c r="G3920" s="54"/>
      <c r="H3920" s="52" t="str">
        <f>IF(AND(I.Compliance.FulfilledCCUS&gt;0,I.CCUS.RangeCount&gt;=848,F3920=""),"Incomplete","Complete")</f>
        <v>Complete</v>
      </c>
      <c r="I3920" s="55" t="s">
        <v>4117</v>
      </c>
    </row>
    <row r="3921" spans="2:9" ht="15" customHeight="1" x14ac:dyDescent="0.25">
      <c r="B3921" s="51" t="s">
        <v>127</v>
      </c>
      <c r="C3921" s="52">
        <v>849</v>
      </c>
      <c r="D3921" s="53" t="s">
        <v>4330</v>
      </c>
      <c r="E3921" s="54"/>
      <c r="F3921" s="52" t="str">
        <f>IF(INDEX(I.CCUS.EndRange,849)="","",INDEX(I.CCUS.EndRange,849))</f>
        <v/>
      </c>
      <c r="G3921" s="54"/>
      <c r="H3921" s="52" t="str">
        <f>IF(AND(I.Compliance.FulfilledCCUS&gt;0,I.CCUS.RangeCount&gt;=849,F3921=""),"Incomplete","Complete")</f>
        <v>Complete</v>
      </c>
      <c r="I3921" s="55" t="s">
        <v>4118</v>
      </c>
    </row>
    <row r="3922" spans="2:9" ht="15" customHeight="1" x14ac:dyDescent="0.25">
      <c r="B3922" s="51" t="s">
        <v>127</v>
      </c>
      <c r="C3922" s="52">
        <v>850</v>
      </c>
      <c r="D3922" s="53" t="s">
        <v>4330</v>
      </c>
      <c r="E3922" s="54"/>
      <c r="F3922" s="52" t="str">
        <f>IF(INDEX(I.CCUS.EndRange,850)="","",INDEX(I.CCUS.EndRange,850))</f>
        <v/>
      </c>
      <c r="G3922" s="54"/>
      <c r="H3922" s="52" t="str">
        <f>IF(AND(I.Compliance.FulfilledCCUS&gt;0,I.CCUS.RangeCount&gt;=850,F3922=""),"Incomplete","Complete")</f>
        <v>Complete</v>
      </c>
      <c r="I3922" s="55" t="s">
        <v>4119</v>
      </c>
    </row>
    <row r="3923" spans="2:9" ht="15" customHeight="1" x14ac:dyDescent="0.25">
      <c r="B3923" s="51" t="s">
        <v>127</v>
      </c>
      <c r="C3923" s="52">
        <v>851</v>
      </c>
      <c r="D3923" s="53" t="s">
        <v>4330</v>
      </c>
      <c r="E3923" s="54"/>
      <c r="F3923" s="52" t="str">
        <f>IF(INDEX(I.CCUS.EndRange,851)="","",INDEX(I.CCUS.EndRange,851))</f>
        <v/>
      </c>
      <c r="G3923" s="54"/>
      <c r="H3923" s="52" t="str">
        <f>IF(AND(I.Compliance.FulfilledCCUS&gt;0,I.CCUS.RangeCount&gt;=851,F3923=""),"Incomplete","Complete")</f>
        <v>Complete</v>
      </c>
      <c r="I3923" s="55" t="s">
        <v>4120</v>
      </c>
    </row>
    <row r="3924" spans="2:9" ht="15" customHeight="1" x14ac:dyDescent="0.25">
      <c r="B3924" s="51" t="s">
        <v>127</v>
      </c>
      <c r="C3924" s="52">
        <v>852</v>
      </c>
      <c r="D3924" s="53" t="s">
        <v>4330</v>
      </c>
      <c r="E3924" s="54"/>
      <c r="F3924" s="52" t="str">
        <f>IF(INDEX(I.CCUS.EndRange,852)="","",INDEX(I.CCUS.EndRange,852))</f>
        <v/>
      </c>
      <c r="G3924" s="54"/>
      <c r="H3924" s="52" t="str">
        <f>IF(AND(I.Compliance.FulfilledCCUS&gt;0,I.CCUS.RangeCount&gt;=852,F3924=""),"Incomplete","Complete")</f>
        <v>Complete</v>
      </c>
      <c r="I3924" s="55" t="s">
        <v>4121</v>
      </c>
    </row>
    <row r="3925" spans="2:9" ht="15" customHeight="1" x14ac:dyDescent="0.25">
      <c r="B3925" s="51" t="s">
        <v>127</v>
      </c>
      <c r="C3925" s="52">
        <v>853</v>
      </c>
      <c r="D3925" s="53" t="s">
        <v>4330</v>
      </c>
      <c r="E3925" s="54"/>
      <c r="F3925" s="52" t="str">
        <f>IF(INDEX(I.CCUS.EndRange,853)="","",INDEX(I.CCUS.EndRange,853))</f>
        <v/>
      </c>
      <c r="G3925" s="54"/>
      <c r="H3925" s="52" t="str">
        <f>IF(AND(I.Compliance.FulfilledCCUS&gt;0,I.CCUS.RangeCount&gt;=853,F3925=""),"Incomplete","Complete")</f>
        <v>Complete</v>
      </c>
      <c r="I3925" s="55" t="s">
        <v>4122</v>
      </c>
    </row>
    <row r="3926" spans="2:9" ht="15" customHeight="1" x14ac:dyDescent="0.25">
      <c r="B3926" s="51" t="s">
        <v>127</v>
      </c>
      <c r="C3926" s="52">
        <v>854</v>
      </c>
      <c r="D3926" s="53" t="s">
        <v>4330</v>
      </c>
      <c r="E3926" s="54"/>
      <c r="F3926" s="52" t="str">
        <f>IF(INDEX(I.CCUS.EndRange,854)="","",INDEX(I.CCUS.EndRange,854))</f>
        <v/>
      </c>
      <c r="G3926" s="54"/>
      <c r="H3926" s="52" t="str">
        <f>IF(AND(I.Compliance.FulfilledCCUS&gt;0,I.CCUS.RangeCount&gt;=854,F3926=""),"Incomplete","Complete")</f>
        <v>Complete</v>
      </c>
      <c r="I3926" s="55" t="s">
        <v>4123</v>
      </c>
    </row>
    <row r="3927" spans="2:9" ht="15" customHeight="1" x14ac:dyDescent="0.25">
      <c r="B3927" s="51" t="s">
        <v>127</v>
      </c>
      <c r="C3927" s="52">
        <v>855</v>
      </c>
      <c r="D3927" s="53" t="s">
        <v>4330</v>
      </c>
      <c r="E3927" s="54"/>
      <c r="F3927" s="52" t="str">
        <f>IF(INDEX(I.CCUS.EndRange,855)="","",INDEX(I.CCUS.EndRange,855))</f>
        <v/>
      </c>
      <c r="G3927" s="54"/>
      <c r="H3927" s="52" t="str">
        <f>IF(AND(I.Compliance.FulfilledCCUS&gt;0,I.CCUS.RangeCount&gt;=855,F3927=""),"Incomplete","Complete")</f>
        <v>Complete</v>
      </c>
      <c r="I3927" s="55" t="s">
        <v>4124</v>
      </c>
    </row>
    <row r="3928" spans="2:9" ht="15" customHeight="1" x14ac:dyDescent="0.25">
      <c r="B3928" s="51" t="s">
        <v>127</v>
      </c>
      <c r="C3928" s="52">
        <v>856</v>
      </c>
      <c r="D3928" s="53" t="s">
        <v>4330</v>
      </c>
      <c r="E3928" s="54"/>
      <c r="F3928" s="52" t="str">
        <f>IF(INDEX(I.CCUS.EndRange,856)="","",INDEX(I.CCUS.EndRange,856))</f>
        <v/>
      </c>
      <c r="G3928" s="54"/>
      <c r="H3928" s="52" t="str">
        <f>IF(AND(I.Compliance.FulfilledCCUS&gt;0,I.CCUS.RangeCount&gt;=856,F3928=""),"Incomplete","Complete")</f>
        <v>Complete</v>
      </c>
      <c r="I3928" s="55" t="s">
        <v>4125</v>
      </c>
    </row>
    <row r="3929" spans="2:9" ht="15" customHeight="1" x14ac:dyDescent="0.25">
      <c r="B3929" s="51" t="s">
        <v>127</v>
      </c>
      <c r="C3929" s="52">
        <v>857</v>
      </c>
      <c r="D3929" s="53" t="s">
        <v>4330</v>
      </c>
      <c r="E3929" s="54"/>
      <c r="F3929" s="52" t="str">
        <f>IF(INDEX(I.CCUS.EndRange,857)="","",INDEX(I.CCUS.EndRange,857))</f>
        <v/>
      </c>
      <c r="G3929" s="54"/>
      <c r="H3929" s="52" t="str">
        <f>IF(AND(I.Compliance.FulfilledCCUS&gt;0,I.CCUS.RangeCount&gt;=857,F3929=""),"Incomplete","Complete")</f>
        <v>Complete</v>
      </c>
      <c r="I3929" s="55" t="s">
        <v>4126</v>
      </c>
    </row>
    <row r="3930" spans="2:9" ht="15" customHeight="1" x14ac:dyDescent="0.25">
      <c r="B3930" s="51" t="s">
        <v>127</v>
      </c>
      <c r="C3930" s="52">
        <v>858</v>
      </c>
      <c r="D3930" s="53" t="s">
        <v>4330</v>
      </c>
      <c r="E3930" s="54"/>
      <c r="F3930" s="52" t="str">
        <f>IF(INDEX(I.CCUS.EndRange,858)="","",INDEX(I.CCUS.EndRange,858))</f>
        <v/>
      </c>
      <c r="G3930" s="54"/>
      <c r="H3930" s="52" t="str">
        <f>IF(AND(I.Compliance.FulfilledCCUS&gt;0,I.CCUS.RangeCount&gt;=858,F3930=""),"Incomplete","Complete")</f>
        <v>Complete</v>
      </c>
      <c r="I3930" s="55" t="s">
        <v>4127</v>
      </c>
    </row>
    <row r="3931" spans="2:9" ht="15" customHeight="1" x14ac:dyDescent="0.25">
      <c r="B3931" s="51" t="s">
        <v>127</v>
      </c>
      <c r="C3931" s="52">
        <v>859</v>
      </c>
      <c r="D3931" s="53" t="s">
        <v>4330</v>
      </c>
      <c r="E3931" s="54"/>
      <c r="F3931" s="52" t="str">
        <f>IF(INDEX(I.CCUS.EndRange,859)="","",INDEX(I.CCUS.EndRange,859))</f>
        <v/>
      </c>
      <c r="G3931" s="54"/>
      <c r="H3931" s="52" t="str">
        <f>IF(AND(I.Compliance.FulfilledCCUS&gt;0,I.CCUS.RangeCount&gt;=859,F3931=""),"Incomplete","Complete")</f>
        <v>Complete</v>
      </c>
      <c r="I3931" s="55" t="s">
        <v>4128</v>
      </c>
    </row>
    <row r="3932" spans="2:9" ht="15" customHeight="1" x14ac:dyDescent="0.25">
      <c r="B3932" s="51" t="s">
        <v>127</v>
      </c>
      <c r="C3932" s="52">
        <v>860</v>
      </c>
      <c r="D3932" s="53" t="s">
        <v>4330</v>
      </c>
      <c r="E3932" s="54"/>
      <c r="F3932" s="52" t="str">
        <f>IF(INDEX(I.CCUS.EndRange,860)="","",INDEX(I.CCUS.EndRange,860))</f>
        <v/>
      </c>
      <c r="G3932" s="54"/>
      <c r="H3932" s="52" t="str">
        <f>IF(AND(I.Compliance.FulfilledCCUS&gt;0,I.CCUS.RangeCount&gt;=860,F3932=""),"Incomplete","Complete")</f>
        <v>Complete</v>
      </c>
      <c r="I3932" s="55" t="s">
        <v>4129</v>
      </c>
    </row>
    <row r="3933" spans="2:9" ht="15" customHeight="1" x14ac:dyDescent="0.25">
      <c r="B3933" s="51" t="s">
        <v>127</v>
      </c>
      <c r="C3933" s="52">
        <v>861</v>
      </c>
      <c r="D3933" s="53" t="s">
        <v>4330</v>
      </c>
      <c r="E3933" s="54"/>
      <c r="F3933" s="52" t="str">
        <f>IF(INDEX(I.CCUS.EndRange,861)="","",INDEX(I.CCUS.EndRange,861))</f>
        <v/>
      </c>
      <c r="G3933" s="54"/>
      <c r="H3933" s="52" t="str">
        <f>IF(AND(I.Compliance.FulfilledCCUS&gt;0,I.CCUS.RangeCount&gt;=861,F3933=""),"Incomplete","Complete")</f>
        <v>Complete</v>
      </c>
      <c r="I3933" s="55" t="s">
        <v>4130</v>
      </c>
    </row>
    <row r="3934" spans="2:9" ht="15" customHeight="1" x14ac:dyDescent="0.25">
      <c r="B3934" s="51" t="s">
        <v>127</v>
      </c>
      <c r="C3934" s="52">
        <v>862</v>
      </c>
      <c r="D3934" s="53" t="s">
        <v>4330</v>
      </c>
      <c r="E3934" s="54"/>
      <c r="F3934" s="52" t="str">
        <f>IF(INDEX(I.CCUS.EndRange,862)="","",INDEX(I.CCUS.EndRange,862))</f>
        <v/>
      </c>
      <c r="G3934" s="54"/>
      <c r="H3934" s="52" t="str">
        <f>IF(AND(I.Compliance.FulfilledCCUS&gt;0,I.CCUS.RangeCount&gt;=862,F3934=""),"Incomplete","Complete")</f>
        <v>Complete</v>
      </c>
      <c r="I3934" s="55" t="s">
        <v>4131</v>
      </c>
    </row>
    <row r="3935" spans="2:9" ht="15" customHeight="1" x14ac:dyDescent="0.25">
      <c r="B3935" s="51" t="s">
        <v>127</v>
      </c>
      <c r="C3935" s="52">
        <v>863</v>
      </c>
      <c r="D3935" s="53" t="s">
        <v>4330</v>
      </c>
      <c r="E3935" s="54"/>
      <c r="F3935" s="52" t="str">
        <f>IF(INDEX(I.CCUS.EndRange,863)="","",INDEX(I.CCUS.EndRange,863))</f>
        <v/>
      </c>
      <c r="G3935" s="54"/>
      <c r="H3935" s="52" t="str">
        <f>IF(AND(I.Compliance.FulfilledCCUS&gt;0,I.CCUS.RangeCount&gt;=863,F3935=""),"Incomplete","Complete")</f>
        <v>Complete</v>
      </c>
      <c r="I3935" s="55" t="s">
        <v>4132</v>
      </c>
    </row>
    <row r="3936" spans="2:9" ht="15" customHeight="1" x14ac:dyDescent="0.25">
      <c r="B3936" s="51" t="s">
        <v>127</v>
      </c>
      <c r="C3936" s="52">
        <v>864</v>
      </c>
      <c r="D3936" s="53" t="s">
        <v>4330</v>
      </c>
      <c r="E3936" s="54"/>
      <c r="F3936" s="52" t="str">
        <f>IF(INDEX(I.CCUS.EndRange,864)="","",INDEX(I.CCUS.EndRange,864))</f>
        <v/>
      </c>
      <c r="G3936" s="54"/>
      <c r="H3936" s="52" t="str">
        <f>IF(AND(I.Compliance.FulfilledCCUS&gt;0,I.CCUS.RangeCount&gt;=864,F3936=""),"Incomplete","Complete")</f>
        <v>Complete</v>
      </c>
      <c r="I3936" s="55" t="s">
        <v>4133</v>
      </c>
    </row>
    <row r="3937" spans="2:9" ht="15" customHeight="1" x14ac:dyDescent="0.25">
      <c r="B3937" s="51" t="s">
        <v>127</v>
      </c>
      <c r="C3937" s="52">
        <v>865</v>
      </c>
      <c r="D3937" s="53" t="s">
        <v>4330</v>
      </c>
      <c r="E3937" s="54"/>
      <c r="F3937" s="52" t="str">
        <f>IF(INDEX(I.CCUS.EndRange,865)="","",INDEX(I.CCUS.EndRange,865))</f>
        <v/>
      </c>
      <c r="G3937" s="54"/>
      <c r="H3937" s="52" t="str">
        <f>IF(AND(I.Compliance.FulfilledCCUS&gt;0,I.CCUS.RangeCount&gt;=865,F3937=""),"Incomplete","Complete")</f>
        <v>Complete</v>
      </c>
      <c r="I3937" s="55" t="s">
        <v>4134</v>
      </c>
    </row>
    <row r="3938" spans="2:9" ht="15" customHeight="1" x14ac:dyDescent="0.25">
      <c r="B3938" s="51" t="s">
        <v>127</v>
      </c>
      <c r="C3938" s="52">
        <v>866</v>
      </c>
      <c r="D3938" s="53" t="s">
        <v>4330</v>
      </c>
      <c r="E3938" s="54"/>
      <c r="F3938" s="52" t="str">
        <f>IF(INDEX(I.CCUS.EndRange,866)="","",INDEX(I.CCUS.EndRange,866))</f>
        <v/>
      </c>
      <c r="G3938" s="54"/>
      <c r="H3938" s="52" t="str">
        <f>IF(AND(I.Compliance.FulfilledCCUS&gt;0,I.CCUS.RangeCount&gt;=866,F3938=""),"Incomplete","Complete")</f>
        <v>Complete</v>
      </c>
      <c r="I3938" s="55" t="s">
        <v>4135</v>
      </c>
    </row>
    <row r="3939" spans="2:9" ht="15" customHeight="1" x14ac:dyDescent="0.25">
      <c r="B3939" s="51" t="s">
        <v>127</v>
      </c>
      <c r="C3939" s="52">
        <v>867</v>
      </c>
      <c r="D3939" s="53" t="s">
        <v>4330</v>
      </c>
      <c r="E3939" s="54"/>
      <c r="F3939" s="52" t="str">
        <f>IF(INDEX(I.CCUS.EndRange,867)="","",INDEX(I.CCUS.EndRange,867))</f>
        <v/>
      </c>
      <c r="G3939" s="54"/>
      <c r="H3939" s="52" t="str">
        <f>IF(AND(I.Compliance.FulfilledCCUS&gt;0,I.CCUS.RangeCount&gt;=867,F3939=""),"Incomplete","Complete")</f>
        <v>Complete</v>
      </c>
      <c r="I3939" s="55" t="s">
        <v>4136</v>
      </c>
    </row>
    <row r="3940" spans="2:9" ht="15" customHeight="1" x14ac:dyDescent="0.25">
      <c r="B3940" s="51" t="s">
        <v>127</v>
      </c>
      <c r="C3940" s="52">
        <v>868</v>
      </c>
      <c r="D3940" s="53" t="s">
        <v>4330</v>
      </c>
      <c r="E3940" s="54"/>
      <c r="F3940" s="52" t="str">
        <f>IF(INDEX(I.CCUS.EndRange,868)="","",INDEX(I.CCUS.EndRange,868))</f>
        <v/>
      </c>
      <c r="G3940" s="54"/>
      <c r="H3940" s="52" t="str">
        <f>IF(AND(I.Compliance.FulfilledCCUS&gt;0,I.CCUS.RangeCount&gt;=868,F3940=""),"Incomplete","Complete")</f>
        <v>Complete</v>
      </c>
      <c r="I3940" s="55" t="s">
        <v>4137</v>
      </c>
    </row>
    <row r="3941" spans="2:9" ht="15" customHeight="1" x14ac:dyDescent="0.25">
      <c r="B3941" s="51" t="s">
        <v>127</v>
      </c>
      <c r="C3941" s="52">
        <v>869</v>
      </c>
      <c r="D3941" s="53" t="s">
        <v>4330</v>
      </c>
      <c r="E3941" s="54"/>
      <c r="F3941" s="52" t="str">
        <f>IF(INDEX(I.CCUS.EndRange,869)="","",INDEX(I.CCUS.EndRange,869))</f>
        <v/>
      </c>
      <c r="G3941" s="54"/>
      <c r="H3941" s="52" t="str">
        <f>IF(AND(I.Compliance.FulfilledCCUS&gt;0,I.CCUS.RangeCount&gt;=869,F3941=""),"Incomplete","Complete")</f>
        <v>Complete</v>
      </c>
      <c r="I3941" s="55" t="s">
        <v>4138</v>
      </c>
    </row>
    <row r="3942" spans="2:9" ht="15" customHeight="1" x14ac:dyDescent="0.25">
      <c r="B3942" s="51" t="s">
        <v>127</v>
      </c>
      <c r="C3942" s="52">
        <v>870</v>
      </c>
      <c r="D3942" s="53" t="s">
        <v>4330</v>
      </c>
      <c r="E3942" s="54"/>
      <c r="F3942" s="52" t="str">
        <f>IF(INDEX(I.CCUS.EndRange,870)="","",INDEX(I.CCUS.EndRange,870))</f>
        <v/>
      </c>
      <c r="G3942" s="54"/>
      <c r="H3942" s="52" t="str">
        <f>IF(AND(I.Compliance.FulfilledCCUS&gt;0,I.CCUS.RangeCount&gt;=870,F3942=""),"Incomplete","Complete")</f>
        <v>Complete</v>
      </c>
      <c r="I3942" s="55" t="s">
        <v>4139</v>
      </c>
    </row>
    <row r="3943" spans="2:9" ht="15" customHeight="1" x14ac:dyDescent="0.25">
      <c r="B3943" s="51" t="s">
        <v>127</v>
      </c>
      <c r="C3943" s="52">
        <v>871</v>
      </c>
      <c r="D3943" s="53" t="s">
        <v>4330</v>
      </c>
      <c r="E3943" s="54"/>
      <c r="F3943" s="52" t="str">
        <f>IF(INDEX(I.CCUS.EndRange,871)="","",INDEX(I.CCUS.EndRange,871))</f>
        <v/>
      </c>
      <c r="G3943" s="54"/>
      <c r="H3943" s="52" t="str">
        <f>IF(AND(I.Compliance.FulfilledCCUS&gt;0,I.CCUS.RangeCount&gt;=871,F3943=""),"Incomplete","Complete")</f>
        <v>Complete</v>
      </c>
      <c r="I3943" s="55" t="s">
        <v>4140</v>
      </c>
    </row>
    <row r="3944" spans="2:9" ht="15" customHeight="1" x14ac:dyDescent="0.25">
      <c r="B3944" s="51" t="s">
        <v>127</v>
      </c>
      <c r="C3944" s="52">
        <v>872</v>
      </c>
      <c r="D3944" s="53" t="s">
        <v>4330</v>
      </c>
      <c r="E3944" s="54"/>
      <c r="F3944" s="52" t="str">
        <f>IF(INDEX(I.CCUS.EndRange,872)="","",INDEX(I.CCUS.EndRange,872))</f>
        <v/>
      </c>
      <c r="G3944" s="54"/>
      <c r="H3944" s="52" t="str">
        <f>IF(AND(I.Compliance.FulfilledCCUS&gt;0,I.CCUS.RangeCount&gt;=872,F3944=""),"Incomplete","Complete")</f>
        <v>Complete</v>
      </c>
      <c r="I3944" s="55" t="s">
        <v>4141</v>
      </c>
    </row>
    <row r="3945" spans="2:9" ht="15" customHeight="1" x14ac:dyDescent="0.25">
      <c r="B3945" s="51" t="s">
        <v>127</v>
      </c>
      <c r="C3945" s="52">
        <v>873</v>
      </c>
      <c r="D3945" s="53" t="s">
        <v>4330</v>
      </c>
      <c r="E3945" s="54"/>
      <c r="F3945" s="52" t="str">
        <f>IF(INDEX(I.CCUS.EndRange,873)="","",INDEX(I.CCUS.EndRange,873))</f>
        <v/>
      </c>
      <c r="G3945" s="54"/>
      <c r="H3945" s="52" t="str">
        <f>IF(AND(I.Compliance.FulfilledCCUS&gt;0,I.CCUS.RangeCount&gt;=873,F3945=""),"Incomplete","Complete")</f>
        <v>Complete</v>
      </c>
      <c r="I3945" s="55" t="s">
        <v>4142</v>
      </c>
    </row>
    <row r="3946" spans="2:9" ht="15" customHeight="1" x14ac:dyDescent="0.25">
      <c r="B3946" s="51" t="s">
        <v>127</v>
      </c>
      <c r="C3946" s="52">
        <v>874</v>
      </c>
      <c r="D3946" s="53" t="s">
        <v>4330</v>
      </c>
      <c r="E3946" s="54"/>
      <c r="F3946" s="52" t="str">
        <f>IF(INDEX(I.CCUS.EndRange,874)="","",INDEX(I.CCUS.EndRange,874))</f>
        <v/>
      </c>
      <c r="G3946" s="54"/>
      <c r="H3946" s="52" t="str">
        <f>IF(AND(I.Compliance.FulfilledCCUS&gt;0,I.CCUS.RangeCount&gt;=874,F3946=""),"Incomplete","Complete")</f>
        <v>Complete</v>
      </c>
      <c r="I3946" s="55" t="s">
        <v>4143</v>
      </c>
    </row>
    <row r="3947" spans="2:9" ht="15" customHeight="1" x14ac:dyDescent="0.25">
      <c r="B3947" s="51" t="s">
        <v>127</v>
      </c>
      <c r="C3947" s="52">
        <v>875</v>
      </c>
      <c r="D3947" s="53" t="s">
        <v>4330</v>
      </c>
      <c r="E3947" s="54"/>
      <c r="F3947" s="52" t="str">
        <f>IF(INDEX(I.CCUS.EndRange,875)="","",INDEX(I.CCUS.EndRange,875))</f>
        <v/>
      </c>
      <c r="G3947" s="54"/>
      <c r="H3947" s="52" t="str">
        <f>IF(AND(I.Compliance.FulfilledCCUS&gt;0,I.CCUS.RangeCount&gt;=875,F3947=""),"Incomplete","Complete")</f>
        <v>Complete</v>
      </c>
      <c r="I3947" s="55" t="s">
        <v>4144</v>
      </c>
    </row>
    <row r="3948" spans="2:9" ht="15" customHeight="1" x14ac:dyDescent="0.25">
      <c r="B3948" s="51" t="s">
        <v>127</v>
      </c>
      <c r="C3948" s="52">
        <v>876</v>
      </c>
      <c r="D3948" s="53" t="s">
        <v>4330</v>
      </c>
      <c r="E3948" s="54"/>
      <c r="F3948" s="52" t="str">
        <f>IF(INDEX(I.CCUS.EndRange,876)="","",INDEX(I.CCUS.EndRange,876))</f>
        <v/>
      </c>
      <c r="G3948" s="54"/>
      <c r="H3948" s="52" t="str">
        <f>IF(AND(I.Compliance.FulfilledCCUS&gt;0,I.CCUS.RangeCount&gt;=876,F3948=""),"Incomplete","Complete")</f>
        <v>Complete</v>
      </c>
      <c r="I3948" s="55" t="s">
        <v>4145</v>
      </c>
    </row>
    <row r="3949" spans="2:9" ht="15" customHeight="1" x14ac:dyDescent="0.25">
      <c r="B3949" s="51" t="s">
        <v>127</v>
      </c>
      <c r="C3949" s="52">
        <v>877</v>
      </c>
      <c r="D3949" s="53" t="s">
        <v>4330</v>
      </c>
      <c r="E3949" s="54"/>
      <c r="F3949" s="52" t="str">
        <f>IF(INDEX(I.CCUS.EndRange,877)="","",INDEX(I.CCUS.EndRange,877))</f>
        <v/>
      </c>
      <c r="G3949" s="54"/>
      <c r="H3949" s="52" t="str">
        <f>IF(AND(I.Compliance.FulfilledCCUS&gt;0,I.CCUS.RangeCount&gt;=877,F3949=""),"Incomplete","Complete")</f>
        <v>Complete</v>
      </c>
      <c r="I3949" s="55" t="s">
        <v>4146</v>
      </c>
    </row>
    <row r="3950" spans="2:9" ht="15" customHeight="1" x14ac:dyDescent="0.25">
      <c r="B3950" s="51" t="s">
        <v>127</v>
      </c>
      <c r="C3950" s="52">
        <v>878</v>
      </c>
      <c r="D3950" s="53" t="s">
        <v>4330</v>
      </c>
      <c r="E3950" s="54"/>
      <c r="F3950" s="52" t="str">
        <f>IF(INDEX(I.CCUS.EndRange,878)="","",INDEX(I.CCUS.EndRange,878))</f>
        <v/>
      </c>
      <c r="G3950" s="54"/>
      <c r="H3950" s="52" t="str">
        <f>IF(AND(I.Compliance.FulfilledCCUS&gt;0,I.CCUS.RangeCount&gt;=878,F3950=""),"Incomplete","Complete")</f>
        <v>Complete</v>
      </c>
      <c r="I3950" s="55" t="s">
        <v>4147</v>
      </c>
    </row>
    <row r="3951" spans="2:9" ht="15" customHeight="1" x14ac:dyDescent="0.25">
      <c r="B3951" s="51" t="s">
        <v>127</v>
      </c>
      <c r="C3951" s="52">
        <v>879</v>
      </c>
      <c r="D3951" s="53" t="s">
        <v>4330</v>
      </c>
      <c r="E3951" s="54"/>
      <c r="F3951" s="52" t="str">
        <f>IF(INDEX(I.CCUS.EndRange,879)="","",INDEX(I.CCUS.EndRange,879))</f>
        <v/>
      </c>
      <c r="G3951" s="54"/>
      <c r="H3951" s="52" t="str">
        <f>IF(AND(I.Compliance.FulfilledCCUS&gt;0,I.CCUS.RangeCount&gt;=879,F3951=""),"Incomplete","Complete")</f>
        <v>Complete</v>
      </c>
      <c r="I3951" s="55" t="s">
        <v>4148</v>
      </c>
    </row>
    <row r="3952" spans="2:9" ht="15" customHeight="1" x14ac:dyDescent="0.25">
      <c r="B3952" s="51" t="s">
        <v>127</v>
      </c>
      <c r="C3952" s="52">
        <v>880</v>
      </c>
      <c r="D3952" s="53" t="s">
        <v>4330</v>
      </c>
      <c r="E3952" s="54"/>
      <c r="F3952" s="52" t="str">
        <f>IF(INDEX(I.CCUS.EndRange,880)="","",INDEX(I.CCUS.EndRange,880))</f>
        <v/>
      </c>
      <c r="G3952" s="54"/>
      <c r="H3952" s="52" t="str">
        <f>IF(AND(I.Compliance.FulfilledCCUS&gt;0,I.CCUS.RangeCount&gt;=880,F3952=""),"Incomplete","Complete")</f>
        <v>Complete</v>
      </c>
      <c r="I3952" s="55" t="s">
        <v>4149</v>
      </c>
    </row>
    <row r="3953" spans="2:9" ht="15" customHeight="1" x14ac:dyDescent="0.25">
      <c r="B3953" s="51" t="s">
        <v>127</v>
      </c>
      <c r="C3953" s="52">
        <v>881</v>
      </c>
      <c r="D3953" s="53" t="s">
        <v>4330</v>
      </c>
      <c r="E3953" s="54"/>
      <c r="F3953" s="52" t="str">
        <f>IF(INDEX(I.CCUS.EndRange,881)="","",INDEX(I.CCUS.EndRange,881))</f>
        <v/>
      </c>
      <c r="G3953" s="54"/>
      <c r="H3953" s="52" t="str">
        <f>IF(AND(I.Compliance.FulfilledCCUS&gt;0,I.CCUS.RangeCount&gt;=881,F3953=""),"Incomplete","Complete")</f>
        <v>Complete</v>
      </c>
      <c r="I3953" s="55" t="s">
        <v>4150</v>
      </c>
    </row>
    <row r="3954" spans="2:9" ht="15" customHeight="1" x14ac:dyDescent="0.25">
      <c r="B3954" s="51" t="s">
        <v>127</v>
      </c>
      <c r="C3954" s="52">
        <v>882</v>
      </c>
      <c r="D3954" s="53" t="s">
        <v>4330</v>
      </c>
      <c r="E3954" s="54"/>
      <c r="F3954" s="52" t="str">
        <f>IF(INDEX(I.CCUS.EndRange,882)="","",INDEX(I.CCUS.EndRange,882))</f>
        <v/>
      </c>
      <c r="G3954" s="54"/>
      <c r="H3954" s="52" t="str">
        <f>IF(AND(I.Compliance.FulfilledCCUS&gt;0,I.CCUS.RangeCount&gt;=882,F3954=""),"Incomplete","Complete")</f>
        <v>Complete</v>
      </c>
      <c r="I3954" s="55" t="s">
        <v>4151</v>
      </c>
    </row>
    <row r="3955" spans="2:9" ht="15" customHeight="1" x14ac:dyDescent="0.25">
      <c r="B3955" s="51" t="s">
        <v>127</v>
      </c>
      <c r="C3955" s="52">
        <v>883</v>
      </c>
      <c r="D3955" s="53" t="s">
        <v>4330</v>
      </c>
      <c r="E3955" s="54"/>
      <c r="F3955" s="52" t="str">
        <f>IF(INDEX(I.CCUS.EndRange,883)="","",INDEX(I.CCUS.EndRange,883))</f>
        <v/>
      </c>
      <c r="G3955" s="54"/>
      <c r="H3955" s="52" t="str">
        <f>IF(AND(I.Compliance.FulfilledCCUS&gt;0,I.CCUS.RangeCount&gt;=883,F3955=""),"Incomplete","Complete")</f>
        <v>Complete</v>
      </c>
      <c r="I3955" s="55" t="s">
        <v>4152</v>
      </c>
    </row>
    <row r="3956" spans="2:9" ht="15" customHeight="1" x14ac:dyDescent="0.25">
      <c r="B3956" s="51" t="s">
        <v>127</v>
      </c>
      <c r="C3956" s="52">
        <v>884</v>
      </c>
      <c r="D3956" s="53" t="s">
        <v>4330</v>
      </c>
      <c r="E3956" s="54"/>
      <c r="F3956" s="52" t="str">
        <f>IF(INDEX(I.CCUS.EndRange,884)="","",INDEX(I.CCUS.EndRange,884))</f>
        <v/>
      </c>
      <c r="G3956" s="54"/>
      <c r="H3956" s="52" t="str">
        <f>IF(AND(I.Compliance.FulfilledCCUS&gt;0,I.CCUS.RangeCount&gt;=884,F3956=""),"Incomplete","Complete")</f>
        <v>Complete</v>
      </c>
      <c r="I3956" s="55" t="s">
        <v>4153</v>
      </c>
    </row>
    <row r="3957" spans="2:9" ht="15" customHeight="1" x14ac:dyDescent="0.25">
      <c r="B3957" s="51" t="s">
        <v>127</v>
      </c>
      <c r="C3957" s="52">
        <v>885</v>
      </c>
      <c r="D3957" s="53" t="s">
        <v>4330</v>
      </c>
      <c r="E3957" s="54"/>
      <c r="F3957" s="52" t="str">
        <f>IF(INDEX(I.CCUS.EndRange,885)="","",INDEX(I.CCUS.EndRange,885))</f>
        <v/>
      </c>
      <c r="G3957" s="54"/>
      <c r="H3957" s="52" t="str">
        <f>IF(AND(I.Compliance.FulfilledCCUS&gt;0,I.CCUS.RangeCount&gt;=885,F3957=""),"Incomplete","Complete")</f>
        <v>Complete</v>
      </c>
      <c r="I3957" s="55" t="s">
        <v>4154</v>
      </c>
    </row>
    <row r="3958" spans="2:9" ht="15" customHeight="1" x14ac:dyDescent="0.25">
      <c r="B3958" s="51" t="s">
        <v>127</v>
      </c>
      <c r="C3958" s="52">
        <v>886</v>
      </c>
      <c r="D3958" s="53" t="s">
        <v>4330</v>
      </c>
      <c r="E3958" s="54"/>
      <c r="F3958" s="52" t="str">
        <f>IF(INDEX(I.CCUS.EndRange,886)="","",INDEX(I.CCUS.EndRange,886))</f>
        <v/>
      </c>
      <c r="G3958" s="54"/>
      <c r="H3958" s="52" t="str">
        <f>IF(AND(I.Compliance.FulfilledCCUS&gt;0,I.CCUS.RangeCount&gt;=886,F3958=""),"Incomplete","Complete")</f>
        <v>Complete</v>
      </c>
      <c r="I3958" s="55" t="s">
        <v>4155</v>
      </c>
    </row>
    <row r="3959" spans="2:9" ht="15" customHeight="1" x14ac:dyDescent="0.25">
      <c r="B3959" s="51" t="s">
        <v>127</v>
      </c>
      <c r="C3959" s="52">
        <v>887</v>
      </c>
      <c r="D3959" s="53" t="s">
        <v>4330</v>
      </c>
      <c r="E3959" s="54"/>
      <c r="F3959" s="52" t="str">
        <f>IF(INDEX(I.CCUS.EndRange,887)="","",INDEX(I.CCUS.EndRange,887))</f>
        <v/>
      </c>
      <c r="G3959" s="54"/>
      <c r="H3959" s="52" t="str">
        <f>IF(AND(I.Compliance.FulfilledCCUS&gt;0,I.CCUS.RangeCount&gt;=887,F3959=""),"Incomplete","Complete")</f>
        <v>Complete</v>
      </c>
      <c r="I3959" s="55" t="s">
        <v>4156</v>
      </c>
    </row>
    <row r="3960" spans="2:9" ht="15" customHeight="1" x14ac:dyDescent="0.25">
      <c r="B3960" s="51" t="s">
        <v>127</v>
      </c>
      <c r="C3960" s="52">
        <v>888</v>
      </c>
      <c r="D3960" s="53" t="s">
        <v>4330</v>
      </c>
      <c r="E3960" s="54"/>
      <c r="F3960" s="52" t="str">
        <f>IF(INDEX(I.CCUS.EndRange,888)="","",INDEX(I.CCUS.EndRange,888))</f>
        <v/>
      </c>
      <c r="G3960" s="54"/>
      <c r="H3960" s="52" t="str">
        <f>IF(AND(I.Compliance.FulfilledCCUS&gt;0,I.CCUS.RangeCount&gt;=888,F3960=""),"Incomplete","Complete")</f>
        <v>Complete</v>
      </c>
      <c r="I3960" s="55" t="s">
        <v>4157</v>
      </c>
    </row>
    <row r="3961" spans="2:9" ht="15" customHeight="1" x14ac:dyDescent="0.25">
      <c r="B3961" s="51" t="s">
        <v>127</v>
      </c>
      <c r="C3961" s="52">
        <v>889</v>
      </c>
      <c r="D3961" s="53" t="s">
        <v>4330</v>
      </c>
      <c r="E3961" s="54"/>
      <c r="F3961" s="52" t="str">
        <f>IF(INDEX(I.CCUS.EndRange,889)="","",INDEX(I.CCUS.EndRange,889))</f>
        <v/>
      </c>
      <c r="G3961" s="54"/>
      <c r="H3961" s="52" t="str">
        <f>IF(AND(I.Compliance.FulfilledCCUS&gt;0,I.CCUS.RangeCount&gt;=889,F3961=""),"Incomplete","Complete")</f>
        <v>Complete</v>
      </c>
      <c r="I3961" s="55" t="s">
        <v>4158</v>
      </c>
    </row>
    <row r="3962" spans="2:9" ht="15" customHeight="1" x14ac:dyDescent="0.25">
      <c r="B3962" s="51" t="s">
        <v>127</v>
      </c>
      <c r="C3962" s="52">
        <v>890</v>
      </c>
      <c r="D3962" s="53" t="s">
        <v>4330</v>
      </c>
      <c r="E3962" s="54"/>
      <c r="F3962" s="52" t="str">
        <f>IF(INDEX(I.CCUS.EndRange,890)="","",INDEX(I.CCUS.EndRange,890))</f>
        <v/>
      </c>
      <c r="G3962" s="54"/>
      <c r="H3962" s="52" t="str">
        <f>IF(AND(I.Compliance.FulfilledCCUS&gt;0,I.CCUS.RangeCount&gt;=890,F3962=""),"Incomplete","Complete")</f>
        <v>Complete</v>
      </c>
      <c r="I3962" s="55" t="s">
        <v>4159</v>
      </c>
    </row>
    <row r="3963" spans="2:9" ht="15" customHeight="1" x14ac:dyDescent="0.25">
      <c r="B3963" s="51" t="s">
        <v>127</v>
      </c>
      <c r="C3963" s="52">
        <v>891</v>
      </c>
      <c r="D3963" s="53" t="s">
        <v>4330</v>
      </c>
      <c r="E3963" s="54"/>
      <c r="F3963" s="52" t="str">
        <f>IF(INDEX(I.CCUS.EndRange,891)="","",INDEX(I.CCUS.EndRange,891))</f>
        <v/>
      </c>
      <c r="G3963" s="54"/>
      <c r="H3963" s="52" t="str">
        <f>IF(AND(I.Compliance.FulfilledCCUS&gt;0,I.CCUS.RangeCount&gt;=891,F3963=""),"Incomplete","Complete")</f>
        <v>Complete</v>
      </c>
      <c r="I3963" s="55" t="s">
        <v>4160</v>
      </c>
    </row>
    <row r="3964" spans="2:9" ht="15" customHeight="1" x14ac:dyDescent="0.25">
      <c r="B3964" s="51" t="s">
        <v>127</v>
      </c>
      <c r="C3964" s="52">
        <v>892</v>
      </c>
      <c r="D3964" s="53" t="s">
        <v>4330</v>
      </c>
      <c r="E3964" s="54"/>
      <c r="F3964" s="52" t="str">
        <f>IF(INDEX(I.CCUS.EndRange,892)="","",INDEX(I.CCUS.EndRange,892))</f>
        <v/>
      </c>
      <c r="G3964" s="54"/>
      <c r="H3964" s="52" t="str">
        <f>IF(AND(I.Compliance.FulfilledCCUS&gt;0,I.CCUS.RangeCount&gt;=892,F3964=""),"Incomplete","Complete")</f>
        <v>Complete</v>
      </c>
      <c r="I3964" s="55" t="s">
        <v>4161</v>
      </c>
    </row>
    <row r="3965" spans="2:9" ht="15" customHeight="1" x14ac:dyDescent="0.25">
      <c r="B3965" s="51" t="s">
        <v>127</v>
      </c>
      <c r="C3965" s="52">
        <v>893</v>
      </c>
      <c r="D3965" s="53" t="s">
        <v>4330</v>
      </c>
      <c r="E3965" s="54"/>
      <c r="F3965" s="52" t="str">
        <f>IF(INDEX(I.CCUS.EndRange,893)="","",INDEX(I.CCUS.EndRange,893))</f>
        <v/>
      </c>
      <c r="G3965" s="54"/>
      <c r="H3965" s="52" t="str">
        <f>IF(AND(I.Compliance.FulfilledCCUS&gt;0,I.CCUS.RangeCount&gt;=893,F3965=""),"Incomplete","Complete")</f>
        <v>Complete</v>
      </c>
      <c r="I3965" s="55" t="s">
        <v>4162</v>
      </c>
    </row>
    <row r="3966" spans="2:9" ht="15" customHeight="1" x14ac:dyDescent="0.25">
      <c r="B3966" s="51" t="s">
        <v>127</v>
      </c>
      <c r="C3966" s="52">
        <v>894</v>
      </c>
      <c r="D3966" s="53" t="s">
        <v>4330</v>
      </c>
      <c r="E3966" s="54"/>
      <c r="F3966" s="52" t="str">
        <f>IF(INDEX(I.CCUS.EndRange,894)="","",INDEX(I.CCUS.EndRange,894))</f>
        <v/>
      </c>
      <c r="G3966" s="54"/>
      <c r="H3966" s="52" t="str">
        <f>IF(AND(I.Compliance.FulfilledCCUS&gt;0,I.CCUS.RangeCount&gt;=894,F3966=""),"Incomplete","Complete")</f>
        <v>Complete</v>
      </c>
      <c r="I3966" s="55" t="s">
        <v>4163</v>
      </c>
    </row>
    <row r="3967" spans="2:9" ht="15" customHeight="1" x14ac:dyDescent="0.25">
      <c r="B3967" s="51" t="s">
        <v>127</v>
      </c>
      <c r="C3967" s="52">
        <v>895</v>
      </c>
      <c r="D3967" s="53" t="s">
        <v>4330</v>
      </c>
      <c r="E3967" s="54"/>
      <c r="F3967" s="52" t="str">
        <f>IF(INDEX(I.CCUS.EndRange,895)="","",INDEX(I.CCUS.EndRange,895))</f>
        <v/>
      </c>
      <c r="G3967" s="54"/>
      <c r="H3967" s="52" t="str">
        <f>IF(AND(I.Compliance.FulfilledCCUS&gt;0,I.CCUS.RangeCount&gt;=895,F3967=""),"Incomplete","Complete")</f>
        <v>Complete</v>
      </c>
      <c r="I3967" s="55" t="s">
        <v>4164</v>
      </c>
    </row>
    <row r="3968" spans="2:9" ht="15" customHeight="1" x14ac:dyDescent="0.25">
      <c r="B3968" s="51" t="s">
        <v>127</v>
      </c>
      <c r="C3968" s="52">
        <v>896</v>
      </c>
      <c r="D3968" s="53" t="s">
        <v>4330</v>
      </c>
      <c r="E3968" s="54"/>
      <c r="F3968" s="52" t="str">
        <f>IF(INDEX(I.CCUS.EndRange,896)="","",INDEX(I.CCUS.EndRange,896))</f>
        <v/>
      </c>
      <c r="G3968" s="54"/>
      <c r="H3968" s="52" t="str">
        <f>IF(AND(I.Compliance.FulfilledCCUS&gt;0,I.CCUS.RangeCount&gt;=896,F3968=""),"Incomplete","Complete")</f>
        <v>Complete</v>
      </c>
      <c r="I3968" s="55" t="s">
        <v>4165</v>
      </c>
    </row>
    <row r="3969" spans="2:9" ht="15" customHeight="1" x14ac:dyDescent="0.25">
      <c r="B3969" s="51" t="s">
        <v>127</v>
      </c>
      <c r="C3969" s="52">
        <v>897</v>
      </c>
      <c r="D3969" s="53" t="s">
        <v>4330</v>
      </c>
      <c r="E3969" s="54"/>
      <c r="F3969" s="52" t="str">
        <f>IF(INDEX(I.CCUS.EndRange,897)="","",INDEX(I.CCUS.EndRange,897))</f>
        <v/>
      </c>
      <c r="G3969" s="54"/>
      <c r="H3969" s="52" t="str">
        <f>IF(AND(I.Compliance.FulfilledCCUS&gt;0,I.CCUS.RangeCount&gt;=897,F3969=""),"Incomplete","Complete")</f>
        <v>Complete</v>
      </c>
      <c r="I3969" s="55" t="s">
        <v>4166</v>
      </c>
    </row>
    <row r="3970" spans="2:9" ht="15" customHeight="1" x14ac:dyDescent="0.25">
      <c r="B3970" s="51" t="s">
        <v>127</v>
      </c>
      <c r="C3970" s="52">
        <v>898</v>
      </c>
      <c r="D3970" s="53" t="s">
        <v>4330</v>
      </c>
      <c r="E3970" s="54"/>
      <c r="F3970" s="52" t="str">
        <f>IF(INDEX(I.CCUS.EndRange,898)="","",INDEX(I.CCUS.EndRange,898))</f>
        <v/>
      </c>
      <c r="G3970" s="54"/>
      <c r="H3970" s="52" t="str">
        <f>IF(AND(I.Compliance.FulfilledCCUS&gt;0,I.CCUS.RangeCount&gt;=898,F3970=""),"Incomplete","Complete")</f>
        <v>Complete</v>
      </c>
      <c r="I3970" s="55" t="s">
        <v>4167</v>
      </c>
    </row>
    <row r="3971" spans="2:9" ht="15" customHeight="1" x14ac:dyDescent="0.25">
      <c r="B3971" s="51" t="s">
        <v>127</v>
      </c>
      <c r="C3971" s="52">
        <v>899</v>
      </c>
      <c r="D3971" s="53" t="s">
        <v>4330</v>
      </c>
      <c r="E3971" s="54"/>
      <c r="F3971" s="52" t="str">
        <f>IF(INDEX(I.CCUS.EndRange,899)="","",INDEX(I.CCUS.EndRange,899))</f>
        <v/>
      </c>
      <c r="G3971" s="54"/>
      <c r="H3971" s="52" t="str">
        <f>IF(AND(I.Compliance.FulfilledCCUS&gt;0,I.CCUS.RangeCount&gt;=899,F3971=""),"Incomplete","Complete")</f>
        <v>Complete</v>
      </c>
      <c r="I3971" s="55" t="s">
        <v>4168</v>
      </c>
    </row>
    <row r="3972" spans="2:9" ht="15" customHeight="1" x14ac:dyDescent="0.25">
      <c r="B3972" s="51" t="s">
        <v>127</v>
      </c>
      <c r="C3972" s="52">
        <v>900</v>
      </c>
      <c r="D3972" s="53" t="s">
        <v>4330</v>
      </c>
      <c r="E3972" s="54"/>
      <c r="F3972" s="52" t="str">
        <f>IF(INDEX(I.CCUS.EndRange,900)="","",INDEX(I.CCUS.EndRange,900))</f>
        <v/>
      </c>
      <c r="G3972" s="54"/>
      <c r="H3972" s="52" t="str">
        <f>IF(AND(I.Compliance.FulfilledCCUS&gt;0,I.CCUS.RangeCount&gt;=900,F3972=""),"Incomplete","Complete")</f>
        <v>Complete</v>
      </c>
      <c r="I3972" s="55" t="s">
        <v>4169</v>
      </c>
    </row>
    <row r="3973" spans="2:9" ht="15" customHeight="1" x14ac:dyDescent="0.25">
      <c r="B3973" s="51" t="s">
        <v>127</v>
      </c>
      <c r="C3973" s="52">
        <v>901</v>
      </c>
      <c r="D3973" s="53" t="s">
        <v>4330</v>
      </c>
      <c r="E3973" s="54"/>
      <c r="F3973" s="52" t="str">
        <f>IF(INDEX(I.CCUS.EndRange,901)="","",INDEX(I.CCUS.EndRange,901))</f>
        <v/>
      </c>
      <c r="G3973" s="54"/>
      <c r="H3973" s="52" t="str">
        <f>IF(AND(I.Compliance.FulfilledCCUS&gt;0,I.CCUS.RangeCount&gt;=901,F3973=""),"Incomplete","Complete")</f>
        <v>Complete</v>
      </c>
      <c r="I3973" s="55" t="s">
        <v>4170</v>
      </c>
    </row>
    <row r="3974" spans="2:9" ht="15" customHeight="1" x14ac:dyDescent="0.25">
      <c r="B3974" s="51" t="s">
        <v>127</v>
      </c>
      <c r="C3974" s="52">
        <v>902</v>
      </c>
      <c r="D3974" s="53" t="s">
        <v>4330</v>
      </c>
      <c r="E3974" s="54"/>
      <c r="F3974" s="52" t="str">
        <f>IF(INDEX(I.CCUS.EndRange,902)="","",INDEX(I.CCUS.EndRange,902))</f>
        <v/>
      </c>
      <c r="G3974" s="54"/>
      <c r="H3974" s="52" t="str">
        <f>IF(AND(I.Compliance.FulfilledCCUS&gt;0,I.CCUS.RangeCount&gt;=902,F3974=""),"Incomplete","Complete")</f>
        <v>Complete</v>
      </c>
      <c r="I3974" s="55" t="s">
        <v>4171</v>
      </c>
    </row>
    <row r="3975" spans="2:9" ht="15" customHeight="1" x14ac:dyDescent="0.25">
      <c r="B3975" s="51" t="s">
        <v>127</v>
      </c>
      <c r="C3975" s="52">
        <v>903</v>
      </c>
      <c r="D3975" s="53" t="s">
        <v>4330</v>
      </c>
      <c r="E3975" s="54"/>
      <c r="F3975" s="52" t="str">
        <f>IF(INDEX(I.CCUS.EndRange,903)="","",INDEX(I.CCUS.EndRange,903))</f>
        <v/>
      </c>
      <c r="G3975" s="54"/>
      <c r="H3975" s="52" t="str">
        <f>IF(AND(I.Compliance.FulfilledCCUS&gt;0,I.CCUS.RangeCount&gt;=903,F3975=""),"Incomplete","Complete")</f>
        <v>Complete</v>
      </c>
      <c r="I3975" s="55" t="s">
        <v>4172</v>
      </c>
    </row>
    <row r="3976" spans="2:9" ht="15" customHeight="1" x14ac:dyDescent="0.25">
      <c r="B3976" s="51" t="s">
        <v>127</v>
      </c>
      <c r="C3976" s="52">
        <v>904</v>
      </c>
      <c r="D3976" s="53" t="s">
        <v>4330</v>
      </c>
      <c r="E3976" s="54"/>
      <c r="F3976" s="52" t="str">
        <f>IF(INDEX(I.CCUS.EndRange,904)="","",INDEX(I.CCUS.EndRange,904))</f>
        <v/>
      </c>
      <c r="G3976" s="54"/>
      <c r="H3976" s="52" t="str">
        <f>IF(AND(I.Compliance.FulfilledCCUS&gt;0,I.CCUS.RangeCount&gt;=904,F3976=""),"Incomplete","Complete")</f>
        <v>Complete</v>
      </c>
      <c r="I3976" s="55" t="s">
        <v>4173</v>
      </c>
    </row>
    <row r="3977" spans="2:9" ht="15" customHeight="1" x14ac:dyDescent="0.25">
      <c r="B3977" s="51" t="s">
        <v>127</v>
      </c>
      <c r="C3977" s="52">
        <v>905</v>
      </c>
      <c r="D3977" s="53" t="s">
        <v>4330</v>
      </c>
      <c r="E3977" s="54"/>
      <c r="F3977" s="52" t="str">
        <f>IF(INDEX(I.CCUS.EndRange,905)="","",INDEX(I.CCUS.EndRange,905))</f>
        <v/>
      </c>
      <c r="G3977" s="54"/>
      <c r="H3977" s="52" t="str">
        <f>IF(AND(I.Compliance.FulfilledCCUS&gt;0,I.CCUS.RangeCount&gt;=905,F3977=""),"Incomplete","Complete")</f>
        <v>Complete</v>
      </c>
      <c r="I3977" s="55" t="s">
        <v>4174</v>
      </c>
    </row>
    <row r="3978" spans="2:9" ht="15" customHeight="1" x14ac:dyDescent="0.25">
      <c r="B3978" s="51" t="s">
        <v>127</v>
      </c>
      <c r="C3978" s="52">
        <v>906</v>
      </c>
      <c r="D3978" s="53" t="s">
        <v>4330</v>
      </c>
      <c r="E3978" s="54"/>
      <c r="F3978" s="52" t="str">
        <f>IF(INDEX(I.CCUS.EndRange,906)="","",INDEX(I.CCUS.EndRange,906))</f>
        <v/>
      </c>
      <c r="G3978" s="54"/>
      <c r="H3978" s="52" t="str">
        <f>IF(AND(I.Compliance.FulfilledCCUS&gt;0,I.CCUS.RangeCount&gt;=906,F3978=""),"Incomplete","Complete")</f>
        <v>Complete</v>
      </c>
      <c r="I3978" s="55" t="s">
        <v>4175</v>
      </c>
    </row>
    <row r="3979" spans="2:9" ht="15" customHeight="1" x14ac:dyDescent="0.25">
      <c r="B3979" s="51" t="s">
        <v>127</v>
      </c>
      <c r="C3979" s="52">
        <v>907</v>
      </c>
      <c r="D3979" s="53" t="s">
        <v>4330</v>
      </c>
      <c r="E3979" s="54"/>
      <c r="F3979" s="52" t="str">
        <f>IF(INDEX(I.CCUS.EndRange,907)="","",INDEX(I.CCUS.EndRange,907))</f>
        <v/>
      </c>
      <c r="G3979" s="54"/>
      <c r="H3979" s="52" t="str">
        <f>IF(AND(I.Compliance.FulfilledCCUS&gt;0,I.CCUS.RangeCount&gt;=907,F3979=""),"Incomplete","Complete")</f>
        <v>Complete</v>
      </c>
      <c r="I3979" s="55" t="s">
        <v>4176</v>
      </c>
    </row>
    <row r="3980" spans="2:9" ht="15" customHeight="1" x14ac:dyDescent="0.25">
      <c r="B3980" s="51" t="s">
        <v>127</v>
      </c>
      <c r="C3980" s="52">
        <v>908</v>
      </c>
      <c r="D3980" s="53" t="s">
        <v>4330</v>
      </c>
      <c r="E3980" s="54"/>
      <c r="F3980" s="52" t="str">
        <f>IF(INDEX(I.CCUS.EndRange,908)="","",INDEX(I.CCUS.EndRange,908))</f>
        <v/>
      </c>
      <c r="G3980" s="54"/>
      <c r="H3980" s="52" t="str">
        <f>IF(AND(I.Compliance.FulfilledCCUS&gt;0,I.CCUS.RangeCount&gt;=908,F3980=""),"Incomplete","Complete")</f>
        <v>Complete</v>
      </c>
      <c r="I3980" s="55" t="s">
        <v>4177</v>
      </c>
    </row>
    <row r="3981" spans="2:9" ht="15" customHeight="1" x14ac:dyDescent="0.25">
      <c r="B3981" s="51" t="s">
        <v>127</v>
      </c>
      <c r="C3981" s="52">
        <v>909</v>
      </c>
      <c r="D3981" s="53" t="s">
        <v>4330</v>
      </c>
      <c r="E3981" s="54"/>
      <c r="F3981" s="52" t="str">
        <f>IF(INDEX(I.CCUS.EndRange,909)="","",INDEX(I.CCUS.EndRange,909))</f>
        <v/>
      </c>
      <c r="G3981" s="54"/>
      <c r="H3981" s="52" t="str">
        <f>IF(AND(I.Compliance.FulfilledCCUS&gt;0,I.CCUS.RangeCount&gt;=909,F3981=""),"Incomplete","Complete")</f>
        <v>Complete</v>
      </c>
      <c r="I3981" s="55" t="s">
        <v>4178</v>
      </c>
    </row>
    <row r="3982" spans="2:9" ht="15" customHeight="1" x14ac:dyDescent="0.25">
      <c r="B3982" s="51" t="s">
        <v>127</v>
      </c>
      <c r="C3982" s="52">
        <v>910</v>
      </c>
      <c r="D3982" s="53" t="s">
        <v>4330</v>
      </c>
      <c r="E3982" s="54"/>
      <c r="F3982" s="52" t="str">
        <f>IF(INDEX(I.CCUS.EndRange,910)="","",INDEX(I.CCUS.EndRange,910))</f>
        <v/>
      </c>
      <c r="G3982" s="54"/>
      <c r="H3982" s="52" t="str">
        <f>IF(AND(I.Compliance.FulfilledCCUS&gt;0,I.CCUS.RangeCount&gt;=910,F3982=""),"Incomplete","Complete")</f>
        <v>Complete</v>
      </c>
      <c r="I3982" s="55" t="s">
        <v>4179</v>
      </c>
    </row>
    <row r="3983" spans="2:9" ht="15" customHeight="1" x14ac:dyDescent="0.25">
      <c r="B3983" s="51" t="s">
        <v>127</v>
      </c>
      <c r="C3983" s="52">
        <v>911</v>
      </c>
      <c r="D3983" s="53" t="s">
        <v>4330</v>
      </c>
      <c r="E3983" s="54"/>
      <c r="F3983" s="52" t="str">
        <f>IF(INDEX(I.CCUS.EndRange,911)="","",INDEX(I.CCUS.EndRange,911))</f>
        <v/>
      </c>
      <c r="G3983" s="54"/>
      <c r="H3983" s="52" t="str">
        <f>IF(AND(I.Compliance.FulfilledCCUS&gt;0,I.CCUS.RangeCount&gt;=911,F3983=""),"Incomplete","Complete")</f>
        <v>Complete</v>
      </c>
      <c r="I3983" s="55" t="s">
        <v>4180</v>
      </c>
    </row>
    <row r="3984" spans="2:9" ht="15" customHeight="1" x14ac:dyDescent="0.25">
      <c r="B3984" s="51" t="s">
        <v>127</v>
      </c>
      <c r="C3984" s="52">
        <v>912</v>
      </c>
      <c r="D3984" s="53" t="s">
        <v>4330</v>
      </c>
      <c r="E3984" s="54"/>
      <c r="F3984" s="52" t="str">
        <f>IF(INDEX(I.CCUS.EndRange,912)="","",INDEX(I.CCUS.EndRange,912))</f>
        <v/>
      </c>
      <c r="G3984" s="54"/>
      <c r="H3984" s="52" t="str">
        <f>IF(AND(I.Compliance.FulfilledCCUS&gt;0,I.CCUS.RangeCount&gt;=912,F3984=""),"Incomplete","Complete")</f>
        <v>Complete</v>
      </c>
      <c r="I3984" s="55" t="s">
        <v>4181</v>
      </c>
    </row>
    <row r="3985" spans="2:9" ht="15" customHeight="1" x14ac:dyDescent="0.25">
      <c r="B3985" s="51" t="s">
        <v>127</v>
      </c>
      <c r="C3985" s="52">
        <v>913</v>
      </c>
      <c r="D3985" s="53" t="s">
        <v>4330</v>
      </c>
      <c r="E3985" s="54"/>
      <c r="F3985" s="52" t="str">
        <f>IF(INDEX(I.CCUS.EndRange,913)="","",INDEX(I.CCUS.EndRange,913))</f>
        <v/>
      </c>
      <c r="G3985" s="54"/>
      <c r="H3985" s="52" t="str">
        <f>IF(AND(I.Compliance.FulfilledCCUS&gt;0,I.CCUS.RangeCount&gt;=913,F3985=""),"Incomplete","Complete")</f>
        <v>Complete</v>
      </c>
      <c r="I3985" s="55" t="s">
        <v>4182</v>
      </c>
    </row>
    <row r="3986" spans="2:9" ht="15" customHeight="1" x14ac:dyDescent="0.25">
      <c r="B3986" s="51" t="s">
        <v>127</v>
      </c>
      <c r="C3986" s="52">
        <v>914</v>
      </c>
      <c r="D3986" s="53" t="s">
        <v>4330</v>
      </c>
      <c r="E3986" s="54"/>
      <c r="F3986" s="52" t="str">
        <f>IF(INDEX(I.CCUS.EndRange,914)="","",INDEX(I.CCUS.EndRange,914))</f>
        <v/>
      </c>
      <c r="G3986" s="54"/>
      <c r="H3986" s="52" t="str">
        <f>IF(AND(I.Compliance.FulfilledCCUS&gt;0,I.CCUS.RangeCount&gt;=914,F3986=""),"Incomplete","Complete")</f>
        <v>Complete</v>
      </c>
      <c r="I3986" s="55" t="s">
        <v>4183</v>
      </c>
    </row>
    <row r="3987" spans="2:9" ht="15" customHeight="1" x14ac:dyDescent="0.25">
      <c r="B3987" s="51" t="s">
        <v>127</v>
      </c>
      <c r="C3987" s="52">
        <v>915</v>
      </c>
      <c r="D3987" s="53" t="s">
        <v>4330</v>
      </c>
      <c r="E3987" s="54"/>
      <c r="F3987" s="52" t="str">
        <f>IF(INDEX(I.CCUS.EndRange,915)="","",INDEX(I.CCUS.EndRange,915))</f>
        <v/>
      </c>
      <c r="G3987" s="54"/>
      <c r="H3987" s="52" t="str">
        <f>IF(AND(I.Compliance.FulfilledCCUS&gt;0,I.CCUS.RangeCount&gt;=915,F3987=""),"Incomplete","Complete")</f>
        <v>Complete</v>
      </c>
      <c r="I3987" s="55" t="s">
        <v>4184</v>
      </c>
    </row>
    <row r="3988" spans="2:9" ht="15" customHeight="1" x14ac:dyDescent="0.25">
      <c r="B3988" s="51" t="s">
        <v>127</v>
      </c>
      <c r="C3988" s="52">
        <v>916</v>
      </c>
      <c r="D3988" s="53" t="s">
        <v>4330</v>
      </c>
      <c r="E3988" s="54"/>
      <c r="F3988" s="52" t="str">
        <f>IF(INDEX(I.CCUS.EndRange,916)="","",INDEX(I.CCUS.EndRange,916))</f>
        <v/>
      </c>
      <c r="G3988" s="54"/>
      <c r="H3988" s="52" t="str">
        <f>IF(AND(I.Compliance.FulfilledCCUS&gt;0,I.CCUS.RangeCount&gt;=916,F3988=""),"Incomplete","Complete")</f>
        <v>Complete</v>
      </c>
      <c r="I3988" s="55" t="s">
        <v>4185</v>
      </c>
    </row>
    <row r="3989" spans="2:9" ht="15" customHeight="1" x14ac:dyDescent="0.25">
      <c r="B3989" s="51" t="s">
        <v>127</v>
      </c>
      <c r="C3989" s="52">
        <v>917</v>
      </c>
      <c r="D3989" s="53" t="s">
        <v>4330</v>
      </c>
      <c r="E3989" s="54"/>
      <c r="F3989" s="52" t="str">
        <f>IF(INDEX(I.CCUS.EndRange,917)="","",INDEX(I.CCUS.EndRange,917))</f>
        <v/>
      </c>
      <c r="G3989" s="54"/>
      <c r="H3989" s="52" t="str">
        <f>IF(AND(I.Compliance.FulfilledCCUS&gt;0,I.CCUS.RangeCount&gt;=917,F3989=""),"Incomplete","Complete")</f>
        <v>Complete</v>
      </c>
      <c r="I3989" s="55" t="s">
        <v>4186</v>
      </c>
    </row>
    <row r="3990" spans="2:9" ht="15" customHeight="1" x14ac:dyDescent="0.25">
      <c r="B3990" s="51" t="s">
        <v>127</v>
      </c>
      <c r="C3990" s="52">
        <v>918</v>
      </c>
      <c r="D3990" s="53" t="s">
        <v>4330</v>
      </c>
      <c r="E3990" s="54"/>
      <c r="F3990" s="52" t="str">
        <f>IF(INDEX(I.CCUS.EndRange,918)="","",INDEX(I.CCUS.EndRange,918))</f>
        <v/>
      </c>
      <c r="G3990" s="54"/>
      <c r="H3990" s="52" t="str">
        <f>IF(AND(I.Compliance.FulfilledCCUS&gt;0,I.CCUS.RangeCount&gt;=918,F3990=""),"Incomplete","Complete")</f>
        <v>Complete</v>
      </c>
      <c r="I3990" s="55" t="s">
        <v>4187</v>
      </c>
    </row>
    <row r="3991" spans="2:9" ht="15" customHeight="1" x14ac:dyDescent="0.25">
      <c r="B3991" s="51" t="s">
        <v>127</v>
      </c>
      <c r="C3991" s="52">
        <v>919</v>
      </c>
      <c r="D3991" s="53" t="s">
        <v>4330</v>
      </c>
      <c r="E3991" s="54"/>
      <c r="F3991" s="52" t="str">
        <f>IF(INDEX(I.CCUS.EndRange,919)="","",INDEX(I.CCUS.EndRange,919))</f>
        <v/>
      </c>
      <c r="G3991" s="54"/>
      <c r="H3991" s="52" t="str">
        <f>IF(AND(I.Compliance.FulfilledCCUS&gt;0,I.CCUS.RangeCount&gt;=919,F3991=""),"Incomplete","Complete")</f>
        <v>Complete</v>
      </c>
      <c r="I3991" s="55" t="s">
        <v>4188</v>
      </c>
    </row>
    <row r="3992" spans="2:9" ht="15" customHeight="1" x14ac:dyDescent="0.25">
      <c r="B3992" s="51" t="s">
        <v>127</v>
      </c>
      <c r="C3992" s="52">
        <v>920</v>
      </c>
      <c r="D3992" s="53" t="s">
        <v>4330</v>
      </c>
      <c r="E3992" s="54"/>
      <c r="F3992" s="52" t="str">
        <f>IF(INDEX(I.CCUS.EndRange,920)="","",INDEX(I.CCUS.EndRange,920))</f>
        <v/>
      </c>
      <c r="G3992" s="54"/>
      <c r="H3992" s="52" t="str">
        <f>IF(AND(I.Compliance.FulfilledCCUS&gt;0,I.CCUS.RangeCount&gt;=920,F3992=""),"Incomplete","Complete")</f>
        <v>Complete</v>
      </c>
      <c r="I3992" s="55" t="s">
        <v>4189</v>
      </c>
    </row>
    <row r="3993" spans="2:9" ht="15" customHeight="1" x14ac:dyDescent="0.25">
      <c r="B3993" s="51" t="s">
        <v>127</v>
      </c>
      <c r="C3993" s="52">
        <v>921</v>
      </c>
      <c r="D3993" s="53" t="s">
        <v>4330</v>
      </c>
      <c r="E3993" s="54"/>
      <c r="F3993" s="52" t="str">
        <f>IF(INDEX(I.CCUS.EndRange,921)="","",INDEX(I.CCUS.EndRange,921))</f>
        <v/>
      </c>
      <c r="G3993" s="54"/>
      <c r="H3993" s="52" t="str">
        <f>IF(AND(I.Compliance.FulfilledCCUS&gt;0,I.CCUS.RangeCount&gt;=921,F3993=""),"Incomplete","Complete")</f>
        <v>Complete</v>
      </c>
      <c r="I3993" s="55" t="s">
        <v>4190</v>
      </c>
    </row>
    <row r="3994" spans="2:9" ht="15" customHeight="1" x14ac:dyDescent="0.25">
      <c r="B3994" s="51" t="s">
        <v>127</v>
      </c>
      <c r="C3994" s="52">
        <v>922</v>
      </c>
      <c r="D3994" s="53" t="s">
        <v>4330</v>
      </c>
      <c r="E3994" s="54"/>
      <c r="F3994" s="52" t="str">
        <f>IF(INDEX(I.CCUS.EndRange,922)="","",INDEX(I.CCUS.EndRange,922))</f>
        <v/>
      </c>
      <c r="G3994" s="54"/>
      <c r="H3994" s="52" t="str">
        <f>IF(AND(I.Compliance.FulfilledCCUS&gt;0,I.CCUS.RangeCount&gt;=922,F3994=""),"Incomplete","Complete")</f>
        <v>Complete</v>
      </c>
      <c r="I3994" s="55" t="s">
        <v>4191</v>
      </c>
    </row>
    <row r="3995" spans="2:9" ht="15" customHeight="1" x14ac:dyDescent="0.25">
      <c r="B3995" s="51" t="s">
        <v>127</v>
      </c>
      <c r="C3995" s="52">
        <v>923</v>
      </c>
      <c r="D3995" s="53" t="s">
        <v>4330</v>
      </c>
      <c r="E3995" s="54"/>
      <c r="F3995" s="52" t="str">
        <f>IF(INDEX(I.CCUS.EndRange,923)="","",INDEX(I.CCUS.EndRange,923))</f>
        <v/>
      </c>
      <c r="G3995" s="54"/>
      <c r="H3995" s="52" t="str">
        <f>IF(AND(I.Compliance.FulfilledCCUS&gt;0,I.CCUS.RangeCount&gt;=923,F3995=""),"Incomplete","Complete")</f>
        <v>Complete</v>
      </c>
      <c r="I3995" s="55" t="s">
        <v>4192</v>
      </c>
    </row>
    <row r="3996" spans="2:9" ht="15" customHeight="1" x14ac:dyDescent="0.25">
      <c r="B3996" s="51" t="s">
        <v>127</v>
      </c>
      <c r="C3996" s="52">
        <v>924</v>
      </c>
      <c r="D3996" s="53" t="s">
        <v>4330</v>
      </c>
      <c r="E3996" s="54"/>
      <c r="F3996" s="52" t="str">
        <f>IF(INDEX(I.CCUS.EndRange,924)="","",INDEX(I.CCUS.EndRange,924))</f>
        <v/>
      </c>
      <c r="G3996" s="54"/>
      <c r="H3996" s="52" t="str">
        <f>IF(AND(I.Compliance.FulfilledCCUS&gt;0,I.CCUS.RangeCount&gt;=924,F3996=""),"Incomplete","Complete")</f>
        <v>Complete</v>
      </c>
      <c r="I3996" s="55" t="s">
        <v>4193</v>
      </c>
    </row>
    <row r="3997" spans="2:9" ht="15" customHeight="1" x14ac:dyDescent="0.25">
      <c r="B3997" s="51" t="s">
        <v>127</v>
      </c>
      <c r="C3997" s="52">
        <v>925</v>
      </c>
      <c r="D3997" s="53" t="s">
        <v>4330</v>
      </c>
      <c r="E3997" s="54"/>
      <c r="F3997" s="52" t="str">
        <f>IF(INDEX(I.CCUS.EndRange,925)="","",INDEX(I.CCUS.EndRange,925))</f>
        <v/>
      </c>
      <c r="G3997" s="54"/>
      <c r="H3997" s="52" t="str">
        <f>IF(AND(I.Compliance.FulfilledCCUS&gt;0,I.CCUS.RangeCount&gt;=925,F3997=""),"Incomplete","Complete")</f>
        <v>Complete</v>
      </c>
      <c r="I3997" s="55" t="s">
        <v>4194</v>
      </c>
    </row>
    <row r="3998" spans="2:9" ht="15" customHeight="1" x14ac:dyDescent="0.25">
      <c r="B3998" s="51" t="s">
        <v>127</v>
      </c>
      <c r="C3998" s="52">
        <v>926</v>
      </c>
      <c r="D3998" s="53" t="s">
        <v>4330</v>
      </c>
      <c r="E3998" s="54"/>
      <c r="F3998" s="52" t="str">
        <f>IF(INDEX(I.CCUS.EndRange,926)="","",INDEX(I.CCUS.EndRange,926))</f>
        <v/>
      </c>
      <c r="G3998" s="54"/>
      <c r="H3998" s="52" t="str">
        <f>IF(AND(I.Compliance.FulfilledCCUS&gt;0,I.CCUS.RangeCount&gt;=926,F3998=""),"Incomplete","Complete")</f>
        <v>Complete</v>
      </c>
      <c r="I3998" s="55" t="s">
        <v>4195</v>
      </c>
    </row>
    <row r="3999" spans="2:9" ht="15" customHeight="1" x14ac:dyDescent="0.25">
      <c r="B3999" s="51" t="s">
        <v>127</v>
      </c>
      <c r="C3999" s="52">
        <v>927</v>
      </c>
      <c r="D3999" s="53" t="s">
        <v>4330</v>
      </c>
      <c r="E3999" s="54"/>
      <c r="F3999" s="52" t="str">
        <f>IF(INDEX(I.CCUS.EndRange,927)="","",INDEX(I.CCUS.EndRange,927))</f>
        <v/>
      </c>
      <c r="G3999" s="54"/>
      <c r="H3999" s="52" t="str">
        <f>IF(AND(I.Compliance.FulfilledCCUS&gt;0,I.CCUS.RangeCount&gt;=927,F3999=""),"Incomplete","Complete")</f>
        <v>Complete</v>
      </c>
      <c r="I3999" s="55" t="s">
        <v>4196</v>
      </c>
    </row>
    <row r="4000" spans="2:9" ht="15" customHeight="1" x14ac:dyDescent="0.25">
      <c r="B4000" s="51" t="s">
        <v>127</v>
      </c>
      <c r="C4000" s="52">
        <v>928</v>
      </c>
      <c r="D4000" s="53" t="s">
        <v>4330</v>
      </c>
      <c r="E4000" s="54"/>
      <c r="F4000" s="52" t="str">
        <f>IF(INDEX(I.CCUS.EndRange,928)="","",INDEX(I.CCUS.EndRange,928))</f>
        <v/>
      </c>
      <c r="G4000" s="54"/>
      <c r="H4000" s="52" t="str">
        <f>IF(AND(I.Compliance.FulfilledCCUS&gt;0,I.CCUS.RangeCount&gt;=928,F4000=""),"Incomplete","Complete")</f>
        <v>Complete</v>
      </c>
      <c r="I4000" s="55" t="s">
        <v>4197</v>
      </c>
    </row>
    <row r="4001" spans="2:9" ht="15" customHeight="1" x14ac:dyDescent="0.25">
      <c r="B4001" s="51" t="s">
        <v>127</v>
      </c>
      <c r="C4001" s="52">
        <v>929</v>
      </c>
      <c r="D4001" s="53" t="s">
        <v>4330</v>
      </c>
      <c r="E4001" s="54"/>
      <c r="F4001" s="52" t="str">
        <f>IF(INDEX(I.CCUS.EndRange,929)="","",INDEX(I.CCUS.EndRange,929))</f>
        <v/>
      </c>
      <c r="G4001" s="54"/>
      <c r="H4001" s="52" t="str">
        <f>IF(AND(I.Compliance.FulfilledCCUS&gt;0,I.CCUS.RangeCount&gt;=929,F4001=""),"Incomplete","Complete")</f>
        <v>Complete</v>
      </c>
      <c r="I4001" s="55" t="s">
        <v>4198</v>
      </c>
    </row>
    <row r="4002" spans="2:9" ht="15" customHeight="1" x14ac:dyDescent="0.25">
      <c r="B4002" s="51" t="s">
        <v>127</v>
      </c>
      <c r="C4002" s="52">
        <v>930</v>
      </c>
      <c r="D4002" s="53" t="s">
        <v>4330</v>
      </c>
      <c r="E4002" s="54"/>
      <c r="F4002" s="52" t="str">
        <f>IF(INDEX(I.CCUS.EndRange,930)="","",INDEX(I.CCUS.EndRange,930))</f>
        <v/>
      </c>
      <c r="G4002" s="54"/>
      <c r="H4002" s="52" t="str">
        <f>IF(AND(I.Compliance.FulfilledCCUS&gt;0,I.CCUS.RangeCount&gt;=930,F4002=""),"Incomplete","Complete")</f>
        <v>Complete</v>
      </c>
      <c r="I4002" s="55" t="s">
        <v>4199</v>
      </c>
    </row>
    <row r="4003" spans="2:9" ht="15" customHeight="1" x14ac:dyDescent="0.25">
      <c r="B4003" s="51" t="s">
        <v>127</v>
      </c>
      <c r="C4003" s="52">
        <v>931</v>
      </c>
      <c r="D4003" s="53" t="s">
        <v>4330</v>
      </c>
      <c r="E4003" s="54"/>
      <c r="F4003" s="52" t="str">
        <f>IF(INDEX(I.CCUS.EndRange,931)="","",INDEX(I.CCUS.EndRange,931))</f>
        <v/>
      </c>
      <c r="G4003" s="54"/>
      <c r="H4003" s="52" t="str">
        <f>IF(AND(I.Compliance.FulfilledCCUS&gt;0,I.CCUS.RangeCount&gt;=931,F4003=""),"Incomplete","Complete")</f>
        <v>Complete</v>
      </c>
      <c r="I4003" s="55" t="s">
        <v>4200</v>
      </c>
    </row>
    <row r="4004" spans="2:9" ht="15" customHeight="1" x14ac:dyDescent="0.25">
      <c r="B4004" s="51" t="s">
        <v>127</v>
      </c>
      <c r="C4004" s="52">
        <v>932</v>
      </c>
      <c r="D4004" s="53" t="s">
        <v>4330</v>
      </c>
      <c r="E4004" s="54"/>
      <c r="F4004" s="52" t="str">
        <f>IF(INDEX(I.CCUS.EndRange,932)="","",INDEX(I.CCUS.EndRange,932))</f>
        <v/>
      </c>
      <c r="G4004" s="54"/>
      <c r="H4004" s="52" t="str">
        <f>IF(AND(I.Compliance.FulfilledCCUS&gt;0,I.CCUS.RangeCount&gt;=932,F4004=""),"Incomplete","Complete")</f>
        <v>Complete</v>
      </c>
      <c r="I4004" s="55" t="s">
        <v>4201</v>
      </c>
    </row>
    <row r="4005" spans="2:9" ht="15" customHeight="1" x14ac:dyDescent="0.25">
      <c r="B4005" s="51" t="s">
        <v>127</v>
      </c>
      <c r="C4005" s="52">
        <v>933</v>
      </c>
      <c r="D4005" s="53" t="s">
        <v>4330</v>
      </c>
      <c r="E4005" s="54"/>
      <c r="F4005" s="52" t="str">
        <f>IF(INDEX(I.CCUS.EndRange,933)="","",INDEX(I.CCUS.EndRange,933))</f>
        <v/>
      </c>
      <c r="G4005" s="54"/>
      <c r="H4005" s="52" t="str">
        <f>IF(AND(I.Compliance.FulfilledCCUS&gt;0,I.CCUS.RangeCount&gt;=933,F4005=""),"Incomplete","Complete")</f>
        <v>Complete</v>
      </c>
      <c r="I4005" s="55" t="s">
        <v>4202</v>
      </c>
    </row>
    <row r="4006" spans="2:9" ht="15" customHeight="1" x14ac:dyDescent="0.25">
      <c r="B4006" s="51" t="s">
        <v>127</v>
      </c>
      <c r="C4006" s="52">
        <v>934</v>
      </c>
      <c r="D4006" s="53" t="s">
        <v>4330</v>
      </c>
      <c r="E4006" s="54"/>
      <c r="F4006" s="52" t="str">
        <f>IF(INDEX(I.CCUS.EndRange,934)="","",INDEX(I.CCUS.EndRange,934))</f>
        <v/>
      </c>
      <c r="G4006" s="54"/>
      <c r="H4006" s="52" t="str">
        <f>IF(AND(I.Compliance.FulfilledCCUS&gt;0,I.CCUS.RangeCount&gt;=934,F4006=""),"Incomplete","Complete")</f>
        <v>Complete</v>
      </c>
      <c r="I4006" s="55" t="s">
        <v>4203</v>
      </c>
    </row>
    <row r="4007" spans="2:9" ht="15" customHeight="1" x14ac:dyDescent="0.25">
      <c r="B4007" s="51" t="s">
        <v>127</v>
      </c>
      <c r="C4007" s="52">
        <v>935</v>
      </c>
      <c r="D4007" s="53" t="s">
        <v>4330</v>
      </c>
      <c r="E4007" s="54"/>
      <c r="F4007" s="52" t="str">
        <f>IF(INDEX(I.CCUS.EndRange,935)="","",INDEX(I.CCUS.EndRange,935))</f>
        <v/>
      </c>
      <c r="G4007" s="54"/>
      <c r="H4007" s="52" t="str">
        <f>IF(AND(I.Compliance.FulfilledCCUS&gt;0,I.CCUS.RangeCount&gt;=935,F4007=""),"Incomplete","Complete")</f>
        <v>Complete</v>
      </c>
      <c r="I4007" s="55" t="s">
        <v>4204</v>
      </c>
    </row>
    <row r="4008" spans="2:9" ht="15" customHeight="1" x14ac:dyDescent="0.25">
      <c r="B4008" s="51" t="s">
        <v>127</v>
      </c>
      <c r="C4008" s="52">
        <v>936</v>
      </c>
      <c r="D4008" s="53" t="s">
        <v>4330</v>
      </c>
      <c r="E4008" s="54"/>
      <c r="F4008" s="52" t="str">
        <f>IF(INDEX(I.CCUS.EndRange,936)="","",INDEX(I.CCUS.EndRange,936))</f>
        <v/>
      </c>
      <c r="G4008" s="54"/>
      <c r="H4008" s="52" t="str">
        <f>IF(AND(I.Compliance.FulfilledCCUS&gt;0,I.CCUS.RangeCount&gt;=936,F4008=""),"Incomplete","Complete")</f>
        <v>Complete</v>
      </c>
      <c r="I4008" s="55" t="s">
        <v>4205</v>
      </c>
    </row>
    <row r="4009" spans="2:9" ht="15" customHeight="1" x14ac:dyDescent="0.25">
      <c r="B4009" s="51" t="s">
        <v>127</v>
      </c>
      <c r="C4009" s="52">
        <v>937</v>
      </c>
      <c r="D4009" s="53" t="s">
        <v>4330</v>
      </c>
      <c r="E4009" s="54"/>
      <c r="F4009" s="52" t="str">
        <f>IF(INDEX(I.CCUS.EndRange,937)="","",INDEX(I.CCUS.EndRange,937))</f>
        <v/>
      </c>
      <c r="G4009" s="54"/>
      <c r="H4009" s="52" t="str">
        <f>IF(AND(I.Compliance.FulfilledCCUS&gt;0,I.CCUS.RangeCount&gt;=937,F4009=""),"Incomplete","Complete")</f>
        <v>Complete</v>
      </c>
      <c r="I4009" s="55" t="s">
        <v>4206</v>
      </c>
    </row>
    <row r="4010" spans="2:9" ht="15" customHeight="1" x14ac:dyDescent="0.25">
      <c r="B4010" s="51" t="s">
        <v>127</v>
      </c>
      <c r="C4010" s="52">
        <v>938</v>
      </c>
      <c r="D4010" s="53" t="s">
        <v>4330</v>
      </c>
      <c r="E4010" s="54"/>
      <c r="F4010" s="52" t="str">
        <f>IF(INDEX(I.CCUS.EndRange,938)="","",INDEX(I.CCUS.EndRange,938))</f>
        <v/>
      </c>
      <c r="G4010" s="54"/>
      <c r="H4010" s="52" t="str">
        <f>IF(AND(I.Compliance.FulfilledCCUS&gt;0,I.CCUS.RangeCount&gt;=938,F4010=""),"Incomplete","Complete")</f>
        <v>Complete</v>
      </c>
      <c r="I4010" s="55" t="s">
        <v>4207</v>
      </c>
    </row>
    <row r="4011" spans="2:9" ht="15" customHeight="1" x14ac:dyDescent="0.25">
      <c r="B4011" s="51" t="s">
        <v>127</v>
      </c>
      <c r="C4011" s="52">
        <v>939</v>
      </c>
      <c r="D4011" s="53" t="s">
        <v>4330</v>
      </c>
      <c r="E4011" s="54"/>
      <c r="F4011" s="52" t="str">
        <f>IF(INDEX(I.CCUS.EndRange,939)="","",INDEX(I.CCUS.EndRange,939))</f>
        <v/>
      </c>
      <c r="G4011" s="54"/>
      <c r="H4011" s="52" t="str">
        <f>IF(AND(I.Compliance.FulfilledCCUS&gt;0,I.CCUS.RangeCount&gt;=939,F4011=""),"Incomplete","Complete")</f>
        <v>Complete</v>
      </c>
      <c r="I4011" s="55" t="s">
        <v>4208</v>
      </c>
    </row>
    <row r="4012" spans="2:9" ht="15" customHeight="1" x14ac:dyDescent="0.25">
      <c r="B4012" s="51" t="s">
        <v>127</v>
      </c>
      <c r="C4012" s="52">
        <v>940</v>
      </c>
      <c r="D4012" s="53" t="s">
        <v>4330</v>
      </c>
      <c r="E4012" s="54"/>
      <c r="F4012" s="52" t="str">
        <f>IF(INDEX(I.CCUS.EndRange,940)="","",INDEX(I.CCUS.EndRange,940))</f>
        <v/>
      </c>
      <c r="G4012" s="54"/>
      <c r="H4012" s="52" t="str">
        <f>IF(AND(I.Compliance.FulfilledCCUS&gt;0,I.CCUS.RangeCount&gt;=940,F4012=""),"Incomplete","Complete")</f>
        <v>Complete</v>
      </c>
      <c r="I4012" s="55" t="s">
        <v>4209</v>
      </c>
    </row>
    <row r="4013" spans="2:9" ht="15" customHeight="1" x14ac:dyDescent="0.25">
      <c r="B4013" s="51" t="s">
        <v>127</v>
      </c>
      <c r="C4013" s="52">
        <v>941</v>
      </c>
      <c r="D4013" s="53" t="s">
        <v>4330</v>
      </c>
      <c r="E4013" s="54"/>
      <c r="F4013" s="52" t="str">
        <f>IF(INDEX(I.CCUS.EndRange,941)="","",INDEX(I.CCUS.EndRange,941))</f>
        <v/>
      </c>
      <c r="G4013" s="54"/>
      <c r="H4013" s="52" t="str">
        <f>IF(AND(I.Compliance.FulfilledCCUS&gt;0,I.CCUS.RangeCount&gt;=941,F4013=""),"Incomplete","Complete")</f>
        <v>Complete</v>
      </c>
      <c r="I4013" s="55" t="s">
        <v>4210</v>
      </c>
    </row>
    <row r="4014" spans="2:9" ht="15" customHeight="1" x14ac:dyDescent="0.25">
      <c r="B4014" s="51" t="s">
        <v>127</v>
      </c>
      <c r="C4014" s="52">
        <v>942</v>
      </c>
      <c r="D4014" s="53" t="s">
        <v>4330</v>
      </c>
      <c r="E4014" s="54"/>
      <c r="F4014" s="52" t="str">
        <f>IF(INDEX(I.CCUS.EndRange,942)="","",INDEX(I.CCUS.EndRange,942))</f>
        <v/>
      </c>
      <c r="G4014" s="54"/>
      <c r="H4014" s="52" t="str">
        <f>IF(AND(I.Compliance.FulfilledCCUS&gt;0,I.CCUS.RangeCount&gt;=942,F4014=""),"Incomplete","Complete")</f>
        <v>Complete</v>
      </c>
      <c r="I4014" s="55" t="s">
        <v>4211</v>
      </c>
    </row>
    <row r="4015" spans="2:9" ht="15" customHeight="1" x14ac:dyDescent="0.25">
      <c r="B4015" s="51" t="s">
        <v>127</v>
      </c>
      <c r="C4015" s="52">
        <v>943</v>
      </c>
      <c r="D4015" s="53" t="s">
        <v>4330</v>
      </c>
      <c r="E4015" s="54"/>
      <c r="F4015" s="52" t="str">
        <f>IF(INDEX(I.CCUS.EndRange,943)="","",INDEX(I.CCUS.EndRange,943))</f>
        <v/>
      </c>
      <c r="G4015" s="54"/>
      <c r="H4015" s="52" t="str">
        <f>IF(AND(I.Compliance.FulfilledCCUS&gt;0,I.CCUS.RangeCount&gt;=943,F4015=""),"Incomplete","Complete")</f>
        <v>Complete</v>
      </c>
      <c r="I4015" s="55" t="s">
        <v>4212</v>
      </c>
    </row>
    <row r="4016" spans="2:9" ht="15" customHeight="1" x14ac:dyDescent="0.25">
      <c r="B4016" s="51" t="s">
        <v>127</v>
      </c>
      <c r="C4016" s="52">
        <v>944</v>
      </c>
      <c r="D4016" s="53" t="s">
        <v>4330</v>
      </c>
      <c r="E4016" s="54"/>
      <c r="F4016" s="52" t="str">
        <f>IF(INDEX(I.CCUS.EndRange,944)="","",INDEX(I.CCUS.EndRange,944))</f>
        <v/>
      </c>
      <c r="G4016" s="54"/>
      <c r="H4016" s="52" t="str">
        <f>IF(AND(I.Compliance.FulfilledCCUS&gt;0,I.CCUS.RangeCount&gt;=944,F4016=""),"Incomplete","Complete")</f>
        <v>Complete</v>
      </c>
      <c r="I4016" s="55" t="s">
        <v>4213</v>
      </c>
    </row>
    <row r="4017" spans="2:9" ht="15" customHeight="1" x14ac:dyDescent="0.25">
      <c r="B4017" s="51" t="s">
        <v>127</v>
      </c>
      <c r="C4017" s="52">
        <v>945</v>
      </c>
      <c r="D4017" s="53" t="s">
        <v>4330</v>
      </c>
      <c r="E4017" s="54"/>
      <c r="F4017" s="52" t="str">
        <f>IF(INDEX(I.CCUS.EndRange,945)="","",INDEX(I.CCUS.EndRange,945))</f>
        <v/>
      </c>
      <c r="G4017" s="54"/>
      <c r="H4017" s="52" t="str">
        <f>IF(AND(I.Compliance.FulfilledCCUS&gt;0,I.CCUS.RangeCount&gt;=945,F4017=""),"Incomplete","Complete")</f>
        <v>Complete</v>
      </c>
      <c r="I4017" s="55" t="s">
        <v>4214</v>
      </c>
    </row>
    <row r="4018" spans="2:9" ht="15" customHeight="1" x14ac:dyDescent="0.25">
      <c r="B4018" s="51" t="s">
        <v>127</v>
      </c>
      <c r="C4018" s="52">
        <v>946</v>
      </c>
      <c r="D4018" s="53" t="s">
        <v>4330</v>
      </c>
      <c r="E4018" s="54"/>
      <c r="F4018" s="52" t="str">
        <f>IF(INDEX(I.CCUS.EndRange,946)="","",INDEX(I.CCUS.EndRange,946))</f>
        <v/>
      </c>
      <c r="G4018" s="54"/>
      <c r="H4018" s="52" t="str">
        <f>IF(AND(I.Compliance.FulfilledCCUS&gt;0,I.CCUS.RangeCount&gt;=946,F4018=""),"Incomplete","Complete")</f>
        <v>Complete</v>
      </c>
      <c r="I4018" s="55" t="s">
        <v>4215</v>
      </c>
    </row>
    <row r="4019" spans="2:9" ht="15" customHeight="1" x14ac:dyDescent="0.25">
      <c r="B4019" s="51" t="s">
        <v>127</v>
      </c>
      <c r="C4019" s="52">
        <v>947</v>
      </c>
      <c r="D4019" s="53" t="s">
        <v>4330</v>
      </c>
      <c r="E4019" s="54"/>
      <c r="F4019" s="52" t="str">
        <f>IF(INDEX(I.CCUS.EndRange,947)="","",INDEX(I.CCUS.EndRange,947))</f>
        <v/>
      </c>
      <c r="G4019" s="54"/>
      <c r="H4019" s="52" t="str">
        <f>IF(AND(I.Compliance.FulfilledCCUS&gt;0,I.CCUS.RangeCount&gt;=947,F4019=""),"Incomplete","Complete")</f>
        <v>Complete</v>
      </c>
      <c r="I4019" s="55" t="s">
        <v>4216</v>
      </c>
    </row>
    <row r="4020" spans="2:9" ht="15" customHeight="1" x14ac:dyDescent="0.25">
      <c r="B4020" s="51" t="s">
        <v>127</v>
      </c>
      <c r="C4020" s="52">
        <v>948</v>
      </c>
      <c r="D4020" s="53" t="s">
        <v>4330</v>
      </c>
      <c r="E4020" s="54"/>
      <c r="F4020" s="52" t="str">
        <f>IF(INDEX(I.CCUS.EndRange,948)="","",INDEX(I.CCUS.EndRange,948))</f>
        <v/>
      </c>
      <c r="G4020" s="54"/>
      <c r="H4020" s="52" t="str">
        <f>IF(AND(I.Compliance.FulfilledCCUS&gt;0,I.CCUS.RangeCount&gt;=948,F4020=""),"Incomplete","Complete")</f>
        <v>Complete</v>
      </c>
      <c r="I4020" s="55" t="s">
        <v>4217</v>
      </c>
    </row>
    <row r="4021" spans="2:9" ht="15" customHeight="1" x14ac:dyDescent="0.25">
      <c r="B4021" s="51" t="s">
        <v>127</v>
      </c>
      <c r="C4021" s="52">
        <v>949</v>
      </c>
      <c r="D4021" s="53" t="s">
        <v>4330</v>
      </c>
      <c r="E4021" s="54"/>
      <c r="F4021" s="52" t="str">
        <f>IF(INDEX(I.CCUS.EndRange,949)="","",INDEX(I.CCUS.EndRange,949))</f>
        <v/>
      </c>
      <c r="G4021" s="54"/>
      <c r="H4021" s="52" t="str">
        <f>IF(AND(I.Compliance.FulfilledCCUS&gt;0,I.CCUS.RangeCount&gt;=949,F4021=""),"Incomplete","Complete")</f>
        <v>Complete</v>
      </c>
      <c r="I4021" s="55" t="s">
        <v>4218</v>
      </c>
    </row>
    <row r="4022" spans="2:9" ht="15" customHeight="1" x14ac:dyDescent="0.25">
      <c r="B4022" s="51" t="s">
        <v>127</v>
      </c>
      <c r="C4022" s="52">
        <v>950</v>
      </c>
      <c r="D4022" s="53" t="s">
        <v>4330</v>
      </c>
      <c r="E4022" s="54"/>
      <c r="F4022" s="52" t="str">
        <f>IF(INDEX(I.CCUS.EndRange,950)="","",INDEX(I.CCUS.EndRange,950))</f>
        <v/>
      </c>
      <c r="G4022" s="54"/>
      <c r="H4022" s="52" t="str">
        <f>IF(AND(I.Compliance.FulfilledCCUS&gt;0,I.CCUS.RangeCount&gt;=950,F4022=""),"Incomplete","Complete")</f>
        <v>Complete</v>
      </c>
      <c r="I4022" s="55" t="s">
        <v>4219</v>
      </c>
    </row>
    <row r="4023" spans="2:9" ht="15" customHeight="1" x14ac:dyDescent="0.25">
      <c r="B4023" s="51" t="s">
        <v>127</v>
      </c>
      <c r="C4023" s="52">
        <v>951</v>
      </c>
      <c r="D4023" s="53" t="s">
        <v>4330</v>
      </c>
      <c r="E4023" s="54"/>
      <c r="F4023" s="52" t="str">
        <f>IF(INDEX(I.CCUS.EndRange,951)="","",INDEX(I.CCUS.EndRange,951))</f>
        <v/>
      </c>
      <c r="G4023" s="54"/>
      <c r="H4023" s="52" t="str">
        <f>IF(AND(I.Compliance.FulfilledCCUS&gt;0,I.CCUS.RangeCount&gt;=951,F4023=""),"Incomplete","Complete")</f>
        <v>Complete</v>
      </c>
      <c r="I4023" s="55" t="s">
        <v>4220</v>
      </c>
    </row>
    <row r="4024" spans="2:9" ht="15" customHeight="1" x14ac:dyDescent="0.25">
      <c r="B4024" s="51" t="s">
        <v>127</v>
      </c>
      <c r="C4024" s="52">
        <v>952</v>
      </c>
      <c r="D4024" s="53" t="s">
        <v>4330</v>
      </c>
      <c r="E4024" s="54"/>
      <c r="F4024" s="52" t="str">
        <f>IF(INDEX(I.CCUS.EndRange,952)="","",INDEX(I.CCUS.EndRange,952))</f>
        <v/>
      </c>
      <c r="G4024" s="54"/>
      <c r="H4024" s="52" t="str">
        <f>IF(AND(I.Compliance.FulfilledCCUS&gt;0,I.CCUS.RangeCount&gt;=952,F4024=""),"Incomplete","Complete")</f>
        <v>Complete</v>
      </c>
      <c r="I4024" s="55" t="s">
        <v>4221</v>
      </c>
    </row>
    <row r="4025" spans="2:9" ht="15" customHeight="1" x14ac:dyDescent="0.25">
      <c r="B4025" s="51" t="s">
        <v>127</v>
      </c>
      <c r="C4025" s="52">
        <v>953</v>
      </c>
      <c r="D4025" s="53" t="s">
        <v>4330</v>
      </c>
      <c r="E4025" s="54"/>
      <c r="F4025" s="52" t="str">
        <f>IF(INDEX(I.CCUS.EndRange,953)="","",INDEX(I.CCUS.EndRange,953))</f>
        <v/>
      </c>
      <c r="G4025" s="54"/>
      <c r="H4025" s="52" t="str">
        <f>IF(AND(I.Compliance.FulfilledCCUS&gt;0,I.CCUS.RangeCount&gt;=953,F4025=""),"Incomplete","Complete")</f>
        <v>Complete</v>
      </c>
      <c r="I4025" s="55" t="s">
        <v>4222</v>
      </c>
    </row>
    <row r="4026" spans="2:9" ht="15" customHeight="1" x14ac:dyDescent="0.25">
      <c r="B4026" s="51" t="s">
        <v>127</v>
      </c>
      <c r="C4026" s="52">
        <v>954</v>
      </c>
      <c r="D4026" s="53" t="s">
        <v>4330</v>
      </c>
      <c r="E4026" s="54"/>
      <c r="F4026" s="52" t="str">
        <f>IF(INDEX(I.CCUS.EndRange,954)="","",INDEX(I.CCUS.EndRange,954))</f>
        <v/>
      </c>
      <c r="G4026" s="54"/>
      <c r="H4026" s="52" t="str">
        <f>IF(AND(I.Compliance.FulfilledCCUS&gt;0,I.CCUS.RangeCount&gt;=954,F4026=""),"Incomplete","Complete")</f>
        <v>Complete</v>
      </c>
      <c r="I4026" s="55" t="s">
        <v>4223</v>
      </c>
    </row>
    <row r="4027" spans="2:9" ht="15" customHeight="1" x14ac:dyDescent="0.25">
      <c r="B4027" s="51" t="s">
        <v>127</v>
      </c>
      <c r="C4027" s="52">
        <v>955</v>
      </c>
      <c r="D4027" s="53" t="s">
        <v>4330</v>
      </c>
      <c r="E4027" s="54"/>
      <c r="F4027" s="52" t="str">
        <f>IF(INDEX(I.CCUS.EndRange,955)="","",INDEX(I.CCUS.EndRange,955))</f>
        <v/>
      </c>
      <c r="G4027" s="54"/>
      <c r="H4027" s="52" t="str">
        <f>IF(AND(I.Compliance.FulfilledCCUS&gt;0,I.CCUS.RangeCount&gt;=955,F4027=""),"Incomplete","Complete")</f>
        <v>Complete</v>
      </c>
      <c r="I4027" s="55" t="s">
        <v>4224</v>
      </c>
    </row>
    <row r="4028" spans="2:9" ht="15" customHeight="1" x14ac:dyDescent="0.25">
      <c r="B4028" s="51" t="s">
        <v>127</v>
      </c>
      <c r="C4028" s="52">
        <v>956</v>
      </c>
      <c r="D4028" s="53" t="s">
        <v>4330</v>
      </c>
      <c r="E4028" s="54"/>
      <c r="F4028" s="52" t="str">
        <f>IF(INDEX(I.CCUS.EndRange,956)="","",INDEX(I.CCUS.EndRange,956))</f>
        <v/>
      </c>
      <c r="G4028" s="54"/>
      <c r="H4028" s="52" t="str">
        <f>IF(AND(I.Compliance.FulfilledCCUS&gt;0,I.CCUS.RangeCount&gt;=956,F4028=""),"Incomplete","Complete")</f>
        <v>Complete</v>
      </c>
      <c r="I4028" s="55" t="s">
        <v>4225</v>
      </c>
    </row>
    <row r="4029" spans="2:9" ht="15" customHeight="1" x14ac:dyDescent="0.25">
      <c r="B4029" s="51" t="s">
        <v>127</v>
      </c>
      <c r="C4029" s="52">
        <v>957</v>
      </c>
      <c r="D4029" s="53" t="s">
        <v>4330</v>
      </c>
      <c r="E4029" s="54"/>
      <c r="F4029" s="52" t="str">
        <f>IF(INDEX(I.CCUS.EndRange,957)="","",INDEX(I.CCUS.EndRange,957))</f>
        <v/>
      </c>
      <c r="G4029" s="54"/>
      <c r="H4029" s="52" t="str">
        <f>IF(AND(I.Compliance.FulfilledCCUS&gt;0,I.CCUS.RangeCount&gt;=957,F4029=""),"Incomplete","Complete")</f>
        <v>Complete</v>
      </c>
      <c r="I4029" s="55" t="s">
        <v>4226</v>
      </c>
    </row>
    <row r="4030" spans="2:9" ht="15" customHeight="1" x14ac:dyDescent="0.25">
      <c r="B4030" s="51" t="s">
        <v>127</v>
      </c>
      <c r="C4030" s="52">
        <v>958</v>
      </c>
      <c r="D4030" s="53" t="s">
        <v>4330</v>
      </c>
      <c r="E4030" s="54"/>
      <c r="F4030" s="52" t="str">
        <f>IF(INDEX(I.CCUS.EndRange,958)="","",INDEX(I.CCUS.EndRange,958))</f>
        <v/>
      </c>
      <c r="G4030" s="54"/>
      <c r="H4030" s="52" t="str">
        <f>IF(AND(I.Compliance.FulfilledCCUS&gt;0,I.CCUS.RangeCount&gt;=958,F4030=""),"Incomplete","Complete")</f>
        <v>Complete</v>
      </c>
      <c r="I4030" s="55" t="s">
        <v>4227</v>
      </c>
    </row>
    <row r="4031" spans="2:9" ht="15" customHeight="1" x14ac:dyDescent="0.25">
      <c r="B4031" s="51" t="s">
        <v>127</v>
      </c>
      <c r="C4031" s="52">
        <v>959</v>
      </c>
      <c r="D4031" s="53" t="s">
        <v>4330</v>
      </c>
      <c r="E4031" s="54"/>
      <c r="F4031" s="52" t="str">
        <f>IF(INDEX(I.CCUS.EndRange,959)="","",INDEX(I.CCUS.EndRange,959))</f>
        <v/>
      </c>
      <c r="G4031" s="54"/>
      <c r="H4031" s="52" t="str">
        <f>IF(AND(I.Compliance.FulfilledCCUS&gt;0,I.CCUS.RangeCount&gt;=959,F4031=""),"Incomplete","Complete")</f>
        <v>Complete</v>
      </c>
      <c r="I4031" s="55" t="s">
        <v>4228</v>
      </c>
    </row>
    <row r="4032" spans="2:9" ht="15" customHeight="1" x14ac:dyDescent="0.25">
      <c r="B4032" s="51" t="s">
        <v>127</v>
      </c>
      <c r="C4032" s="52">
        <v>960</v>
      </c>
      <c r="D4032" s="53" t="s">
        <v>4330</v>
      </c>
      <c r="E4032" s="54"/>
      <c r="F4032" s="52" t="str">
        <f>IF(INDEX(I.CCUS.EndRange,960)="","",INDEX(I.CCUS.EndRange,960))</f>
        <v/>
      </c>
      <c r="G4032" s="54"/>
      <c r="H4032" s="52" t="str">
        <f>IF(AND(I.Compliance.FulfilledCCUS&gt;0,I.CCUS.RangeCount&gt;=960,F4032=""),"Incomplete","Complete")</f>
        <v>Complete</v>
      </c>
      <c r="I4032" s="55" t="s">
        <v>4229</v>
      </c>
    </row>
    <row r="4033" spans="2:9" ht="15" customHeight="1" x14ac:dyDescent="0.25">
      <c r="B4033" s="51" t="s">
        <v>127</v>
      </c>
      <c r="C4033" s="52">
        <v>961</v>
      </c>
      <c r="D4033" s="53" t="s">
        <v>4330</v>
      </c>
      <c r="E4033" s="54"/>
      <c r="F4033" s="52" t="str">
        <f>IF(INDEX(I.CCUS.EndRange,961)="","",INDEX(I.CCUS.EndRange,961))</f>
        <v/>
      </c>
      <c r="G4033" s="54"/>
      <c r="H4033" s="52" t="str">
        <f>IF(AND(I.Compliance.FulfilledCCUS&gt;0,I.CCUS.RangeCount&gt;=961,F4033=""),"Incomplete","Complete")</f>
        <v>Complete</v>
      </c>
      <c r="I4033" s="55" t="s">
        <v>4230</v>
      </c>
    </row>
    <row r="4034" spans="2:9" ht="15" customHeight="1" x14ac:dyDescent="0.25">
      <c r="B4034" s="51" t="s">
        <v>127</v>
      </c>
      <c r="C4034" s="52">
        <v>962</v>
      </c>
      <c r="D4034" s="53" t="s">
        <v>4330</v>
      </c>
      <c r="E4034" s="54"/>
      <c r="F4034" s="52" t="str">
        <f>IF(INDEX(I.CCUS.EndRange,962)="","",INDEX(I.CCUS.EndRange,962))</f>
        <v/>
      </c>
      <c r="G4034" s="54"/>
      <c r="H4034" s="52" t="str">
        <f>IF(AND(I.Compliance.FulfilledCCUS&gt;0,I.CCUS.RangeCount&gt;=962,F4034=""),"Incomplete","Complete")</f>
        <v>Complete</v>
      </c>
      <c r="I4034" s="55" t="s">
        <v>4231</v>
      </c>
    </row>
    <row r="4035" spans="2:9" ht="15" customHeight="1" x14ac:dyDescent="0.25">
      <c r="B4035" s="51" t="s">
        <v>127</v>
      </c>
      <c r="C4035" s="52">
        <v>963</v>
      </c>
      <c r="D4035" s="53" t="s">
        <v>4330</v>
      </c>
      <c r="E4035" s="54"/>
      <c r="F4035" s="52" t="str">
        <f>IF(INDEX(I.CCUS.EndRange,963)="","",INDEX(I.CCUS.EndRange,963))</f>
        <v/>
      </c>
      <c r="G4035" s="54"/>
      <c r="H4035" s="52" t="str">
        <f>IF(AND(I.Compliance.FulfilledCCUS&gt;0,I.CCUS.RangeCount&gt;=963,F4035=""),"Incomplete","Complete")</f>
        <v>Complete</v>
      </c>
      <c r="I4035" s="55" t="s">
        <v>4232</v>
      </c>
    </row>
    <row r="4036" spans="2:9" ht="15" customHeight="1" x14ac:dyDescent="0.25">
      <c r="B4036" s="51" t="s">
        <v>127</v>
      </c>
      <c r="C4036" s="52">
        <v>964</v>
      </c>
      <c r="D4036" s="53" t="s">
        <v>4330</v>
      </c>
      <c r="E4036" s="54"/>
      <c r="F4036" s="52" t="str">
        <f>IF(INDEX(I.CCUS.EndRange,964)="","",INDEX(I.CCUS.EndRange,964))</f>
        <v/>
      </c>
      <c r="G4036" s="54"/>
      <c r="H4036" s="52" t="str">
        <f>IF(AND(I.Compliance.FulfilledCCUS&gt;0,I.CCUS.RangeCount&gt;=964,F4036=""),"Incomplete","Complete")</f>
        <v>Complete</v>
      </c>
      <c r="I4036" s="55" t="s">
        <v>4233</v>
      </c>
    </row>
    <row r="4037" spans="2:9" ht="15" customHeight="1" x14ac:dyDescent="0.25">
      <c r="B4037" s="51" t="s">
        <v>127</v>
      </c>
      <c r="C4037" s="52">
        <v>965</v>
      </c>
      <c r="D4037" s="53" t="s">
        <v>4330</v>
      </c>
      <c r="E4037" s="54"/>
      <c r="F4037" s="52" t="str">
        <f>IF(INDEX(I.CCUS.EndRange,965)="","",INDEX(I.CCUS.EndRange,965))</f>
        <v/>
      </c>
      <c r="G4037" s="54"/>
      <c r="H4037" s="52" t="str">
        <f>IF(AND(I.Compliance.FulfilledCCUS&gt;0,I.CCUS.RangeCount&gt;=965,F4037=""),"Incomplete","Complete")</f>
        <v>Complete</v>
      </c>
      <c r="I4037" s="55" t="s">
        <v>4234</v>
      </c>
    </row>
    <row r="4038" spans="2:9" ht="15" customHeight="1" x14ac:dyDescent="0.25">
      <c r="B4038" s="51" t="s">
        <v>127</v>
      </c>
      <c r="C4038" s="52">
        <v>966</v>
      </c>
      <c r="D4038" s="53" t="s">
        <v>4330</v>
      </c>
      <c r="E4038" s="54"/>
      <c r="F4038" s="52" t="str">
        <f>IF(INDEX(I.CCUS.EndRange,966)="","",INDEX(I.CCUS.EndRange,966))</f>
        <v/>
      </c>
      <c r="G4038" s="54"/>
      <c r="H4038" s="52" t="str">
        <f>IF(AND(I.Compliance.FulfilledCCUS&gt;0,I.CCUS.RangeCount&gt;=966,F4038=""),"Incomplete","Complete")</f>
        <v>Complete</v>
      </c>
      <c r="I4038" s="55" t="s">
        <v>4235</v>
      </c>
    </row>
    <row r="4039" spans="2:9" ht="15" customHeight="1" x14ac:dyDescent="0.25">
      <c r="B4039" s="51" t="s">
        <v>127</v>
      </c>
      <c r="C4039" s="52">
        <v>967</v>
      </c>
      <c r="D4039" s="53" t="s">
        <v>4330</v>
      </c>
      <c r="E4039" s="54"/>
      <c r="F4039" s="52" t="str">
        <f>IF(INDEX(I.CCUS.EndRange,967)="","",INDEX(I.CCUS.EndRange,967))</f>
        <v/>
      </c>
      <c r="G4039" s="54"/>
      <c r="H4039" s="52" t="str">
        <f>IF(AND(I.Compliance.FulfilledCCUS&gt;0,I.CCUS.RangeCount&gt;=967,F4039=""),"Incomplete","Complete")</f>
        <v>Complete</v>
      </c>
      <c r="I4039" s="55" t="s">
        <v>4236</v>
      </c>
    </row>
    <row r="4040" spans="2:9" ht="15" customHeight="1" x14ac:dyDescent="0.25">
      <c r="B4040" s="51" t="s">
        <v>127</v>
      </c>
      <c r="C4040" s="52">
        <v>968</v>
      </c>
      <c r="D4040" s="53" t="s">
        <v>4330</v>
      </c>
      <c r="E4040" s="54"/>
      <c r="F4040" s="52" t="str">
        <f>IF(INDEX(I.CCUS.EndRange,968)="","",INDEX(I.CCUS.EndRange,968))</f>
        <v/>
      </c>
      <c r="G4040" s="54"/>
      <c r="H4040" s="52" t="str">
        <f>IF(AND(I.Compliance.FulfilledCCUS&gt;0,I.CCUS.RangeCount&gt;=968,F4040=""),"Incomplete","Complete")</f>
        <v>Complete</v>
      </c>
      <c r="I4040" s="55" t="s">
        <v>4237</v>
      </c>
    </row>
    <row r="4041" spans="2:9" ht="15" customHeight="1" x14ac:dyDescent="0.25">
      <c r="B4041" s="51" t="s">
        <v>127</v>
      </c>
      <c r="C4041" s="52">
        <v>969</v>
      </c>
      <c r="D4041" s="53" t="s">
        <v>4330</v>
      </c>
      <c r="E4041" s="54"/>
      <c r="F4041" s="52" t="str">
        <f>IF(INDEX(I.CCUS.EndRange,969)="","",INDEX(I.CCUS.EndRange,969))</f>
        <v/>
      </c>
      <c r="G4041" s="54"/>
      <c r="H4041" s="52" t="str">
        <f>IF(AND(I.Compliance.FulfilledCCUS&gt;0,I.CCUS.RangeCount&gt;=969,F4041=""),"Incomplete","Complete")</f>
        <v>Complete</v>
      </c>
      <c r="I4041" s="55" t="s">
        <v>4238</v>
      </c>
    </row>
    <row r="4042" spans="2:9" ht="15" customHeight="1" x14ac:dyDescent="0.25">
      <c r="B4042" s="51" t="s">
        <v>127</v>
      </c>
      <c r="C4042" s="52">
        <v>970</v>
      </c>
      <c r="D4042" s="53" t="s">
        <v>4330</v>
      </c>
      <c r="E4042" s="54"/>
      <c r="F4042" s="52" t="str">
        <f>IF(INDEX(I.CCUS.EndRange,970)="","",INDEX(I.CCUS.EndRange,970))</f>
        <v/>
      </c>
      <c r="G4042" s="54"/>
      <c r="H4042" s="52" t="str">
        <f>IF(AND(I.Compliance.FulfilledCCUS&gt;0,I.CCUS.RangeCount&gt;=970,F4042=""),"Incomplete","Complete")</f>
        <v>Complete</v>
      </c>
      <c r="I4042" s="55" t="s">
        <v>4239</v>
      </c>
    </row>
    <row r="4043" spans="2:9" ht="15" customHeight="1" x14ac:dyDescent="0.25">
      <c r="B4043" s="51" t="s">
        <v>127</v>
      </c>
      <c r="C4043" s="52">
        <v>971</v>
      </c>
      <c r="D4043" s="53" t="s">
        <v>4330</v>
      </c>
      <c r="E4043" s="54"/>
      <c r="F4043" s="52" t="str">
        <f>IF(INDEX(I.CCUS.EndRange,971)="","",INDEX(I.CCUS.EndRange,971))</f>
        <v/>
      </c>
      <c r="G4043" s="54"/>
      <c r="H4043" s="52" t="str">
        <f>IF(AND(I.Compliance.FulfilledCCUS&gt;0,I.CCUS.RangeCount&gt;=971,F4043=""),"Incomplete","Complete")</f>
        <v>Complete</v>
      </c>
      <c r="I4043" s="55" t="s">
        <v>4240</v>
      </c>
    </row>
    <row r="4044" spans="2:9" ht="15" customHeight="1" x14ac:dyDescent="0.25">
      <c r="B4044" s="51" t="s">
        <v>127</v>
      </c>
      <c r="C4044" s="52">
        <v>972</v>
      </c>
      <c r="D4044" s="53" t="s">
        <v>4330</v>
      </c>
      <c r="E4044" s="54"/>
      <c r="F4044" s="52" t="str">
        <f>IF(INDEX(I.CCUS.EndRange,972)="","",INDEX(I.CCUS.EndRange,972))</f>
        <v/>
      </c>
      <c r="G4044" s="54"/>
      <c r="H4044" s="52" t="str">
        <f>IF(AND(I.Compliance.FulfilledCCUS&gt;0,I.CCUS.RangeCount&gt;=972,F4044=""),"Incomplete","Complete")</f>
        <v>Complete</v>
      </c>
      <c r="I4044" s="55" t="s">
        <v>4241</v>
      </c>
    </row>
    <row r="4045" spans="2:9" ht="15" customHeight="1" x14ac:dyDescent="0.25">
      <c r="B4045" s="51" t="s">
        <v>127</v>
      </c>
      <c r="C4045" s="52">
        <v>973</v>
      </c>
      <c r="D4045" s="53" t="s">
        <v>4330</v>
      </c>
      <c r="E4045" s="54"/>
      <c r="F4045" s="52" t="str">
        <f>IF(INDEX(I.CCUS.EndRange,973)="","",INDEX(I.CCUS.EndRange,973))</f>
        <v/>
      </c>
      <c r="G4045" s="54"/>
      <c r="H4045" s="52" t="str">
        <f>IF(AND(I.Compliance.FulfilledCCUS&gt;0,I.CCUS.RangeCount&gt;=973,F4045=""),"Incomplete","Complete")</f>
        <v>Complete</v>
      </c>
      <c r="I4045" s="55" t="s">
        <v>4242</v>
      </c>
    </row>
    <row r="4046" spans="2:9" ht="15" customHeight="1" x14ac:dyDescent="0.25">
      <c r="B4046" s="51" t="s">
        <v>127</v>
      </c>
      <c r="C4046" s="52">
        <v>974</v>
      </c>
      <c r="D4046" s="53" t="s">
        <v>4330</v>
      </c>
      <c r="E4046" s="54"/>
      <c r="F4046" s="52" t="str">
        <f>IF(INDEX(I.CCUS.EndRange,974)="","",INDEX(I.CCUS.EndRange,974))</f>
        <v/>
      </c>
      <c r="G4046" s="54"/>
      <c r="H4046" s="52" t="str">
        <f>IF(AND(I.Compliance.FulfilledCCUS&gt;0,I.CCUS.RangeCount&gt;=974,F4046=""),"Incomplete","Complete")</f>
        <v>Complete</v>
      </c>
      <c r="I4046" s="55" t="s">
        <v>4243</v>
      </c>
    </row>
    <row r="4047" spans="2:9" ht="15" customHeight="1" x14ac:dyDescent="0.25">
      <c r="B4047" s="51" t="s">
        <v>127</v>
      </c>
      <c r="C4047" s="52">
        <v>975</v>
      </c>
      <c r="D4047" s="53" t="s">
        <v>4330</v>
      </c>
      <c r="E4047" s="54"/>
      <c r="F4047" s="52" t="str">
        <f>IF(INDEX(I.CCUS.EndRange,975)="","",INDEX(I.CCUS.EndRange,975))</f>
        <v/>
      </c>
      <c r="G4047" s="54"/>
      <c r="H4047" s="52" t="str">
        <f>IF(AND(I.Compliance.FulfilledCCUS&gt;0,I.CCUS.RangeCount&gt;=975,F4047=""),"Incomplete","Complete")</f>
        <v>Complete</v>
      </c>
      <c r="I4047" s="55" t="s">
        <v>4244</v>
      </c>
    </row>
    <row r="4048" spans="2:9" ht="15" customHeight="1" x14ac:dyDescent="0.25">
      <c r="B4048" s="51" t="s">
        <v>127</v>
      </c>
      <c r="C4048" s="52">
        <v>976</v>
      </c>
      <c r="D4048" s="53" t="s">
        <v>4330</v>
      </c>
      <c r="E4048" s="54"/>
      <c r="F4048" s="52" t="str">
        <f>IF(INDEX(I.CCUS.EndRange,976)="","",INDEX(I.CCUS.EndRange,976))</f>
        <v/>
      </c>
      <c r="G4048" s="54"/>
      <c r="H4048" s="52" t="str">
        <f>IF(AND(I.Compliance.FulfilledCCUS&gt;0,I.CCUS.RangeCount&gt;=976,F4048=""),"Incomplete","Complete")</f>
        <v>Complete</v>
      </c>
      <c r="I4048" s="55" t="s">
        <v>4245</v>
      </c>
    </row>
    <row r="4049" spans="2:9" ht="15" customHeight="1" x14ac:dyDescent="0.25">
      <c r="B4049" s="51" t="s">
        <v>127</v>
      </c>
      <c r="C4049" s="52">
        <v>977</v>
      </c>
      <c r="D4049" s="53" t="s">
        <v>4330</v>
      </c>
      <c r="E4049" s="54"/>
      <c r="F4049" s="52" t="str">
        <f>IF(INDEX(I.CCUS.EndRange,977)="","",INDEX(I.CCUS.EndRange,977))</f>
        <v/>
      </c>
      <c r="G4049" s="54"/>
      <c r="H4049" s="52" t="str">
        <f>IF(AND(I.Compliance.FulfilledCCUS&gt;0,I.CCUS.RangeCount&gt;=977,F4049=""),"Incomplete","Complete")</f>
        <v>Complete</v>
      </c>
      <c r="I4049" s="55" t="s">
        <v>4246</v>
      </c>
    </row>
    <row r="4050" spans="2:9" ht="15" customHeight="1" x14ac:dyDescent="0.25">
      <c r="B4050" s="51" t="s">
        <v>127</v>
      </c>
      <c r="C4050" s="52">
        <v>978</v>
      </c>
      <c r="D4050" s="53" t="s">
        <v>4330</v>
      </c>
      <c r="E4050" s="54"/>
      <c r="F4050" s="52" t="str">
        <f>IF(INDEX(I.CCUS.EndRange,978)="","",INDEX(I.CCUS.EndRange,978))</f>
        <v/>
      </c>
      <c r="G4050" s="54"/>
      <c r="H4050" s="52" t="str">
        <f>IF(AND(I.Compliance.FulfilledCCUS&gt;0,I.CCUS.RangeCount&gt;=978,F4050=""),"Incomplete","Complete")</f>
        <v>Complete</v>
      </c>
      <c r="I4050" s="55" t="s">
        <v>4247</v>
      </c>
    </row>
    <row r="4051" spans="2:9" ht="15" customHeight="1" x14ac:dyDescent="0.25">
      <c r="B4051" s="51" t="s">
        <v>127</v>
      </c>
      <c r="C4051" s="52">
        <v>979</v>
      </c>
      <c r="D4051" s="53" t="s">
        <v>4330</v>
      </c>
      <c r="E4051" s="54"/>
      <c r="F4051" s="52" t="str">
        <f>IF(INDEX(I.CCUS.EndRange,979)="","",INDEX(I.CCUS.EndRange,979))</f>
        <v/>
      </c>
      <c r="G4051" s="54"/>
      <c r="H4051" s="52" t="str">
        <f>IF(AND(I.Compliance.FulfilledCCUS&gt;0,I.CCUS.RangeCount&gt;=979,F4051=""),"Incomplete","Complete")</f>
        <v>Complete</v>
      </c>
      <c r="I4051" s="55" t="s">
        <v>4248</v>
      </c>
    </row>
    <row r="4052" spans="2:9" ht="15" customHeight="1" x14ac:dyDescent="0.25">
      <c r="B4052" s="51" t="s">
        <v>127</v>
      </c>
      <c r="C4052" s="52">
        <v>980</v>
      </c>
      <c r="D4052" s="53" t="s">
        <v>4330</v>
      </c>
      <c r="E4052" s="54"/>
      <c r="F4052" s="52" t="str">
        <f>IF(INDEX(I.CCUS.EndRange,980)="","",INDEX(I.CCUS.EndRange,980))</f>
        <v/>
      </c>
      <c r="G4052" s="54"/>
      <c r="H4052" s="52" t="str">
        <f>IF(AND(I.Compliance.FulfilledCCUS&gt;0,I.CCUS.RangeCount&gt;=980,F4052=""),"Incomplete","Complete")</f>
        <v>Complete</v>
      </c>
      <c r="I4052" s="55" t="s">
        <v>4249</v>
      </c>
    </row>
    <row r="4053" spans="2:9" ht="15" customHeight="1" x14ac:dyDescent="0.25">
      <c r="B4053" s="51" t="s">
        <v>127</v>
      </c>
      <c r="C4053" s="52">
        <v>981</v>
      </c>
      <c r="D4053" s="53" t="s">
        <v>4330</v>
      </c>
      <c r="E4053" s="54"/>
      <c r="F4053" s="52" t="str">
        <f>IF(INDEX(I.CCUS.EndRange,981)="","",INDEX(I.CCUS.EndRange,981))</f>
        <v/>
      </c>
      <c r="G4053" s="54"/>
      <c r="H4053" s="52" t="str">
        <f>IF(AND(I.Compliance.FulfilledCCUS&gt;0,I.CCUS.RangeCount&gt;=981,F4053=""),"Incomplete","Complete")</f>
        <v>Complete</v>
      </c>
      <c r="I4053" s="55" t="s">
        <v>4250</v>
      </c>
    </row>
    <row r="4054" spans="2:9" ht="15" customHeight="1" x14ac:dyDescent="0.25">
      <c r="B4054" s="51" t="s">
        <v>127</v>
      </c>
      <c r="C4054" s="52">
        <v>982</v>
      </c>
      <c r="D4054" s="53" t="s">
        <v>4330</v>
      </c>
      <c r="E4054" s="54"/>
      <c r="F4054" s="52" t="str">
        <f>IF(INDEX(I.CCUS.EndRange,982)="","",INDEX(I.CCUS.EndRange,982))</f>
        <v/>
      </c>
      <c r="G4054" s="54"/>
      <c r="H4054" s="52" t="str">
        <f>IF(AND(I.Compliance.FulfilledCCUS&gt;0,I.CCUS.RangeCount&gt;=982,F4054=""),"Incomplete","Complete")</f>
        <v>Complete</v>
      </c>
      <c r="I4054" s="55" t="s">
        <v>4251</v>
      </c>
    </row>
    <row r="4055" spans="2:9" ht="15" customHeight="1" x14ac:dyDescent="0.25">
      <c r="B4055" s="51" t="s">
        <v>127</v>
      </c>
      <c r="C4055" s="52">
        <v>983</v>
      </c>
      <c r="D4055" s="53" t="s">
        <v>4330</v>
      </c>
      <c r="E4055" s="54"/>
      <c r="F4055" s="52" t="str">
        <f>IF(INDEX(I.CCUS.EndRange,983)="","",INDEX(I.CCUS.EndRange,983))</f>
        <v/>
      </c>
      <c r="G4055" s="54"/>
      <c r="H4055" s="52" t="str">
        <f>IF(AND(I.Compliance.FulfilledCCUS&gt;0,I.CCUS.RangeCount&gt;=983,F4055=""),"Incomplete","Complete")</f>
        <v>Complete</v>
      </c>
      <c r="I4055" s="55" t="s">
        <v>4252</v>
      </c>
    </row>
    <row r="4056" spans="2:9" ht="15" customHeight="1" x14ac:dyDescent="0.25">
      <c r="B4056" s="51" t="s">
        <v>127</v>
      </c>
      <c r="C4056" s="52">
        <v>984</v>
      </c>
      <c r="D4056" s="53" t="s">
        <v>4330</v>
      </c>
      <c r="E4056" s="54"/>
      <c r="F4056" s="52" t="str">
        <f>IF(INDEX(I.CCUS.EndRange,984)="","",INDEX(I.CCUS.EndRange,984))</f>
        <v/>
      </c>
      <c r="G4056" s="54"/>
      <c r="H4056" s="52" t="str">
        <f>IF(AND(I.Compliance.FulfilledCCUS&gt;0,I.CCUS.RangeCount&gt;=984,F4056=""),"Incomplete","Complete")</f>
        <v>Complete</v>
      </c>
      <c r="I4056" s="55" t="s">
        <v>4253</v>
      </c>
    </row>
    <row r="4057" spans="2:9" ht="15" customHeight="1" x14ac:dyDescent="0.25">
      <c r="B4057" s="51" t="s">
        <v>127</v>
      </c>
      <c r="C4057" s="52">
        <v>985</v>
      </c>
      <c r="D4057" s="53" t="s">
        <v>4330</v>
      </c>
      <c r="E4057" s="54"/>
      <c r="F4057" s="52" t="str">
        <f>IF(INDEX(I.CCUS.EndRange,985)="","",INDEX(I.CCUS.EndRange,985))</f>
        <v/>
      </c>
      <c r="G4057" s="54"/>
      <c r="H4057" s="52" t="str">
        <f>IF(AND(I.Compliance.FulfilledCCUS&gt;0,I.CCUS.RangeCount&gt;=985,F4057=""),"Incomplete","Complete")</f>
        <v>Complete</v>
      </c>
      <c r="I4057" s="55" t="s">
        <v>4254</v>
      </c>
    </row>
    <row r="4058" spans="2:9" ht="15" customHeight="1" x14ac:dyDescent="0.25">
      <c r="B4058" s="51" t="s">
        <v>127</v>
      </c>
      <c r="C4058" s="52">
        <v>986</v>
      </c>
      <c r="D4058" s="53" t="s">
        <v>4330</v>
      </c>
      <c r="E4058" s="54"/>
      <c r="F4058" s="52" t="str">
        <f>IF(INDEX(I.CCUS.EndRange,986)="","",INDEX(I.CCUS.EndRange,986))</f>
        <v/>
      </c>
      <c r="G4058" s="54"/>
      <c r="H4058" s="52" t="str">
        <f>IF(AND(I.Compliance.FulfilledCCUS&gt;0,I.CCUS.RangeCount&gt;=986,F4058=""),"Incomplete","Complete")</f>
        <v>Complete</v>
      </c>
      <c r="I4058" s="55" t="s">
        <v>4255</v>
      </c>
    </row>
    <row r="4059" spans="2:9" ht="15" customHeight="1" x14ac:dyDescent="0.25">
      <c r="B4059" s="51" t="s">
        <v>127</v>
      </c>
      <c r="C4059" s="52">
        <v>987</v>
      </c>
      <c r="D4059" s="53" t="s">
        <v>4330</v>
      </c>
      <c r="E4059" s="54"/>
      <c r="F4059" s="52" t="str">
        <f>IF(INDEX(I.CCUS.EndRange,987)="","",INDEX(I.CCUS.EndRange,987))</f>
        <v/>
      </c>
      <c r="G4059" s="54"/>
      <c r="H4059" s="52" t="str">
        <f>IF(AND(I.Compliance.FulfilledCCUS&gt;0,I.CCUS.RangeCount&gt;=987,F4059=""),"Incomplete","Complete")</f>
        <v>Complete</v>
      </c>
      <c r="I4059" s="55" t="s">
        <v>4256</v>
      </c>
    </row>
    <row r="4060" spans="2:9" ht="15" customHeight="1" x14ac:dyDescent="0.25">
      <c r="B4060" s="51" t="s">
        <v>127</v>
      </c>
      <c r="C4060" s="52">
        <v>988</v>
      </c>
      <c r="D4060" s="53" t="s">
        <v>4330</v>
      </c>
      <c r="E4060" s="54"/>
      <c r="F4060" s="52" t="str">
        <f>IF(INDEX(I.CCUS.EndRange,988)="","",INDEX(I.CCUS.EndRange,988))</f>
        <v/>
      </c>
      <c r="G4060" s="54"/>
      <c r="H4060" s="52" t="str">
        <f>IF(AND(I.Compliance.FulfilledCCUS&gt;0,I.CCUS.RangeCount&gt;=988,F4060=""),"Incomplete","Complete")</f>
        <v>Complete</v>
      </c>
      <c r="I4060" s="55" t="s">
        <v>4257</v>
      </c>
    </row>
    <row r="4061" spans="2:9" ht="15" customHeight="1" x14ac:dyDescent="0.25">
      <c r="B4061" s="51" t="s">
        <v>127</v>
      </c>
      <c r="C4061" s="52">
        <v>989</v>
      </c>
      <c r="D4061" s="53" t="s">
        <v>4330</v>
      </c>
      <c r="E4061" s="54"/>
      <c r="F4061" s="52" t="str">
        <f>IF(INDEX(I.CCUS.EndRange,989)="","",INDEX(I.CCUS.EndRange,989))</f>
        <v/>
      </c>
      <c r="G4061" s="54"/>
      <c r="H4061" s="52" t="str">
        <f>IF(AND(I.Compliance.FulfilledCCUS&gt;0,I.CCUS.RangeCount&gt;=989,F4061=""),"Incomplete","Complete")</f>
        <v>Complete</v>
      </c>
      <c r="I4061" s="55" t="s">
        <v>4258</v>
      </c>
    </row>
    <row r="4062" spans="2:9" ht="15" customHeight="1" x14ac:dyDescent="0.25">
      <c r="B4062" s="51" t="s">
        <v>127</v>
      </c>
      <c r="C4062" s="52">
        <v>990</v>
      </c>
      <c r="D4062" s="53" t="s">
        <v>4330</v>
      </c>
      <c r="E4062" s="54"/>
      <c r="F4062" s="52" t="str">
        <f>IF(INDEX(I.CCUS.EndRange,990)="","",INDEX(I.CCUS.EndRange,990))</f>
        <v/>
      </c>
      <c r="G4062" s="54"/>
      <c r="H4062" s="52" t="str">
        <f>IF(AND(I.Compliance.FulfilledCCUS&gt;0,I.CCUS.RangeCount&gt;=990,F4062=""),"Incomplete","Complete")</f>
        <v>Complete</v>
      </c>
      <c r="I4062" s="55" t="s">
        <v>4259</v>
      </c>
    </row>
    <row r="4063" spans="2:9" ht="15" customHeight="1" x14ac:dyDescent="0.25">
      <c r="B4063" s="51" t="s">
        <v>127</v>
      </c>
      <c r="C4063" s="52">
        <v>991</v>
      </c>
      <c r="D4063" s="53" t="s">
        <v>4330</v>
      </c>
      <c r="E4063" s="54"/>
      <c r="F4063" s="52" t="str">
        <f>IF(INDEX(I.CCUS.EndRange,991)="","",INDEX(I.CCUS.EndRange,991))</f>
        <v/>
      </c>
      <c r="G4063" s="54"/>
      <c r="H4063" s="52" t="str">
        <f>IF(AND(I.Compliance.FulfilledCCUS&gt;0,I.CCUS.RangeCount&gt;=991,F4063=""),"Incomplete","Complete")</f>
        <v>Complete</v>
      </c>
      <c r="I4063" s="55" t="s">
        <v>4260</v>
      </c>
    </row>
    <row r="4064" spans="2:9" ht="15" customHeight="1" x14ac:dyDescent="0.25">
      <c r="B4064" s="51" t="s">
        <v>127</v>
      </c>
      <c r="C4064" s="52">
        <v>992</v>
      </c>
      <c r="D4064" s="53" t="s">
        <v>4330</v>
      </c>
      <c r="E4064" s="54"/>
      <c r="F4064" s="52" t="str">
        <f>IF(INDEX(I.CCUS.EndRange,992)="","",INDEX(I.CCUS.EndRange,992))</f>
        <v/>
      </c>
      <c r="G4064" s="54"/>
      <c r="H4064" s="52" t="str">
        <f>IF(AND(I.Compliance.FulfilledCCUS&gt;0,I.CCUS.RangeCount&gt;=992,F4064=""),"Incomplete","Complete")</f>
        <v>Complete</v>
      </c>
      <c r="I4064" s="55" t="s">
        <v>4261</v>
      </c>
    </row>
    <row r="4065" spans="2:9" ht="15" customHeight="1" x14ac:dyDescent="0.25">
      <c r="B4065" s="51" t="s">
        <v>127</v>
      </c>
      <c r="C4065" s="52">
        <v>993</v>
      </c>
      <c r="D4065" s="53" t="s">
        <v>4330</v>
      </c>
      <c r="E4065" s="54"/>
      <c r="F4065" s="52" t="str">
        <f>IF(INDEX(I.CCUS.EndRange,993)="","",INDEX(I.CCUS.EndRange,993))</f>
        <v/>
      </c>
      <c r="G4065" s="54"/>
      <c r="H4065" s="52" t="str">
        <f>IF(AND(I.Compliance.FulfilledCCUS&gt;0,I.CCUS.RangeCount&gt;=993,F4065=""),"Incomplete","Complete")</f>
        <v>Complete</v>
      </c>
      <c r="I4065" s="55" t="s">
        <v>4262</v>
      </c>
    </row>
    <row r="4066" spans="2:9" ht="15" customHeight="1" x14ac:dyDescent="0.25">
      <c r="B4066" s="51" t="s">
        <v>127</v>
      </c>
      <c r="C4066" s="52">
        <v>994</v>
      </c>
      <c r="D4066" s="53" t="s">
        <v>4330</v>
      </c>
      <c r="E4066" s="54"/>
      <c r="F4066" s="52" t="str">
        <f>IF(INDEX(I.CCUS.EndRange,994)="","",INDEX(I.CCUS.EndRange,994))</f>
        <v/>
      </c>
      <c r="G4066" s="54"/>
      <c r="H4066" s="52" t="str">
        <f>IF(AND(I.Compliance.FulfilledCCUS&gt;0,I.CCUS.RangeCount&gt;=994,F4066=""),"Incomplete","Complete")</f>
        <v>Complete</v>
      </c>
      <c r="I4066" s="55" t="s">
        <v>4263</v>
      </c>
    </row>
    <row r="4067" spans="2:9" ht="15" customHeight="1" x14ac:dyDescent="0.25">
      <c r="B4067" s="51" t="s">
        <v>127</v>
      </c>
      <c r="C4067" s="52">
        <v>995</v>
      </c>
      <c r="D4067" s="53" t="s">
        <v>4330</v>
      </c>
      <c r="E4067" s="54"/>
      <c r="F4067" s="52" t="str">
        <f>IF(INDEX(I.CCUS.EndRange,995)="","",INDEX(I.CCUS.EndRange,995))</f>
        <v/>
      </c>
      <c r="G4067" s="54"/>
      <c r="H4067" s="52" t="str">
        <f>IF(AND(I.Compliance.FulfilledCCUS&gt;0,I.CCUS.RangeCount&gt;=995,F4067=""),"Incomplete","Complete")</f>
        <v>Complete</v>
      </c>
      <c r="I4067" s="55" t="s">
        <v>4264</v>
      </c>
    </row>
    <row r="4068" spans="2:9" ht="15" customHeight="1" x14ac:dyDescent="0.25">
      <c r="B4068" s="51" t="s">
        <v>127</v>
      </c>
      <c r="C4068" s="52">
        <v>996</v>
      </c>
      <c r="D4068" s="53" t="s">
        <v>4330</v>
      </c>
      <c r="E4068" s="54"/>
      <c r="F4068" s="52" t="str">
        <f>IF(INDEX(I.CCUS.EndRange,996)="","",INDEX(I.CCUS.EndRange,996))</f>
        <v/>
      </c>
      <c r="G4068" s="54"/>
      <c r="H4068" s="52" t="str">
        <f>IF(AND(I.Compliance.FulfilledCCUS&gt;0,I.CCUS.RangeCount&gt;=996,F4068=""),"Incomplete","Complete")</f>
        <v>Complete</v>
      </c>
      <c r="I4068" s="55" t="s">
        <v>4265</v>
      </c>
    </row>
    <row r="4069" spans="2:9" ht="15" customHeight="1" x14ac:dyDescent="0.25">
      <c r="B4069" s="51" t="s">
        <v>127</v>
      </c>
      <c r="C4069" s="52">
        <v>997</v>
      </c>
      <c r="D4069" s="53" t="s">
        <v>4330</v>
      </c>
      <c r="E4069" s="54"/>
      <c r="F4069" s="52" t="str">
        <f>IF(INDEX(I.CCUS.EndRange,997)="","",INDEX(I.CCUS.EndRange,997))</f>
        <v/>
      </c>
      <c r="G4069" s="54"/>
      <c r="H4069" s="52" t="str">
        <f>IF(AND(I.Compliance.FulfilledCCUS&gt;0,I.CCUS.RangeCount&gt;=997,F4069=""),"Incomplete","Complete")</f>
        <v>Complete</v>
      </c>
      <c r="I4069" s="55" t="s">
        <v>4266</v>
      </c>
    </row>
    <row r="4070" spans="2:9" ht="15" customHeight="1" x14ac:dyDescent="0.25">
      <c r="B4070" s="51" t="s">
        <v>127</v>
      </c>
      <c r="C4070" s="52">
        <v>998</v>
      </c>
      <c r="D4070" s="53" t="s">
        <v>4330</v>
      </c>
      <c r="E4070" s="54"/>
      <c r="F4070" s="52" t="str">
        <f>IF(INDEX(I.CCUS.EndRange,998)="","",INDEX(I.CCUS.EndRange,998))</f>
        <v/>
      </c>
      <c r="G4070" s="54"/>
      <c r="H4070" s="52" t="str">
        <f>IF(AND(I.Compliance.FulfilledCCUS&gt;0,I.CCUS.RangeCount&gt;=998,F4070=""),"Incomplete","Complete")</f>
        <v>Complete</v>
      </c>
      <c r="I4070" s="55" t="s">
        <v>4267</v>
      </c>
    </row>
    <row r="4071" spans="2:9" ht="15" customHeight="1" x14ac:dyDescent="0.25">
      <c r="B4071" s="51" t="s">
        <v>127</v>
      </c>
      <c r="C4071" s="52">
        <v>999</v>
      </c>
      <c r="D4071" s="53" t="s">
        <v>4330</v>
      </c>
      <c r="E4071" s="54"/>
      <c r="F4071" s="52" t="str">
        <f>IF(INDEX(I.CCUS.EndRange,999)="","",INDEX(I.CCUS.EndRange,999))</f>
        <v/>
      </c>
      <c r="G4071" s="54"/>
      <c r="H4071" s="52" t="str">
        <f>IF(AND(I.Compliance.FulfilledCCUS&gt;0,I.CCUS.RangeCount&gt;=999,F4071=""),"Incomplete","Complete")</f>
        <v>Complete</v>
      </c>
      <c r="I4071" s="55" t="s">
        <v>4268</v>
      </c>
    </row>
    <row r="4072" spans="2:9" ht="15" customHeight="1" x14ac:dyDescent="0.25">
      <c r="B4072" s="67" t="s">
        <v>127</v>
      </c>
      <c r="C4072" s="68">
        <v>1000</v>
      </c>
      <c r="D4072" s="69" t="s">
        <v>4330</v>
      </c>
      <c r="E4072" s="70"/>
      <c r="F4072" s="68" t="str">
        <f>IF(INDEX(I.CCUS.EndRange,1000)="","",INDEX(I.CCUS.EndRange,1000))</f>
        <v/>
      </c>
      <c r="G4072" s="70"/>
      <c r="H4072" s="68" t="str">
        <f>IF(AND(I.Compliance.FulfilledCCUS&gt;0,I.CCUS.RangeCount&gt;=1000,F4072=""),"Incomplete","Complete")</f>
        <v>Complete</v>
      </c>
      <c r="I4072" s="71" t="s">
        <v>4269</v>
      </c>
    </row>
    <row r="4073" spans="2:9" ht="15" customHeight="1" x14ac:dyDescent="0.25">
      <c r="B4073" s="87"/>
      <c r="C4073" s="88"/>
      <c r="D4073" s="89"/>
      <c r="E4073" s="88"/>
      <c r="F4073" s="88"/>
      <c r="G4073" s="88"/>
      <c r="H4073" s="88" t="str">
        <f>IF(AND(I.Compliance.FulfilledCCUS&gt;0,R.CCUS.FulfilledCCUS&lt;&gt;R.CCUS.CreditCount),"Incomplete","Complete")</f>
        <v>Complete</v>
      </c>
      <c r="I4073" s="90" t="s">
        <v>4308</v>
      </c>
    </row>
    <row r="4074" spans="2:9" ht="15" customHeight="1" x14ac:dyDescent="0.25">
      <c r="B4074" s="51" t="s">
        <v>110</v>
      </c>
      <c r="C4074" s="52">
        <v>1</v>
      </c>
      <c r="D4074" s="53" t="s">
        <v>266</v>
      </c>
      <c r="E4074" s="54"/>
      <c r="F4074" s="52" t="str">
        <f>IF(INDEX(I.Payment.ContactFirstName,1)="","",INDEX(I.Payment.ContactFirstName,1))</f>
        <v/>
      </c>
      <c r="G4074" s="54"/>
      <c r="H4074" s="52" t="str">
        <f>IF(AND(R.Payment.AmountDue&lt;&gt;"",R.Payment.AmountDue&gt;0,I.Payment.ContactFirstName=""),"Incomplete","Complete")</f>
        <v>Complete</v>
      </c>
      <c r="I4074" s="55" t="s">
        <v>193</v>
      </c>
    </row>
    <row r="4075" spans="2:9" ht="15" customHeight="1" x14ac:dyDescent="0.25">
      <c r="B4075" s="51" t="s">
        <v>111</v>
      </c>
      <c r="C4075" s="52">
        <v>1</v>
      </c>
      <c r="D4075" s="53" t="s">
        <v>267</v>
      </c>
      <c r="E4075" s="54"/>
      <c r="F4075" s="52" t="str">
        <f>IF(INDEX(I.Payment.ContactLastName,1)="","",INDEX(I.Payment.ContactLastName,1))</f>
        <v/>
      </c>
      <c r="G4075" s="54"/>
      <c r="H4075" s="52" t="str">
        <f>IF(AND(R.Payment.AmountDue&lt;&gt;"",R.Payment.AmountDue&gt;0,I.Payment.ContactLastName=""),"Incomplete","Complete")</f>
        <v>Complete</v>
      </c>
      <c r="I4075" s="55" t="s">
        <v>194</v>
      </c>
    </row>
    <row r="4076" spans="2:9" ht="15" customHeight="1" x14ac:dyDescent="0.25">
      <c r="B4076" s="51" t="s">
        <v>112</v>
      </c>
      <c r="C4076" s="52">
        <v>1</v>
      </c>
      <c r="D4076" s="53" t="s">
        <v>222</v>
      </c>
      <c r="E4076" s="54"/>
      <c r="F4076" s="52" t="str">
        <f>IF(INDEX(I.Payment.ContactPosition,1)="","",INDEX(I.Payment.ContactPosition,1))</f>
        <v/>
      </c>
      <c r="G4076" s="54"/>
      <c r="H4076" s="52" t="str">
        <f>IF(AND(R.Payment.AmountDue&lt;&gt;"",R.Payment.AmountDue&gt;0,I.Payment.ContactPosition=""),"Incomplete","Complete")</f>
        <v>Complete</v>
      </c>
      <c r="I4076" s="55" t="s">
        <v>195</v>
      </c>
    </row>
    <row r="4077" spans="2:9" ht="15" customHeight="1" x14ac:dyDescent="0.25">
      <c r="B4077" s="51" t="s">
        <v>113</v>
      </c>
      <c r="C4077" s="52">
        <v>1</v>
      </c>
      <c r="D4077" s="53" t="s">
        <v>223</v>
      </c>
      <c r="E4077" s="54"/>
      <c r="F4077" s="52" t="str">
        <f>IF(INDEX(I.Payment.ContactEmail,1)="","",INDEX(I.Payment.ContactEmail,1))</f>
        <v/>
      </c>
      <c r="G4077" s="54"/>
      <c r="H4077" s="52" t="str">
        <f>IF(AND(R.Payment.AmountDue&lt;&gt;"",R.Payment.AmountDue&gt;0,I.Payment.ContactEmail=""),"Incomplete","Complete")</f>
        <v>Complete</v>
      </c>
      <c r="I4077" s="55" t="s">
        <v>196</v>
      </c>
    </row>
    <row r="4078" spans="2:9" ht="15" customHeight="1" x14ac:dyDescent="0.25">
      <c r="B4078" s="51" t="s">
        <v>114</v>
      </c>
      <c r="C4078" s="52">
        <v>1</v>
      </c>
      <c r="D4078" s="53" t="s">
        <v>224</v>
      </c>
      <c r="E4078" s="54"/>
      <c r="F4078" s="52" t="str">
        <f>IF(INDEX(I.Payment.ContactAddress1,1)="","",INDEX(I.Payment.ContactAddress1,1))</f>
        <v/>
      </c>
      <c r="G4078" s="54"/>
      <c r="H4078" s="52" t="str">
        <f>IF(AND(R.Payment.AmountDue&lt;&gt;"",R.Payment.AmountDue&gt;0,I.Payment.ContactAddress1=""),"Incomplete","Complete")</f>
        <v>Complete</v>
      </c>
      <c r="I4078" s="55" t="s">
        <v>197</v>
      </c>
    </row>
    <row r="4079" spans="2:9" ht="15" customHeight="1" x14ac:dyDescent="0.25">
      <c r="B4079" s="51" t="s">
        <v>115</v>
      </c>
      <c r="C4079" s="52">
        <v>1</v>
      </c>
      <c r="D4079" s="53" t="s">
        <v>225</v>
      </c>
      <c r="E4079" s="54"/>
      <c r="F4079" s="52" t="str">
        <f>IF(INDEX(I.Payment.ContactAddress2,1)="","",INDEX(I.Payment.ContactAddress2,1))</f>
        <v/>
      </c>
      <c r="G4079" s="54"/>
      <c r="H4079" s="52"/>
      <c r="I4079" s="55"/>
    </row>
    <row r="4080" spans="2:9" ht="15" customHeight="1" x14ac:dyDescent="0.25">
      <c r="B4080" s="51" t="s">
        <v>116</v>
      </c>
      <c r="C4080" s="52">
        <v>1</v>
      </c>
      <c r="D4080" s="53" t="s">
        <v>226</v>
      </c>
      <c r="E4080" s="54"/>
      <c r="F4080" s="52" t="str">
        <f>IF(INDEX(I.Payment.ContactCity,1)="","",INDEX(I.Payment.ContactCity,1))</f>
        <v/>
      </c>
      <c r="G4080" s="54"/>
      <c r="H4080" s="52" t="str">
        <f>IF(AND(R.Payment.AmountDue&lt;&gt;"",R.Payment.AmountDue&gt;0,I.Payment.ContactCity=""),"Incomplete","Complete")</f>
        <v>Complete</v>
      </c>
      <c r="I4080" s="55" t="s">
        <v>198</v>
      </c>
    </row>
    <row r="4081" spans="2:9" ht="15" customHeight="1" x14ac:dyDescent="0.25">
      <c r="B4081" s="51" t="s">
        <v>117</v>
      </c>
      <c r="C4081" s="52">
        <v>1</v>
      </c>
      <c r="D4081" s="53" t="s">
        <v>227</v>
      </c>
      <c r="E4081" s="54"/>
      <c r="F4081" s="52" t="str">
        <f>IF(INDEX(I.Payment.ContactProvince,1)="","",INDEX(I.Payment.ContactProvince,1))</f>
        <v/>
      </c>
      <c r="G4081" s="54"/>
      <c r="H4081" s="52" t="str">
        <f>IF(AND(R.Payment.AmountDue&lt;&gt;"",R.Payment.AmountDue&gt;0,I.Payment.ContactProvince=""),"Incomplete","Complete")</f>
        <v>Complete</v>
      </c>
      <c r="I4081" s="55" t="s">
        <v>199</v>
      </c>
    </row>
    <row r="4082" spans="2:9" ht="15" customHeight="1" x14ac:dyDescent="0.25">
      <c r="B4082" s="51" t="s">
        <v>118</v>
      </c>
      <c r="C4082" s="52">
        <v>1</v>
      </c>
      <c r="D4082" s="53" t="s">
        <v>228</v>
      </c>
      <c r="E4082" s="54"/>
      <c r="F4082" s="52" t="str">
        <f>IF(INDEX(I.Payment.ContactCountry,1)="","",INDEX(I.Payment.ContactCountry,1))</f>
        <v/>
      </c>
      <c r="G4082" s="54"/>
      <c r="H4082" s="52" t="str">
        <f>IF(AND(R.Payment.AmountDue&lt;&gt;"",R.Payment.AmountDue&gt;0,I.Payment.ContactCountry=""),"Incomplete","Complete")</f>
        <v>Complete</v>
      </c>
      <c r="I4082" s="55" t="s">
        <v>200</v>
      </c>
    </row>
    <row r="4083" spans="2:9" ht="15" customHeight="1" x14ac:dyDescent="0.25">
      <c r="B4083" s="51" t="s">
        <v>119</v>
      </c>
      <c r="C4083" s="52">
        <v>1</v>
      </c>
      <c r="D4083" s="53" t="s">
        <v>229</v>
      </c>
      <c r="E4083" s="54"/>
      <c r="F4083" s="52" t="str">
        <f>IF(INDEX(I.Payment.ContactPostalCode,1)="","",INDEX(I.Payment.ContactPostalCode,1))</f>
        <v/>
      </c>
      <c r="G4083" s="54"/>
      <c r="H4083" s="52" t="str">
        <f>IF(AND(R.Payment.AmountDue&lt;&gt;"",R.Payment.AmountDue&gt;0,I.Payment.ContactPostalCode=""),"Incomplete","Complete")</f>
        <v>Complete</v>
      </c>
      <c r="I4083" s="55" t="s">
        <v>201</v>
      </c>
    </row>
    <row r="4084" spans="2:9" ht="15" customHeight="1" x14ac:dyDescent="0.25">
      <c r="B4084" s="51" t="s">
        <v>120</v>
      </c>
      <c r="C4084" s="52">
        <v>1</v>
      </c>
      <c r="D4084" s="53" t="s">
        <v>230</v>
      </c>
      <c r="E4084" s="54"/>
      <c r="F4084" s="52" t="str">
        <f>IF(INDEX(I.Payment.ContactPhone1,1)="","",INDEX(I.Payment.ContactPhone1,1))</f>
        <v/>
      </c>
      <c r="G4084" s="54"/>
      <c r="H4084" s="52" t="str">
        <f>IF(AND(R.Payment.AmountDue&lt;&gt;"",R.Payment.AmountDue&gt;0,I.Payment.ContactPhone1=""),"Incomplete","Complete")</f>
        <v>Complete</v>
      </c>
      <c r="I4084" s="55" t="s">
        <v>202</v>
      </c>
    </row>
    <row r="4085" spans="2:9" ht="15" customHeight="1" x14ac:dyDescent="0.25">
      <c r="B4085" s="51" t="s">
        <v>121</v>
      </c>
      <c r="C4085" s="52">
        <v>1</v>
      </c>
      <c r="D4085" s="53" t="s">
        <v>231</v>
      </c>
      <c r="E4085" s="54"/>
      <c r="F4085" s="52" t="str">
        <f>IF(INDEX(I.Payment.ContactPhone1Extension,1)="","",INDEX(I.Payment.ContactPhone1Extension,1))</f>
        <v/>
      </c>
      <c r="G4085" s="54"/>
      <c r="H4085" s="52"/>
      <c r="I4085" s="55"/>
    </row>
    <row r="4086" spans="2:9" ht="15" customHeight="1" x14ac:dyDescent="0.25">
      <c r="B4086" s="36" t="s">
        <v>122</v>
      </c>
      <c r="C4086" s="24">
        <v>1</v>
      </c>
      <c r="D4086" s="37" t="s">
        <v>232</v>
      </c>
      <c r="E4086" s="47"/>
      <c r="F4086" s="24" t="str">
        <f>IF(INDEX(I.Payment.ContactPhone2,1)="","",INDEX(I.Payment.ContactPhone2,1))</f>
        <v/>
      </c>
      <c r="G4086" s="47"/>
      <c r="H4086" s="24"/>
      <c r="I4086" s="39"/>
    </row>
    <row r="4087" spans="2:9" ht="15" customHeight="1" x14ac:dyDescent="0.25">
      <c r="B4087" s="77" t="s">
        <v>123</v>
      </c>
      <c r="C4087" s="78">
        <v>1</v>
      </c>
      <c r="D4087" s="79" t="s">
        <v>233</v>
      </c>
      <c r="E4087" s="91"/>
      <c r="F4087" s="78" t="str">
        <f>IF(INDEX(I.Payment.ContactPhone2Extension,1)="","",INDEX(I.Payment.ContactPhone2Extension,1))</f>
        <v/>
      </c>
      <c r="G4087" s="91"/>
      <c r="H4087" s="78"/>
      <c r="I4087" s="80"/>
    </row>
    <row r="4088" spans="2:9" ht="15" customHeight="1" x14ac:dyDescent="0.25">
      <c r="B4088" s="36" t="s">
        <v>44</v>
      </c>
      <c r="C4088" s="24">
        <v>1</v>
      </c>
      <c r="D4088" s="37" t="s">
        <v>46</v>
      </c>
      <c r="E4088" s="47"/>
      <c r="F4088" s="24" t="str">
        <f>IF(INDEX(I.Declaration.Name,1)="","",INDEX(I.Declaration.Name,1))</f>
        <v/>
      </c>
      <c r="G4088" s="47"/>
      <c r="H4088" s="24" t="str">
        <f>IF(I.Declaration.Name="","Incomplete","Complete")</f>
        <v>Incomplete</v>
      </c>
      <c r="I4088" s="39" t="s">
        <v>203</v>
      </c>
    </row>
    <row r="4089" spans="2:9" ht="15" customHeight="1" x14ac:dyDescent="0.25">
      <c r="B4089" s="77" t="s">
        <v>45</v>
      </c>
      <c r="C4089" s="78">
        <v>1</v>
      </c>
      <c r="D4089" s="79" t="s">
        <v>4305</v>
      </c>
      <c r="E4089" s="86"/>
      <c r="F4089" s="86" t="str">
        <f>IF(INDEX(I.Declaration.Date,1)="","",INDEX(I.Declaration.Date,1))</f>
        <v/>
      </c>
      <c r="G4089" s="86"/>
      <c r="H4089" s="78" t="str">
        <f>IF(I.Declaration.Date="","Incomplete","Complete")</f>
        <v>Incomplete</v>
      </c>
      <c r="I4089" s="80" t="s">
        <v>204</v>
      </c>
    </row>
  </sheetData>
  <sheetProtection algorithmName="SHA-512" hashValue="QHQFfOnSwKrQYy51TJ6Npty3b0sL8os6rKMbH/6Hyg3HcCTSL8ayJEC162OEYZ1ocEJhEyxp248lbJITjyhGDg==" saltValue="mVx14ZemxGB+IkRvBTZGbw==" spinCount="100000" sheet="1" objects="1" scenarios="1" selectLockedCells="1" selectUnlockedCell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AB6D0E600912F43A06780007612B3BE" ma:contentTypeVersion="7" ma:contentTypeDescription="Create a new document." ma:contentTypeScope="" ma:versionID="28a362090f67c88f49cf82f2c844e4ed">
  <xsd:schema xmlns:xsd="http://www.w3.org/2001/XMLSchema" xmlns:xs="http://www.w3.org/2001/XMLSchema" xmlns:p="http://schemas.microsoft.com/office/2006/metadata/properties" xmlns:ns2="bc1d42ac-7b64-45cd-9065-b9f493686385" xmlns:ns3="a20525aa-aa8a-4bba-979a-5db41298085f" targetNamespace="http://schemas.microsoft.com/office/2006/metadata/properties" ma:root="true" ma:fieldsID="76200ad4edfc8ed3f6fb22488b3ec77f" ns2:_="" ns3:_="">
    <xsd:import namespace="bc1d42ac-7b64-45cd-9065-b9f493686385"/>
    <xsd:import namespace="a20525aa-aa8a-4bba-979a-5db4129808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1d42ac-7b64-45cd-9065-b9f4936863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0525aa-aa8a-4bba-979a-5db4129808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91D224-501F-483F-8A33-1EE5E21808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1d42ac-7b64-45cd-9065-b9f493686385"/>
    <ds:schemaRef ds:uri="a20525aa-aa8a-4bba-979a-5db4129808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FFF4FA-A553-4796-8CB2-12A8738DCEAE}">
  <ds:schemaRefs>
    <ds:schemaRef ds:uri="http://www.w3.org/XML/1998/namespace"/>
    <ds:schemaRef ds:uri="http://purl.org/dc/elements/1.1/"/>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schemas.microsoft.com/office/infopath/2007/PartnerControls"/>
    <ds:schemaRef ds:uri="a20525aa-aa8a-4bba-979a-5db41298085f"/>
    <ds:schemaRef ds:uri="bc1d42ac-7b64-45cd-9065-b9f493686385"/>
  </ds:schemaRefs>
</ds:datastoreItem>
</file>

<file path=customXml/itemProps3.xml><?xml version="1.0" encoding="utf-8"?>
<ds:datastoreItem xmlns:ds="http://schemas.openxmlformats.org/officeDocument/2006/customXml" ds:itemID="{A4C0D5BB-1DA0-41B5-A29F-AB92528E6304}">
  <ds:schemaRefs>
    <ds:schemaRef ds:uri="http://schemas.microsoft.com/sharepoint/v3/contenttype/forms"/>
  </ds:schemaRefs>
</ds:datastoreItem>
</file>

<file path=docMetadata/LabelInfo.xml><?xml version="1.0" encoding="utf-8"?>
<clbl:labelList xmlns:clbl="http://schemas.microsoft.com/office/2020/mipLabelMetadata">
  <clbl:label id="{9715e697-1c31-4156-8581-01c5d1e29c65}" enabled="1" method="Standard" siteId="{cf4e8a24-641b-40d2-905e-9a328b644fa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Compliance Information</vt:lpstr>
      <vt:lpstr>Payment Information</vt:lpstr>
      <vt:lpstr>Summary</vt:lpstr>
      <vt:lpstr>Declaration</vt:lpstr>
    </vt:vector>
  </TitlesOfParts>
  <Company>Government of Saskatchewan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Environment</dc:creator>
  <cp:lastModifiedBy>Palmarin, Matthew ENV</cp:lastModifiedBy>
  <cp:lastPrinted>2025-01-27T20:33:39Z</cp:lastPrinted>
  <dcterms:created xsi:type="dcterms:W3CDTF">2024-10-18T21:33:26Z</dcterms:created>
  <dcterms:modified xsi:type="dcterms:W3CDTF">2025-02-05T21:09:21Z</dcterms:modified>
</cp:coreProperties>
</file>