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skgov-my.sharepoint.com/personal/bcompto3_gov_sk_ca/Documents/Desktop/"/>
    </mc:Choice>
  </mc:AlternateContent>
  <xr:revisionPtr revIDLastSave="0" documentId="8_{AD817068-B0CF-4765-8BBF-AD0236C73BA4}" xr6:coauthVersionLast="47" xr6:coauthVersionMax="47" xr10:uidLastSave="{00000000-0000-0000-0000-000000000000}"/>
  <bookViews>
    <workbookView xWindow="-120" yWindow="-120" windowWidth="29040" windowHeight="17520" activeTab="1" xr2:uid="{6188F0B5-FA34-4EC0-817A-E1D6637DEADC}"/>
  </bookViews>
  <sheets>
    <sheet name="READ ME" sheetId="28" r:id="rId1"/>
    <sheet name="SUMMARY" sheetId="26" r:id="rId2"/>
    <sheet name="Parkland" sheetId="16" r:id="rId3"/>
    <sheet name="SW Sask" sheetId="21" r:id="rId4"/>
    <sheet name="ASSUMPTIONS" sheetId="23" r:id="rId5"/>
    <sheet name="Seed Prices" sheetId="3" state="hidden" r:id="rId6"/>
  </sheets>
  <definedNames>
    <definedName name="_xlnm.Print_Area" localSheetId="1">SUMMARY!$B$4:$S$32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1" l="1"/>
  <c r="B26" i="16"/>
  <c r="H16" i="21"/>
  <c r="B31" i="26"/>
  <c r="B16" i="26"/>
  <c r="B9" i="16"/>
  <c r="C9" i="16"/>
  <c r="B40" i="16"/>
  <c r="C25" i="26"/>
  <c r="C24" i="26"/>
  <c r="B17" i="26"/>
  <c r="H35" i="16"/>
  <c r="C41" i="23"/>
  <c r="E41" i="23" s="1"/>
  <c r="B32" i="26" l="1"/>
  <c r="L24" i="16"/>
  <c r="L46" i="16" s="1"/>
  <c r="K24" i="16"/>
  <c r="K35" i="16" s="1"/>
  <c r="L35" i="16"/>
  <c r="I35" i="16"/>
  <c r="J24" i="16"/>
  <c r="J46" i="16" s="1"/>
  <c r="C29" i="26"/>
  <c r="C27" i="26"/>
  <c r="C26" i="26"/>
  <c r="I31" i="21"/>
  <c r="I43" i="21" s="1"/>
  <c r="H31" i="21"/>
  <c r="H43" i="21" s="1"/>
  <c r="K17" i="21"/>
  <c r="K20" i="21"/>
  <c r="K21" i="21"/>
  <c r="K18" i="21"/>
  <c r="K19" i="21"/>
  <c r="K22" i="21"/>
  <c r="I16" i="21"/>
  <c r="K34" i="21"/>
  <c r="B47" i="21"/>
  <c r="B26" i="21"/>
  <c r="B31" i="21"/>
  <c r="B46" i="21"/>
  <c r="B27" i="21"/>
  <c r="C38" i="21"/>
  <c r="C33" i="21"/>
  <c r="C25" i="21"/>
  <c r="C6" i="21"/>
  <c r="M19" i="16"/>
  <c r="C9" i="26" s="1"/>
  <c r="H17" i="16"/>
  <c r="C6" i="16"/>
  <c r="N40" i="16" s="1"/>
  <c r="F8" i="26" s="1"/>
  <c r="I18" i="16"/>
  <c r="I29" i="16" s="1"/>
  <c r="I40" i="16" s="1"/>
  <c r="I17" i="16"/>
  <c r="I28" i="16" s="1"/>
  <c r="J17" i="16"/>
  <c r="J28" i="16" s="1"/>
  <c r="J18" i="16"/>
  <c r="J29" i="16" s="1"/>
  <c r="J40" i="16" s="1"/>
  <c r="H18" i="16"/>
  <c r="H29" i="16" s="1"/>
  <c r="H40" i="16" s="1"/>
  <c r="J22" i="16"/>
  <c r="M34" i="16"/>
  <c r="B32" i="16"/>
  <c r="C48" i="16"/>
  <c r="B21" i="16"/>
  <c r="B20" i="16"/>
  <c r="C19" i="16"/>
  <c r="B19" i="16"/>
  <c r="C51" i="16"/>
  <c r="B52" i="16"/>
  <c r="B53" i="16"/>
  <c r="B54" i="16"/>
  <c r="C45" i="16"/>
  <c r="C49" i="16"/>
  <c r="C55" i="16"/>
  <c r="C56" i="16"/>
  <c r="J35" i="16" l="1"/>
  <c r="M24" i="16"/>
  <c r="K46" i="16"/>
  <c r="M17" i="16"/>
  <c r="C7" i="26" s="1"/>
  <c r="M40" i="16"/>
  <c r="E8" i="26" s="1"/>
  <c r="M29" i="16"/>
  <c r="M18" i="16"/>
  <c r="C8" i="26" s="1"/>
  <c r="I32" i="16"/>
  <c r="I43" i="16" s="1"/>
  <c r="J32" i="16"/>
  <c r="J43" i="16" s="1"/>
  <c r="H32" i="16"/>
  <c r="J31" i="16"/>
  <c r="J42" i="16" s="1"/>
  <c r="I31" i="16"/>
  <c r="I42" i="16" s="1"/>
  <c r="H31" i="16"/>
  <c r="I39" i="16"/>
  <c r="H28" i="16"/>
  <c r="C49" i="21"/>
  <c r="C48" i="21"/>
  <c r="C46" i="21"/>
  <c r="C43" i="21"/>
  <c r="C42" i="21"/>
  <c r="B41" i="21"/>
  <c r="C40" i="21"/>
  <c r="B19" i="21"/>
  <c r="B13" i="21"/>
  <c r="C18" i="21"/>
  <c r="B18" i="21"/>
  <c r="B12" i="21"/>
  <c r="C20" i="21"/>
  <c r="B13" i="16"/>
  <c r="B12" i="16"/>
  <c r="C12" i="21"/>
  <c r="C27" i="21"/>
  <c r="C12" i="16"/>
  <c r="C46" i="16"/>
  <c r="B46" i="16"/>
  <c r="B44" i="16"/>
  <c r="C43" i="16"/>
  <c r="C41" i="16"/>
  <c r="C40" i="16"/>
  <c r="C22" i="16"/>
  <c r="B14" i="16"/>
  <c r="C13" i="16"/>
  <c r="L29" i="23"/>
  <c r="G29" i="23" s="1"/>
  <c r="B28" i="16"/>
  <c r="C27" i="16"/>
  <c r="G30" i="23"/>
  <c r="C28" i="23"/>
  <c r="C39" i="16"/>
  <c r="D8" i="26" l="1"/>
  <c r="N29" i="16"/>
  <c r="G8" i="26"/>
  <c r="O40" i="16"/>
  <c r="H42" i="16"/>
  <c r="M31" i="16"/>
  <c r="D10" i="26" s="1"/>
  <c r="H39" i="16"/>
  <c r="H43" i="16"/>
  <c r="M32" i="16"/>
  <c r="D11" i="26" s="1"/>
  <c r="B45" i="21"/>
  <c r="C26" i="16"/>
  <c r="G33" i="21"/>
  <c r="H35" i="21"/>
  <c r="H47" i="21" s="1"/>
  <c r="I35" i="21"/>
  <c r="I47" i="21" s="1"/>
  <c r="G35" i="21"/>
  <c r="H32" i="21"/>
  <c r="H44" i="21" s="1"/>
  <c r="I32" i="21"/>
  <c r="I44" i="21" s="1"/>
  <c r="G32" i="21"/>
  <c r="G31" i="21"/>
  <c r="D25" i="26" s="1"/>
  <c r="H33" i="21"/>
  <c r="H45" i="21" s="1"/>
  <c r="I33" i="21"/>
  <c r="I45" i="21" s="1"/>
  <c r="G30" i="21"/>
  <c r="D24" i="26" s="1"/>
  <c r="M45" i="16"/>
  <c r="H33" i="16"/>
  <c r="H44" i="16" s="1"/>
  <c r="H30" i="16"/>
  <c r="L22" i="16"/>
  <c r="L33" i="16" s="1"/>
  <c r="L44" i="16" s="1"/>
  <c r="K22" i="16"/>
  <c r="J33" i="16"/>
  <c r="J44" i="16" s="1"/>
  <c r="I33" i="16"/>
  <c r="I44" i="16" s="1"/>
  <c r="J39" i="16"/>
  <c r="H29" i="21"/>
  <c r="H41" i="21" s="1"/>
  <c r="G16" i="21"/>
  <c r="C23" i="26" s="1"/>
  <c r="D29" i="26" l="1"/>
  <c r="D26" i="26"/>
  <c r="D27" i="26"/>
  <c r="G43" i="21"/>
  <c r="E25" i="26" s="1"/>
  <c r="G44" i="21"/>
  <c r="E26" i="26" s="1"/>
  <c r="G29" i="21"/>
  <c r="K16" i="21"/>
  <c r="J32" i="21"/>
  <c r="J33" i="21"/>
  <c r="G45" i="21"/>
  <c r="E27" i="26" s="1"/>
  <c r="J30" i="21"/>
  <c r="G42" i="21"/>
  <c r="J42" i="21" s="1"/>
  <c r="E24" i="26" s="1"/>
  <c r="J31" i="21"/>
  <c r="G47" i="21"/>
  <c r="J35" i="21"/>
  <c r="K35" i="21"/>
  <c r="N31" i="16"/>
  <c r="N32" i="16"/>
  <c r="K33" i="16"/>
  <c r="K44" i="16" s="1"/>
  <c r="M44" i="16" s="1"/>
  <c r="E12" i="26" s="1"/>
  <c r="M22" i="16"/>
  <c r="N35" i="16"/>
  <c r="I46" i="16"/>
  <c r="M28" i="16"/>
  <c r="D7" i="26" s="1"/>
  <c r="H41" i="16"/>
  <c r="M41" i="16" s="1"/>
  <c r="E9" i="26" s="1"/>
  <c r="M30" i="16"/>
  <c r="D9" i="26" s="1"/>
  <c r="M35" i="16"/>
  <c r="D14" i="26" s="1"/>
  <c r="H46" i="16"/>
  <c r="I29" i="21"/>
  <c r="M39" i="16"/>
  <c r="E7" i="26" s="1"/>
  <c r="M43" i="16"/>
  <c r="E11" i="26" s="1"/>
  <c r="M42" i="16"/>
  <c r="E10" i="26" s="1"/>
  <c r="C21" i="16"/>
  <c r="C14" i="16"/>
  <c r="C32" i="16"/>
  <c r="C9" i="21"/>
  <c r="K42" i="21" s="1"/>
  <c r="F24" i="26" s="1"/>
  <c r="C13" i="21"/>
  <c r="C19" i="21"/>
  <c r="C28" i="16"/>
  <c r="C52" i="16"/>
  <c r="C54" i="16"/>
  <c r="C47" i="21"/>
  <c r="C26" i="21"/>
  <c r="C31" i="21"/>
  <c r="C34" i="16"/>
  <c r="C53" i="16"/>
  <c r="C14" i="21"/>
  <c r="C32" i="21"/>
  <c r="K41" i="21"/>
  <c r="F23" i="26" s="1"/>
  <c r="C47" i="16"/>
  <c r="C33" i="16"/>
  <c r="C15" i="16"/>
  <c r="N39" i="16"/>
  <c r="F7" i="26" s="1"/>
  <c r="D23" i="26" l="1"/>
  <c r="J47" i="21"/>
  <c r="E29" i="26"/>
  <c r="G7" i="26"/>
  <c r="J43" i="21"/>
  <c r="G41" i="21"/>
  <c r="J44" i="21"/>
  <c r="K31" i="21"/>
  <c r="K33" i="21"/>
  <c r="K30" i="21"/>
  <c r="K32" i="21"/>
  <c r="I41" i="21"/>
  <c r="J29" i="21"/>
  <c r="K29" i="21" s="1"/>
  <c r="N30" i="16"/>
  <c r="N28" i="16"/>
  <c r="M33" i="16"/>
  <c r="D12" i="26" s="1"/>
  <c r="C34" i="21"/>
  <c r="K46" i="21" s="1"/>
  <c r="F28" i="26" s="1"/>
  <c r="J45" i="21"/>
  <c r="L42" i="21"/>
  <c r="G24" i="26" s="1"/>
  <c r="N41" i="16"/>
  <c r="F9" i="26" s="1"/>
  <c r="M46" i="16"/>
  <c r="E14" i="26" s="1"/>
  <c r="C16" i="16"/>
  <c r="N42" i="16" s="1"/>
  <c r="F10" i="26" s="1"/>
  <c r="C35" i="16"/>
  <c r="N45" i="16" s="1"/>
  <c r="F13" i="26" s="1"/>
  <c r="O39" i="16"/>
  <c r="C20" i="16"/>
  <c r="C44" i="16"/>
  <c r="C41" i="21"/>
  <c r="P4" i="3"/>
  <c r="Q4" i="3" s="1"/>
  <c r="E23" i="26" l="1"/>
  <c r="G10" i="26"/>
  <c r="G9" i="26"/>
  <c r="J41" i="21"/>
  <c r="O41" i="16"/>
  <c r="O42" i="16"/>
  <c r="N33" i="16"/>
  <c r="C23" i="16"/>
  <c r="N43" i="16" s="1"/>
  <c r="F11" i="26" s="1"/>
  <c r="C45" i="21"/>
  <c r="C50" i="21" s="1"/>
  <c r="C24" i="21"/>
  <c r="L41" i="21" l="1"/>
  <c r="G23" i="26" s="1"/>
  <c r="G11" i="26"/>
  <c r="O43" i="16"/>
  <c r="C21" i="21"/>
  <c r="K44" i="21" s="1"/>
  <c r="F26" i="26" s="1"/>
  <c r="C15" i="21"/>
  <c r="K43" i="21" s="1"/>
  <c r="F25" i="26" s="1"/>
  <c r="C28" i="21"/>
  <c r="K45" i="21" s="1"/>
  <c r="F27" i="26" s="1"/>
  <c r="K47" i="21"/>
  <c r="F29" i="26" s="1"/>
  <c r="C57" i="16"/>
  <c r="N46" i="16" s="1"/>
  <c r="F14" i="26" s="1"/>
  <c r="C29" i="16"/>
  <c r="N44" i="16" s="1"/>
  <c r="F12" i="26" s="1"/>
  <c r="G12" i="26" l="1"/>
  <c r="G14" i="26"/>
  <c r="L47" i="21"/>
  <c r="G29" i="26" s="1"/>
  <c r="L45" i="21"/>
  <c r="G27" i="26" s="1"/>
  <c r="L43" i="21"/>
  <c r="G25" i="26" s="1"/>
  <c r="L44" i="21"/>
  <c r="G26" i="26" s="1"/>
  <c r="O44" i="16"/>
  <c r="O46" i="16"/>
</calcChain>
</file>

<file path=xl/sharedStrings.xml><?xml version="1.0" encoding="utf-8"?>
<sst xmlns="http://schemas.openxmlformats.org/spreadsheetml/2006/main" count="456" uniqueCount="200">
  <si>
    <r>
      <rPr>
        <b/>
        <sz val="10"/>
        <color theme="1"/>
        <rFont val="Aptos Narrow"/>
        <family val="2"/>
        <scheme val="minor"/>
      </rPr>
      <t>Disclaimer</t>
    </r>
    <r>
      <rPr>
        <sz val="10"/>
        <color theme="1"/>
        <rFont val="Aptos Narrow"/>
        <family val="2"/>
        <scheme val="minor"/>
      </rPr>
      <t xml:space="preserve">:  Interpretation and utilization of this information is the responsibility of the user. No liability for decisions based on this calculator are assumed. </t>
    </r>
  </si>
  <si>
    <t>June 2026</t>
  </si>
  <si>
    <t>THE VALUES IN THE TABLES BELOW COME FROM THE PARKLAND AND SW SASK TABS (worksheets)</t>
  </si>
  <si>
    <r>
      <t xml:space="preserve">To adjust values change </t>
    </r>
    <r>
      <rPr>
        <b/>
        <sz val="14"/>
        <color rgb="FF0070C0"/>
        <rFont val="Aptos Narrow"/>
        <family val="2"/>
        <scheme val="minor"/>
      </rPr>
      <t>blue numbers</t>
    </r>
    <r>
      <rPr>
        <sz val="11"/>
        <color theme="1"/>
        <rFont val="Aptos Narrow"/>
        <family val="2"/>
        <scheme val="minor"/>
      </rPr>
      <t xml:space="preserve"> in 'Parkland', 'SW Sask' and 'ASSUMPTIONS' tabs</t>
    </r>
  </si>
  <si>
    <r>
      <t xml:space="preserve">Table 1. Net return per acre totalled over three years for rejuvenation options </t>
    </r>
    <r>
      <rPr>
        <b/>
        <sz val="11"/>
        <color rgb="FFC00000"/>
        <rFont val="Aptos Narrow"/>
        <family val="2"/>
        <scheme val="minor"/>
      </rPr>
      <t>(PARKLAND)</t>
    </r>
  </si>
  <si>
    <t>Method</t>
  </si>
  <si>
    <t>Production Change, %</t>
  </si>
  <si>
    <t>Yield Change lb/ac</t>
  </si>
  <si>
    <r>
      <t>Value</t>
    </r>
    <r>
      <rPr>
        <b/>
        <vertAlign val="superscript"/>
        <sz val="11"/>
        <color theme="1"/>
        <rFont val="Aptos Narrow"/>
        <family val="2"/>
      </rPr>
      <t>†</t>
    </r>
    <r>
      <rPr>
        <b/>
        <sz val="11"/>
        <color theme="1"/>
        <rFont val="Aptos Narrow"/>
        <family val="2"/>
        <scheme val="minor"/>
      </rPr>
      <t xml:space="preserve"> $/ac</t>
    </r>
  </si>
  <si>
    <t>Cost $/ac</t>
  </si>
  <si>
    <t>Net Return $/ac</t>
  </si>
  <si>
    <t>Spike</t>
  </si>
  <si>
    <t>Knives</t>
  </si>
  <si>
    <t>Mow</t>
  </si>
  <si>
    <t>Broadcast Fertilizer</t>
  </si>
  <si>
    <t>—</t>
  </si>
  <si>
    <t>Deepband Fertilizer</t>
  </si>
  <si>
    <t>Sodseed*</t>
  </si>
  <si>
    <t>Overseed</t>
  </si>
  <si>
    <t>no yield data</t>
  </si>
  <si>
    <t>N/A</t>
  </si>
  <si>
    <t>Break and Reseed*</t>
  </si>
  <si>
    <t>*Based on 5 yr to allow for full establishment and yield response</t>
  </si>
  <si>
    <r>
      <t xml:space="preserve">Table 2. Net return per acre totaled over three years for rejuvenation options </t>
    </r>
    <r>
      <rPr>
        <b/>
        <sz val="11"/>
        <color rgb="FFC00000"/>
        <rFont val="Aptos Narrow"/>
        <family val="2"/>
        <scheme val="minor"/>
      </rPr>
      <t>(SOUTHWEST SASK)</t>
    </r>
  </si>
  <si>
    <r>
      <t xml:space="preserve">To change values in Column C, change the </t>
    </r>
    <r>
      <rPr>
        <b/>
        <i/>
        <sz val="14"/>
        <color rgb="FF0070C0"/>
        <rFont val="Aptos Narrow"/>
        <family val="2"/>
        <scheme val="minor"/>
      </rPr>
      <t>blue values</t>
    </r>
    <r>
      <rPr>
        <b/>
        <i/>
        <sz val="14"/>
        <color rgb="FFFF0000"/>
        <rFont val="Aptos Narrow"/>
        <family val="2"/>
        <scheme val="minor"/>
      </rPr>
      <t xml:space="preserve"> in the 'ASSUMPTIONS' tab (i.e. worksheet)</t>
    </r>
  </si>
  <si>
    <t>TREATMENT COST ASSUMPTIONS</t>
  </si>
  <si>
    <t>CALCULATIONS OF YIELD RESPONSE and VALUE OF YIELD BY TREATMENT</t>
  </si>
  <si>
    <t>Operation</t>
  </si>
  <si>
    <t>Cost 
$/ac</t>
  </si>
  <si>
    <t>Assumptions for base yield</t>
  </si>
  <si>
    <t>Spike/Knives</t>
  </si>
  <si>
    <t>Base yield (lbs/ac)</t>
  </si>
  <si>
    <t>1 pass with heavy duty cultivator</t>
  </si>
  <si>
    <t>Sod Seed</t>
  </si>
  <si>
    <t>Numbers in BLUE FONT can be changed</t>
  </si>
  <si>
    <t>Overseeding Legumes</t>
  </si>
  <si>
    <t>Deep Band Fertilizer</t>
  </si>
  <si>
    <t>Break and Reseed</t>
  </si>
  <si>
    <t>Application</t>
  </si>
  <si>
    <t>Change in forage production</t>
  </si>
  <si>
    <t>Total</t>
  </si>
  <si>
    <t>Year 1</t>
  </si>
  <si>
    <t>Year 2</t>
  </si>
  <si>
    <t>Year 3</t>
  </si>
  <si>
    <t>Year 4</t>
  </si>
  <si>
    <t>Year 5</t>
  </si>
  <si>
    <t>Sum Total</t>
  </si>
  <si>
    <t>Spike, %</t>
  </si>
  <si>
    <t>Knives, %</t>
  </si>
  <si>
    <t>Mow, %</t>
  </si>
  <si>
    <t>Broadcast Fertilizer, lb per lb N</t>
  </si>
  <si>
    <t>Deep Band Fertilizer, lb per lb N</t>
  </si>
  <si>
    <r>
      <t xml:space="preserve">Application </t>
    </r>
    <r>
      <rPr>
        <sz val="11"/>
        <color theme="1"/>
        <rFont val="Aptos Narrow"/>
        <family val="2"/>
        <scheme val="minor"/>
      </rPr>
      <t>(Air seeder)</t>
    </r>
  </si>
  <si>
    <t>Sod Seed, %</t>
  </si>
  <si>
    <t>Break and Reseed, lb/ac</t>
  </si>
  <si>
    <t>Change in forage production (lbs./ac)</t>
  </si>
  <si>
    <r>
      <t xml:space="preserve">Seeding </t>
    </r>
    <r>
      <rPr>
        <sz val="11"/>
        <color theme="1"/>
        <rFont val="Aptos Narrow"/>
        <family val="2"/>
        <scheme val="minor"/>
      </rPr>
      <t>(Air disc drilll)</t>
    </r>
  </si>
  <si>
    <t>Value</t>
  </si>
  <si>
    <t>Seeding (Broadcast application)</t>
  </si>
  <si>
    <t>Harrow (Heavy harrow)</t>
  </si>
  <si>
    <t>Value of Forage Production, Cost of Rejuvenation, and Net Return of Forage Production ($/ac)</t>
  </si>
  <si>
    <t>Year one</t>
  </si>
  <si>
    <t>Total Value</t>
  </si>
  <si>
    <t>Costs</t>
  </si>
  <si>
    <t>Net Returns</t>
  </si>
  <si>
    <t>Spray 1L Roundup</t>
  </si>
  <si>
    <t>2 passes with a heavy duty cultivator before freeze-up</t>
  </si>
  <si>
    <t>Year two</t>
  </si>
  <si>
    <t>Seeding (Air seeder)</t>
  </si>
  <si>
    <t>Fertilizer application (broadcast)</t>
  </si>
  <si>
    <t>Greenfeed cut &amp; bale</t>
  </si>
  <si>
    <t>One pass with heavy disk in fall</t>
  </si>
  <si>
    <t>Year three</t>
  </si>
  <si>
    <t>1 pass with heavy duty cultivator in spring</t>
  </si>
  <si>
    <t>Harrow and pack</t>
  </si>
  <si>
    <t xml:space="preserve"> Cost 
$/ac</t>
  </si>
  <si>
    <t>Base yield (lbs./ac)</t>
  </si>
  <si>
    <t>10 ft. Mower at 5 ac/hr ($100/hr)</t>
  </si>
  <si>
    <t>Application (Broadcast)</t>
  </si>
  <si>
    <t>Change in forage production (%)</t>
  </si>
  <si>
    <t>3 Yr</t>
  </si>
  <si>
    <t>Application (Air seeder)</t>
  </si>
  <si>
    <r>
      <t>Seeding (</t>
    </r>
    <r>
      <rPr>
        <sz val="11"/>
        <color theme="1"/>
        <rFont val="Aptos Narrow"/>
        <family val="2"/>
        <scheme val="minor"/>
      </rPr>
      <t>Air disc drill)</t>
    </r>
  </si>
  <si>
    <t>The % change in forage production is multiplied by the base yield.</t>
  </si>
  <si>
    <t>3 Yr Yld</t>
  </si>
  <si>
    <t>3 Yr Value</t>
  </si>
  <si>
    <t>Heavy tandem disk (2 operations)</t>
  </si>
  <si>
    <t>Swathing and baling greenfeed (2 ba/ac)</t>
  </si>
  <si>
    <t>n/a</t>
  </si>
  <si>
    <t>PRICE ASSUMPTIONS for Calculation of Costs, Returns and Net Returns</t>
  </si>
  <si>
    <t>Cost Assumptions</t>
  </si>
  <si>
    <t>Rate</t>
  </si>
  <si>
    <t>Unit</t>
  </si>
  <si>
    <t>Suggested Values</t>
  </si>
  <si>
    <t>Source</t>
  </si>
  <si>
    <t>AgroPlow (includes tractor)</t>
  </si>
  <si>
    <t>$/acre</t>
  </si>
  <si>
    <t>$15.50/ac AgroPlow + 21.50/ac tractor</t>
  </si>
  <si>
    <t>Kelln, 2022</t>
  </si>
  <si>
    <t>Air Disc Drill</t>
  </si>
  <si>
    <t>$33.00 - 35.24 per ac</t>
  </si>
  <si>
    <t>SMA, 2024</t>
  </si>
  <si>
    <t>Air Seeder</t>
  </si>
  <si>
    <t>$26.33 - 34.95 per ac</t>
  </si>
  <si>
    <t>Baler</t>
  </si>
  <si>
    <t>$/bale</t>
  </si>
  <si>
    <t>$9.47-$17.02 per bale</t>
  </si>
  <si>
    <t>Broadcast Fertilizer/Seed</t>
  </si>
  <si>
    <t xml:space="preserve"> $10 - 20 per ac</t>
  </si>
  <si>
    <t>ADOPT 20200493</t>
  </si>
  <si>
    <t>https://agriculturereports.saskatchewan.ca/ADF/ADF_Admin/Reports/20200493.pdf</t>
  </si>
  <si>
    <t>Haul Bales</t>
  </si>
  <si>
    <t>$/hour</t>
  </si>
  <si>
    <t>$176.06 - 250.53 per hr</t>
  </si>
  <si>
    <t>Heavy Duty Cultivator</t>
  </si>
  <si>
    <t>$16.08 - 21.42 per ac</t>
  </si>
  <si>
    <t>Heavy Harrows</t>
  </si>
  <si>
    <t>$7.09 - 8.93 per ac</t>
  </si>
  <si>
    <t>Heavy tandem discs</t>
  </si>
  <si>
    <t>$15.50 per ac</t>
  </si>
  <si>
    <t>Flaman Rentals</t>
  </si>
  <si>
    <t>High Clearance Sprayer</t>
  </si>
  <si>
    <t>$8.89 - 9.53 per ac</t>
  </si>
  <si>
    <t>OPACA custom rate survey for discing  $24/ac in 2021 (ON)</t>
  </si>
  <si>
    <t>Land Roll</t>
  </si>
  <si>
    <t>$10.09 - 19.03 per ac</t>
  </si>
  <si>
    <t>SP Mower Conditioner</t>
  </si>
  <si>
    <t>$22.02-32.67 per ac</t>
  </si>
  <si>
    <t>Rotary Mower</t>
  </si>
  <si>
    <t>$/hr</t>
  </si>
  <si>
    <t>Assumed 10 ft mower @ 4 mph</t>
  </si>
  <si>
    <t xml:space="preserve">   Mower Rate</t>
  </si>
  <si>
    <t>ac/hr</t>
  </si>
  <si>
    <t>Acres per Hour = (Width (ft) x Speed (mph) x Efficiency %) / 8.25</t>
  </si>
  <si>
    <t>Packer Harrows</t>
  </si>
  <si>
    <t>$5.80 per ac</t>
  </si>
  <si>
    <t>Spot Spraying</t>
  </si>
  <si>
    <t>Swather</t>
  </si>
  <si>
    <t>$12.10 - 14.65</t>
  </si>
  <si>
    <t>Vertical Tillage</t>
  </si>
  <si>
    <t>$23.90 - 33.17 per ac</t>
  </si>
  <si>
    <r>
      <t xml:space="preserve">Source: Rates based on custom rate range in Saskatchewan Ministry of Agriculture's </t>
    </r>
    <r>
      <rPr>
        <i/>
        <sz val="9"/>
        <color theme="1"/>
        <rFont val="Aptos Narrow"/>
        <family val="2"/>
        <scheme val="minor"/>
      </rPr>
      <t>2024-25 Farm Machinery Custom and Rental Rate Guide</t>
    </r>
  </si>
  <si>
    <t>https://publications.saskatchewan.ca/#/products/76527</t>
  </si>
  <si>
    <t>Where required, historical values were converted to 2025 values using BofC Inflation Calculator</t>
  </si>
  <si>
    <t>https://www.bankofcanada.ca/rates/related/inflation-calculator/</t>
  </si>
  <si>
    <t>Inputs</t>
  </si>
  <si>
    <t>Price</t>
  </si>
  <si>
    <t>Glyphosate</t>
  </si>
  <si>
    <t>$/L</t>
  </si>
  <si>
    <t>Alberta Farm Input Price Database</t>
  </si>
  <si>
    <t>TruRange/Navius</t>
  </si>
  <si>
    <t>$/g</t>
  </si>
  <si>
    <t>1.361 kg per jug; apply 167 g/ha</t>
  </si>
  <si>
    <t>N fertilizer</t>
  </si>
  <si>
    <t>$/lb</t>
  </si>
  <si>
    <t>2026 SK Crop Planning Guide</t>
  </si>
  <si>
    <t>AB Farm Input Database (46-0-0)</t>
  </si>
  <si>
    <t>Jan-Oct 2025</t>
  </si>
  <si>
    <t>P fertilizer</t>
  </si>
  <si>
    <t>AB Farm Input Database (11-52-0)</t>
  </si>
  <si>
    <t>https://open.alberta.ca/publications/0704-917x</t>
  </si>
  <si>
    <t>S fertilizer</t>
  </si>
  <si>
    <t>SEED</t>
  </si>
  <si>
    <t>Crested Wheatgrass</t>
  </si>
  <si>
    <t>2025 SK Forage Guide; Range of values: Fairway 6.50-6.60, Kirk 6.10-6.40</t>
  </si>
  <si>
    <t>Wheatgrass</t>
  </si>
  <si>
    <t>2025 SK Forage Guide; Range of values: 5.90, 7.50</t>
  </si>
  <si>
    <t>Alfalfa</t>
  </si>
  <si>
    <t>2025 SK Forage Market Report; Hay 5.60; Creeping 5.08-5.99</t>
  </si>
  <si>
    <t>AC Grazeland (yellow)</t>
  </si>
  <si>
    <t>UFA $339 per 25 kg = $6.16/lb</t>
  </si>
  <si>
    <t>Cicer Milk Vetch</t>
  </si>
  <si>
    <t>2025 SK Forage Market Report; Cicer 6.80-8.62; Common 7.50</t>
  </si>
  <si>
    <t>Sainfoin</t>
  </si>
  <si>
    <t>2025 SK Forage Market Report</t>
  </si>
  <si>
    <t>Smooth Brome (Certified)</t>
  </si>
  <si>
    <t>2025 SK Forage Market Report; $5.16-6.90 per lb Avg: 6.18</t>
  </si>
  <si>
    <t>Oats</t>
  </si>
  <si>
    <t>$/bushel</t>
  </si>
  <si>
    <t>Red Clover</t>
  </si>
  <si>
    <t>Trawin Seeds, May 2026</t>
  </si>
  <si>
    <t>YIELD VALUATION (RETURNS)</t>
  </si>
  <si>
    <t>Note: values entered as whole cent values (no decimals)</t>
  </si>
  <si>
    <t>Pasture Grass</t>
  </si>
  <si>
    <t>Based on cow eating 35 lb per d and $1.25-1.50/d pasture rent</t>
  </si>
  <si>
    <t>Greenfeed</t>
  </si>
  <si>
    <t>Fall 2025 SK Forage Market Report; $149.54/tonne</t>
  </si>
  <si>
    <t>Alfalfa-grass hay</t>
  </si>
  <si>
    <t>Fall 2025 SK Forage Market Report; $173.05/tonne</t>
  </si>
  <si>
    <t>Grass hay</t>
  </si>
  <si>
    <t>Fall 2025 SK Forage Market Report; $161.25/tonne</t>
  </si>
  <si>
    <t>Forage Seed Prices</t>
  </si>
  <si>
    <t>https://www.saskforage.ca/resources</t>
  </si>
  <si>
    <t>Winter 2024 Report</t>
  </si>
  <si>
    <t>ADDITIONAL SEED PRICES</t>
  </si>
  <si>
    <t>$/bu</t>
  </si>
  <si>
    <t>$/kg</t>
  </si>
  <si>
    <t>AC Grazeland alfalfa</t>
  </si>
  <si>
    <t>https://ufa.com/myUFA/Animals/Animal-Nutrition/Range-and-Pasture/Legume-Seed/Ac-Grazeland-Br-Alfalfa---25-kg</t>
  </si>
  <si>
    <t>Haymaker Oats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</si>
</sst>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_(* #,##0_);_(* \(#,##0\);_(* &quot;-&quot;??_);_(@_)"/>
  </numFmts>
  <fonts count="32" x14ac:knownFonts="1">
    <font>
      <sz val="11"/>
      <color theme="1"/>
      <name val="Aptos Narrow"/>
      <family val="2"/>
      <scheme val="minor"/>
    </font>
    <font>
      <b/>
      <sz val="12"/>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i/>
      <sz val="11"/>
      <color rgb="FFFF0000"/>
      <name val="Aptos Narrow"/>
      <family val="2"/>
      <scheme val="minor"/>
    </font>
    <font>
      <b/>
      <i/>
      <sz val="11"/>
      <color theme="1"/>
      <name val="Aptos Narrow"/>
      <family val="2"/>
      <scheme val="minor"/>
    </font>
    <font>
      <sz val="11"/>
      <color rgb="FFFF0000"/>
      <name val="Aptos Narrow"/>
      <family val="2"/>
      <scheme val="minor"/>
    </font>
    <font>
      <b/>
      <sz val="11"/>
      <color rgb="FF0070C0"/>
      <name val="Aptos Narrow"/>
      <family val="2"/>
      <scheme val="minor"/>
    </font>
    <font>
      <sz val="11"/>
      <name val="Aptos Narrow"/>
      <family val="2"/>
      <scheme val="minor"/>
    </font>
    <font>
      <b/>
      <sz val="14"/>
      <color rgb="FFFF0000"/>
      <name val="Aptos Narrow"/>
      <family val="2"/>
      <scheme val="minor"/>
    </font>
    <font>
      <u/>
      <sz val="11"/>
      <color theme="1"/>
      <name val="Aptos Narrow"/>
      <family val="2"/>
      <scheme val="minor"/>
    </font>
    <font>
      <sz val="14"/>
      <color rgb="FFFF0000"/>
      <name val="Aptos Narrow"/>
      <family val="2"/>
      <scheme val="minor"/>
    </font>
    <font>
      <sz val="10"/>
      <color theme="1"/>
      <name val="Aptos Narrow"/>
      <family val="2"/>
      <scheme val="minor"/>
    </font>
    <font>
      <b/>
      <sz val="14"/>
      <color rgb="FF0070C0"/>
      <name val="Aptos Narrow"/>
      <family val="2"/>
      <scheme val="minor"/>
    </font>
    <font>
      <b/>
      <i/>
      <sz val="14"/>
      <color rgb="FFFF0000"/>
      <name val="Aptos Narrow"/>
      <family val="2"/>
      <scheme val="minor"/>
    </font>
    <font>
      <b/>
      <sz val="11"/>
      <color theme="0"/>
      <name val="Aptos Narrow"/>
      <family val="2"/>
      <scheme val="minor"/>
    </font>
    <font>
      <sz val="11"/>
      <color theme="0"/>
      <name val="Aptos Narrow"/>
      <family val="2"/>
      <scheme val="minor"/>
    </font>
    <font>
      <b/>
      <sz val="11"/>
      <color rgb="FFC00000"/>
      <name val="Aptos Narrow"/>
      <family val="2"/>
      <scheme val="minor"/>
    </font>
    <font>
      <b/>
      <vertAlign val="superscript"/>
      <sz val="11"/>
      <color theme="1"/>
      <name val="Aptos Narrow"/>
      <family val="2"/>
    </font>
    <font>
      <b/>
      <sz val="16"/>
      <color rgb="FFFF0000"/>
      <name val="Aptos Narrow"/>
      <family val="2"/>
      <scheme val="minor"/>
    </font>
    <font>
      <u/>
      <sz val="11"/>
      <color theme="0"/>
      <name val="Aptos Narrow"/>
      <family val="2"/>
      <scheme val="minor"/>
    </font>
    <font>
      <sz val="8"/>
      <name val="Aptos Narrow"/>
      <family val="2"/>
      <scheme val="minor"/>
    </font>
    <font>
      <sz val="9"/>
      <color theme="1"/>
      <name val="Aptos Narrow"/>
      <family val="2"/>
      <scheme val="minor"/>
    </font>
    <font>
      <i/>
      <sz val="9"/>
      <color theme="1"/>
      <name val="Aptos Narrow"/>
      <family val="2"/>
      <scheme val="minor"/>
    </font>
    <font>
      <u/>
      <sz val="8"/>
      <color theme="10"/>
      <name val="Aptos Narrow"/>
      <family val="2"/>
      <scheme val="minor"/>
    </font>
    <font>
      <sz val="14"/>
      <color theme="1"/>
      <name val="Aptos Narrow"/>
      <family val="2"/>
      <scheme val="minor"/>
    </font>
    <font>
      <b/>
      <sz val="14"/>
      <color theme="1"/>
      <name val="Aptos Narrow"/>
      <family val="2"/>
      <scheme val="minor"/>
    </font>
    <font>
      <b/>
      <i/>
      <sz val="14"/>
      <color rgb="FF0070C0"/>
      <name val="Aptos Narrow"/>
      <family val="2"/>
      <scheme val="minor"/>
    </font>
    <font>
      <b/>
      <sz val="10"/>
      <color theme="1"/>
      <name val="Aptos Narrow"/>
      <family val="2"/>
      <scheme val="minor"/>
    </font>
    <font>
      <b/>
      <sz val="16"/>
      <color rgb="FF0B734B"/>
      <name val="Aptos Narrow"/>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2" fillId="0" borderId="0" applyFon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140">
    <xf numFmtId="0" fontId="0" fillId="0" borderId="0" xfId="0"/>
    <xf numFmtId="0" fontId="1" fillId="0" borderId="0" xfId="0" applyFont="1"/>
    <xf numFmtId="0" fontId="1" fillId="0" borderId="1" xfId="0" applyFont="1" applyBorder="1"/>
    <xf numFmtId="0" fontId="0" fillId="0" borderId="0" xfId="0" applyAlignment="1">
      <alignment horizontal="center"/>
    </xf>
    <xf numFmtId="0" fontId="3" fillId="0" borderId="0" xfId="0" applyFont="1"/>
    <xf numFmtId="0" fontId="5" fillId="0" borderId="0" xfId="0" applyFont="1"/>
    <xf numFmtId="2" fontId="0" fillId="0" borderId="0" xfId="0" applyNumberFormat="1"/>
    <xf numFmtId="0" fontId="7" fillId="0" borderId="0" xfId="0" applyFont="1"/>
    <xf numFmtId="0" fontId="0" fillId="2" borderId="0" xfId="0" applyFill="1"/>
    <xf numFmtId="0" fontId="8" fillId="0" borderId="0" xfId="0" applyFont="1"/>
    <xf numFmtId="0" fontId="3" fillId="0" borderId="3" xfId="0" applyFont="1" applyBorder="1"/>
    <xf numFmtId="2" fontId="0" fillId="0" borderId="0" xfId="0" applyNumberFormat="1" applyAlignment="1">
      <alignment horizontal="center"/>
    </xf>
    <xf numFmtId="0" fontId="0" fillId="0" borderId="2" xfId="0" applyBorder="1"/>
    <xf numFmtId="0" fontId="9" fillId="0" borderId="0" xfId="0" applyFont="1"/>
    <xf numFmtId="0" fontId="0" fillId="0" borderId="0" xfId="0" applyAlignment="1">
      <alignment horizontal="right"/>
    </xf>
    <xf numFmtId="44" fontId="0" fillId="0" borderId="0" xfId="3" applyFont="1"/>
    <xf numFmtId="44" fontId="0" fillId="0" borderId="0" xfId="0" applyNumberFormat="1"/>
    <xf numFmtId="0" fontId="8" fillId="0" borderId="0" xfId="0" applyFont="1" applyAlignment="1">
      <alignment horizontal="center"/>
    </xf>
    <xf numFmtId="0" fontId="3" fillId="0" borderId="0" xfId="0" applyFont="1" applyAlignment="1">
      <alignment horizontal="center"/>
    </xf>
    <xf numFmtId="0" fontId="10" fillId="0" borderId="0" xfId="0" applyFont="1"/>
    <xf numFmtId="44" fontId="0" fillId="0" borderId="0" xfId="3" applyFont="1" applyBorder="1"/>
    <xf numFmtId="0" fontId="12" fillId="0" borderId="0" xfId="0" applyFont="1"/>
    <xf numFmtId="44" fontId="0" fillId="0" borderId="0" xfId="3" applyFont="1" applyFill="1"/>
    <xf numFmtId="44" fontId="3" fillId="0" borderId="0" xfId="0" applyNumberFormat="1" applyFont="1"/>
    <xf numFmtId="44" fontId="3" fillId="0" borderId="0" xfId="3" applyFont="1"/>
    <xf numFmtId="165" fontId="0" fillId="0" borderId="0" xfId="4" applyNumberFormat="1" applyFont="1"/>
    <xf numFmtId="2" fontId="10" fillId="0" borderId="0" xfId="0" quotePrefix="1" applyNumberFormat="1" applyFont="1"/>
    <xf numFmtId="0" fontId="6" fillId="0" borderId="0" xfId="0" applyFont="1"/>
    <xf numFmtId="0" fontId="3" fillId="0" borderId="2" xfId="0" applyFont="1" applyBorder="1"/>
    <xf numFmtId="44" fontId="0" fillId="0" borderId="2" xfId="0" applyNumberFormat="1" applyBorder="1"/>
    <xf numFmtId="0" fontId="3" fillId="0" borderId="1" xfId="0" applyFont="1" applyBorder="1"/>
    <xf numFmtId="0" fontId="3" fillId="0" borderId="1" xfId="0" applyFont="1" applyBorder="1" applyAlignment="1">
      <alignment horizontal="center" wrapText="1"/>
    </xf>
    <xf numFmtId="0" fontId="3" fillId="0" borderId="2" xfId="0" applyFont="1" applyBorder="1" applyAlignment="1">
      <alignment horizontal="right"/>
    </xf>
    <xf numFmtId="0" fontId="5" fillId="0" borderId="0" xfId="0" applyFont="1" applyAlignment="1">
      <alignment horizontal="left"/>
    </xf>
    <xf numFmtId="0" fontId="0" fillId="0" borderId="0" xfId="0" applyAlignment="1">
      <alignment vertical="center"/>
    </xf>
    <xf numFmtId="165" fontId="0" fillId="0" borderId="0" xfId="4" applyNumberFormat="1" applyFont="1" applyAlignment="1">
      <alignment horizontal="right"/>
    </xf>
    <xf numFmtId="165" fontId="0" fillId="0" borderId="2" xfId="4" applyNumberFormat="1" applyFont="1" applyBorder="1"/>
    <xf numFmtId="0" fontId="3" fillId="0" borderId="0" xfId="0" applyFont="1" applyAlignment="1">
      <alignment horizontal="left"/>
    </xf>
    <xf numFmtId="0" fontId="4" fillId="0" borderId="0" xfId="2" applyBorder="1"/>
    <xf numFmtId="2" fontId="8" fillId="0" borderId="0" xfId="0" applyNumberFormat="1" applyFont="1" applyAlignment="1">
      <alignment horizontal="center"/>
    </xf>
    <xf numFmtId="44" fontId="0" fillId="0" borderId="0" xfId="0" applyNumberFormat="1" applyAlignment="1">
      <alignment horizontal="right"/>
    </xf>
    <xf numFmtId="44" fontId="10" fillId="0" borderId="0" xfId="3" applyFont="1"/>
    <xf numFmtId="0" fontId="15" fillId="0" borderId="0" xfId="0" applyFont="1"/>
    <xf numFmtId="0" fontId="11" fillId="0" borderId="0" xfId="0" applyFont="1"/>
    <xf numFmtId="44" fontId="0" fillId="0" borderId="0" xfId="3" applyFont="1" applyFill="1" applyBorder="1"/>
    <xf numFmtId="0" fontId="3" fillId="0" borderId="4" xfId="0" applyFont="1" applyBorder="1"/>
    <xf numFmtId="0" fontId="3" fillId="0" borderId="4" xfId="0" applyFont="1" applyBorder="1" applyAlignment="1">
      <alignment horizontal="center" wrapText="1"/>
    </xf>
    <xf numFmtId="0" fontId="0" fillId="0" borderId="6" xfId="0" applyBorder="1"/>
    <xf numFmtId="0" fontId="0" fillId="0" borderId="7" xfId="0" applyBorder="1"/>
    <xf numFmtId="164" fontId="0" fillId="0" borderId="5" xfId="3" applyNumberFormat="1" applyFont="1" applyFill="1" applyBorder="1" applyAlignment="1">
      <alignment horizontal="center"/>
    </xf>
    <xf numFmtId="164" fontId="0" fillId="0" borderId="6" xfId="3" applyNumberFormat="1" applyFont="1" applyFill="1" applyBorder="1" applyAlignment="1">
      <alignment horizontal="center"/>
    </xf>
    <xf numFmtId="164" fontId="0" fillId="0" borderId="6" xfId="0" applyNumberFormat="1" applyBorder="1" applyAlignment="1">
      <alignment horizontal="center"/>
    </xf>
    <xf numFmtId="0" fontId="0" fillId="0" borderId="6" xfId="0" applyBorder="1" applyAlignment="1">
      <alignment horizontal="center"/>
    </xf>
    <xf numFmtId="0" fontId="14" fillId="0" borderId="6" xfId="0" applyFont="1" applyBorder="1" applyAlignment="1">
      <alignment horizontal="center"/>
    </xf>
    <xf numFmtId="0" fontId="0" fillId="0" borderId="7" xfId="0" applyBorder="1" applyAlignment="1">
      <alignment horizontal="center"/>
    </xf>
    <xf numFmtId="165" fontId="0" fillId="0" borderId="5" xfId="0" applyNumberFormat="1" applyBorder="1"/>
    <xf numFmtId="165" fontId="0" fillId="0" borderId="6" xfId="0" applyNumberFormat="1" applyBorder="1"/>
    <xf numFmtId="0" fontId="0" fillId="0" borderId="6" xfId="0" applyBorder="1" applyAlignment="1">
      <alignment horizontal="right"/>
    </xf>
    <xf numFmtId="165" fontId="0" fillId="0" borderId="7" xfId="0" applyNumberFormat="1" applyBorder="1"/>
    <xf numFmtId="0" fontId="3" fillId="0" borderId="4" xfId="0" applyFont="1" applyBorder="1" applyAlignment="1">
      <alignment horizontal="right" wrapText="1"/>
    </xf>
    <xf numFmtId="44" fontId="0" fillId="0" borderId="5" xfId="0" applyNumberFormat="1" applyBorder="1"/>
    <xf numFmtId="44" fontId="0" fillId="0" borderId="6" xfId="0" applyNumberFormat="1" applyBorder="1"/>
    <xf numFmtId="44" fontId="0" fillId="0" borderId="7" xfId="0" applyNumberFormat="1" applyBorder="1"/>
    <xf numFmtId="44" fontId="0" fillId="0" borderId="5" xfId="0" applyNumberFormat="1" applyBorder="1" applyAlignment="1">
      <alignment wrapText="1"/>
    </xf>
    <xf numFmtId="44" fontId="0" fillId="0" borderId="6" xfId="0" applyNumberFormat="1" applyBorder="1" applyAlignment="1">
      <alignment wrapText="1"/>
    </xf>
    <xf numFmtId="44" fontId="0" fillId="0" borderId="6" xfId="0" applyNumberFormat="1" applyBorder="1" applyAlignment="1">
      <alignment horizontal="right" wrapText="1"/>
    </xf>
    <xf numFmtId="44" fontId="0" fillId="0" borderId="7" xfId="0" applyNumberFormat="1" applyBorder="1" applyAlignment="1">
      <alignment wrapText="1"/>
    </xf>
    <xf numFmtId="44" fontId="0" fillId="0" borderId="5" xfId="3" applyFont="1" applyFill="1" applyBorder="1" applyAlignment="1">
      <alignment horizontal="left" vertical="center"/>
    </xf>
    <xf numFmtId="164" fontId="0" fillId="0" borderId="5" xfId="3" applyNumberFormat="1" applyFont="1" applyFill="1" applyBorder="1" applyAlignment="1">
      <alignment horizontal="center" wrapText="1"/>
    </xf>
    <xf numFmtId="164" fontId="0" fillId="0" borderId="6" xfId="0" applyNumberFormat="1" applyBorder="1" applyAlignment="1">
      <alignment horizontal="center" vertical="center"/>
    </xf>
    <xf numFmtId="164" fontId="0" fillId="0" borderId="6" xfId="3" applyNumberFormat="1" applyFont="1" applyFill="1" applyBorder="1" applyAlignment="1">
      <alignment horizontal="center" wrapText="1"/>
    </xf>
    <xf numFmtId="164" fontId="0" fillId="0" borderId="7" xfId="3" applyNumberFormat="1" applyFont="1" applyFill="1" applyBorder="1" applyAlignment="1">
      <alignment horizontal="center" wrapText="1"/>
    </xf>
    <xf numFmtId="0" fontId="0" fillId="0" borderId="6" xfId="0" applyBorder="1" applyAlignment="1">
      <alignment vertical="center"/>
    </xf>
    <xf numFmtId="0" fontId="0" fillId="0" borderId="7" xfId="0" applyBorder="1" applyAlignment="1">
      <alignment vertical="center"/>
    </xf>
    <xf numFmtId="165" fontId="0" fillId="0" borderId="5" xfId="0" applyNumberFormat="1" applyBorder="1" applyAlignment="1">
      <alignment horizontal="center" wrapText="1"/>
    </xf>
    <xf numFmtId="1" fontId="0" fillId="0" borderId="6" xfId="0" applyNumberFormat="1" applyBorder="1" applyAlignment="1">
      <alignment horizontal="center" vertical="center"/>
    </xf>
    <xf numFmtId="165" fontId="0" fillId="0" borderId="6" xfId="0" applyNumberFormat="1" applyBorder="1" applyAlignment="1">
      <alignment horizontal="center" wrapText="1"/>
    </xf>
    <xf numFmtId="0" fontId="0" fillId="0" borderId="6" xfId="0" applyBorder="1" applyAlignment="1">
      <alignment horizontal="center" vertical="center"/>
    </xf>
    <xf numFmtId="165" fontId="0" fillId="0" borderId="7" xfId="0" applyNumberFormat="1" applyBorder="1" applyAlignment="1">
      <alignment horizontal="center" wrapText="1"/>
    </xf>
    <xf numFmtId="2" fontId="0" fillId="0" borderId="5" xfId="0" applyNumberFormat="1" applyBorder="1" applyAlignment="1">
      <alignment horizontal="center" wrapText="1"/>
    </xf>
    <xf numFmtId="2" fontId="0" fillId="0" borderId="6" xfId="0" applyNumberFormat="1" applyBorder="1" applyAlignment="1">
      <alignment horizontal="center" vertical="center"/>
    </xf>
    <xf numFmtId="2" fontId="0" fillId="0" borderId="6" xfId="0" applyNumberFormat="1" applyBorder="1" applyAlignment="1">
      <alignment horizontal="center" wrapText="1"/>
    </xf>
    <xf numFmtId="2" fontId="0" fillId="0" borderId="6" xfId="0" applyNumberFormat="1" applyBorder="1" applyAlignment="1">
      <alignment horizontal="center"/>
    </xf>
    <xf numFmtId="2" fontId="0" fillId="0" borderId="7" xfId="0" applyNumberFormat="1" applyBorder="1" applyAlignment="1">
      <alignment horizontal="center" wrapText="1"/>
    </xf>
    <xf numFmtId="44" fontId="0" fillId="0" borderId="5" xfId="0" applyNumberFormat="1" applyBorder="1" applyAlignment="1">
      <alignment vertical="center"/>
    </xf>
    <xf numFmtId="44" fontId="0" fillId="0" borderId="6" xfId="0" applyNumberFormat="1" applyBorder="1" applyAlignment="1">
      <alignment vertical="center"/>
    </xf>
    <xf numFmtId="44" fontId="0" fillId="0" borderId="5" xfId="0" applyNumberFormat="1" applyBorder="1" applyAlignment="1">
      <alignment vertical="center" wrapText="1"/>
    </xf>
    <xf numFmtId="44" fontId="0" fillId="0" borderId="6" xfId="0" applyNumberFormat="1" applyBorder="1" applyAlignment="1">
      <alignment vertical="center" wrapText="1"/>
    </xf>
    <xf numFmtId="0" fontId="21" fillId="0" borderId="0" xfId="0" applyFont="1"/>
    <xf numFmtId="0" fontId="18" fillId="0" borderId="0" xfId="0" applyFont="1"/>
    <xf numFmtId="2" fontId="18" fillId="0" borderId="0" xfId="0" applyNumberFormat="1" applyFont="1"/>
    <xf numFmtId="0" fontId="22" fillId="0" borderId="0" xfId="2" applyFont="1" applyFill="1"/>
    <xf numFmtId="0" fontId="4" fillId="0" borderId="0" xfId="2" applyFill="1"/>
    <xf numFmtId="0" fontId="16" fillId="2" borderId="0" xfId="0" applyFont="1" applyFill="1"/>
    <xf numFmtId="0" fontId="16" fillId="0" borderId="0" xfId="0" applyFont="1"/>
    <xf numFmtId="0" fontId="13" fillId="0" borderId="0" xfId="0" applyFont="1"/>
    <xf numFmtId="0" fontId="27" fillId="0" borderId="0" xfId="0" applyFont="1"/>
    <xf numFmtId="0" fontId="14" fillId="0" borderId="0" xfId="0" applyFont="1"/>
    <xf numFmtId="0" fontId="28" fillId="0" borderId="0" xfId="0" applyFont="1"/>
    <xf numFmtId="0" fontId="9" fillId="0" borderId="0" xfId="0" applyFont="1" applyProtection="1">
      <protection locked="0"/>
    </xf>
    <xf numFmtId="0" fontId="9" fillId="0" borderId="0" xfId="0" applyFont="1" applyAlignment="1" applyProtection="1">
      <alignment horizontal="right" vertical="center"/>
      <protection locked="0"/>
    </xf>
    <xf numFmtId="0" fontId="9" fillId="0" borderId="2" xfId="0" applyFont="1" applyBorder="1" applyProtection="1">
      <protection locked="0"/>
    </xf>
    <xf numFmtId="9" fontId="9" fillId="0" borderId="0" xfId="0" applyNumberFormat="1" applyFont="1" applyAlignment="1" applyProtection="1">
      <alignment horizontal="right"/>
      <protection locked="0"/>
    </xf>
    <xf numFmtId="9" fontId="9" fillId="0" borderId="0" xfId="1" applyFont="1" applyAlignment="1" applyProtection="1">
      <alignment horizontal="right"/>
      <protection locked="0"/>
    </xf>
    <xf numFmtId="10" fontId="9" fillId="0" borderId="0" xfId="1" applyNumberFormat="1" applyFont="1" applyAlignment="1" applyProtection="1">
      <alignment horizontal="right"/>
      <protection locked="0"/>
    </xf>
    <xf numFmtId="0" fontId="9" fillId="0" borderId="0" xfId="0" applyFont="1" applyAlignment="1" applyProtection="1">
      <alignment horizontal="right"/>
      <protection locked="0"/>
    </xf>
    <xf numFmtId="2" fontId="9" fillId="0" borderId="0" xfId="0" applyNumberFormat="1" applyFont="1" applyAlignment="1" applyProtection="1">
      <alignment horizontal="right"/>
      <protection locked="0"/>
    </xf>
    <xf numFmtId="164" fontId="9" fillId="0" borderId="0" xfId="1" applyNumberFormat="1" applyFont="1" applyAlignment="1" applyProtection="1">
      <alignment horizontal="right"/>
      <protection locked="0"/>
    </xf>
    <xf numFmtId="1" fontId="9" fillId="0" borderId="0" xfId="1" applyNumberFormat="1" applyFont="1" applyAlignment="1" applyProtection="1">
      <alignment horizontal="right"/>
      <protection locked="0"/>
    </xf>
    <xf numFmtId="1" fontId="9" fillId="0" borderId="0" xfId="0" applyNumberFormat="1" applyFont="1" applyAlignment="1" applyProtection="1">
      <alignment horizontal="right"/>
      <protection locked="0"/>
    </xf>
    <xf numFmtId="0" fontId="0" fillId="0" borderId="0" xfId="0" applyAlignment="1" applyProtection="1">
      <alignment horizontal="right"/>
      <protection locked="0"/>
    </xf>
    <xf numFmtId="2" fontId="0" fillId="0" borderId="0" xfId="0" applyNumberFormat="1" applyAlignment="1" applyProtection="1">
      <alignment horizontal="right"/>
      <protection locked="0"/>
    </xf>
    <xf numFmtId="2" fontId="10" fillId="0" borderId="2" xfId="1" quotePrefix="1" applyNumberFormat="1" applyFont="1" applyBorder="1" applyAlignment="1" applyProtection="1">
      <alignment horizontal="right"/>
      <protection locked="0"/>
    </xf>
    <xf numFmtId="1" fontId="9" fillId="0" borderId="2" xfId="1" applyNumberFormat="1" applyFont="1" applyBorder="1" applyAlignment="1" applyProtection="1">
      <alignment horizontal="right"/>
      <protection locked="0"/>
    </xf>
    <xf numFmtId="9" fontId="9" fillId="0" borderId="2" xfId="1" quotePrefix="1" applyFont="1" applyBorder="1" applyAlignment="1" applyProtection="1">
      <alignment horizontal="right"/>
      <protection locked="0"/>
    </xf>
    <xf numFmtId="9" fontId="9" fillId="0" borderId="2" xfId="1" applyFont="1" applyBorder="1" applyAlignment="1" applyProtection="1">
      <alignment horizontal="right"/>
      <protection locked="0"/>
    </xf>
    <xf numFmtId="0" fontId="17" fillId="0" borderId="0" xfId="0" applyFont="1" applyAlignment="1">
      <alignment horizontal="center"/>
    </xf>
    <xf numFmtId="0" fontId="18" fillId="0" borderId="0" xfId="0" applyFont="1" applyAlignment="1">
      <alignment horizontal="center"/>
    </xf>
    <xf numFmtId="9" fontId="18" fillId="0" borderId="0" xfId="0" applyNumberFormat="1" applyFont="1"/>
    <xf numFmtId="0" fontId="17" fillId="0" borderId="0" xfId="0" applyFont="1" applyAlignment="1">
      <alignment horizontal="right"/>
    </xf>
    <xf numFmtId="164" fontId="18" fillId="0" borderId="0" xfId="0" applyNumberFormat="1" applyFont="1"/>
    <xf numFmtId="1" fontId="18" fillId="0" borderId="0" xfId="0" applyNumberFormat="1" applyFont="1"/>
    <xf numFmtId="165" fontId="18" fillId="0" borderId="0" xfId="0" applyNumberFormat="1" applyFont="1" applyAlignment="1">
      <alignment horizontal="center"/>
    </xf>
    <xf numFmtId="43" fontId="18" fillId="0" borderId="0" xfId="0" applyNumberFormat="1" applyFont="1" applyAlignment="1">
      <alignment horizontal="right"/>
    </xf>
    <xf numFmtId="0" fontId="18" fillId="0" borderId="0" xfId="0" applyFont="1" applyAlignment="1">
      <alignment horizontal="right"/>
    </xf>
    <xf numFmtId="0" fontId="3" fillId="0" borderId="0" xfId="0" applyFont="1" applyAlignment="1">
      <alignment horizontal="right"/>
    </xf>
    <xf numFmtId="44" fontId="9" fillId="0" borderId="0" xfId="3" applyFont="1" applyFill="1" applyProtection="1">
      <protection locked="0"/>
    </xf>
    <xf numFmtId="8" fontId="0" fillId="0" borderId="0" xfId="0" applyNumberFormat="1" applyAlignment="1">
      <alignment horizontal="left"/>
    </xf>
    <xf numFmtId="0" fontId="0" fillId="0" borderId="0" xfId="0" applyAlignment="1">
      <alignment horizontal="left"/>
    </xf>
    <xf numFmtId="1" fontId="9" fillId="0" borderId="0" xfId="3" applyNumberFormat="1" applyFont="1" applyFill="1" applyProtection="1">
      <protection locked="0"/>
    </xf>
    <xf numFmtId="0" fontId="24" fillId="0" borderId="0" xfId="0" applyFont="1"/>
    <xf numFmtId="0" fontId="26" fillId="0" borderId="0" xfId="2" applyFont="1" applyFill="1" applyAlignment="1">
      <alignment horizontal="right"/>
    </xf>
    <xf numFmtId="2" fontId="9" fillId="0" borderId="0" xfId="0" applyNumberFormat="1" applyFont="1" applyProtection="1">
      <protection locked="0"/>
    </xf>
    <xf numFmtId="2" fontId="9" fillId="0" borderId="0" xfId="0" applyNumberFormat="1" applyFont="1"/>
    <xf numFmtId="2" fontId="9" fillId="0" borderId="0" xfId="3" applyNumberFormat="1" applyFont="1" applyFill="1" applyProtection="1">
      <protection locked="0"/>
    </xf>
    <xf numFmtId="0" fontId="15" fillId="0" borderId="0" xfId="0" applyFont="1" applyAlignment="1">
      <alignment horizontal="center"/>
    </xf>
    <xf numFmtId="17" fontId="31" fillId="0" borderId="0" xfId="0" quotePrefix="1" applyNumberFormat="1" applyFont="1" applyAlignment="1">
      <alignment horizontal="right"/>
    </xf>
    <xf numFmtId="0" fontId="14" fillId="0" borderId="0" xfId="0" applyFont="1" applyAlignment="1">
      <alignment horizontal="center" wrapText="1"/>
    </xf>
    <xf numFmtId="0" fontId="3" fillId="0" borderId="1" xfId="0" applyFont="1" applyBorder="1" applyAlignment="1">
      <alignment horizontal="center"/>
    </xf>
    <xf numFmtId="0" fontId="3" fillId="0" borderId="0" xfId="0" applyFont="1" applyAlignment="1">
      <alignment horizontal="center"/>
    </xf>
  </cellXfs>
  <cellStyles count="5">
    <cellStyle name="Comma" xfId="4" builtinId="3"/>
    <cellStyle name="Currency" xfId="3" builtinId="4"/>
    <cellStyle name="Hyperlink" xfId="2" builtinId="8"/>
    <cellStyle name="Normal" xfId="0" builtinId="0"/>
    <cellStyle name="Percent" xfId="1" builtinId="5"/>
  </cellStyles>
  <dxfs count="0"/>
  <tableStyles count="0" defaultTableStyle="TableStyleMedium2" defaultPivotStyle="PivotStyleLight16"/>
  <colors>
    <mruColors>
      <color rgb="FF0B734B"/>
      <color rgb="FF008000"/>
      <color rgb="FFC7BD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t>Cost, Returns and Net Return by Rejuvenation Method, SW Sask</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5028953001685472"/>
          <c:y val="0.17171296296296296"/>
          <c:w val="0.81915483658176269"/>
          <c:h val="0.61410615339749186"/>
        </c:manualLayout>
      </c:layout>
      <c:barChart>
        <c:barDir val="col"/>
        <c:grouping val="clustered"/>
        <c:varyColors val="0"/>
        <c:ser>
          <c:idx val="0"/>
          <c:order val="0"/>
          <c:tx>
            <c:v>Costs</c:v>
          </c:tx>
          <c:spPr>
            <a:solidFill>
              <a:schemeClr val="accent1"/>
            </a:solidFill>
            <a:ln>
              <a:noFill/>
            </a:ln>
            <a:effectLst/>
          </c:spPr>
          <c:invertIfNegative val="0"/>
          <c:cat>
            <c:strRef>
              <c:f>'SW Sask'!$F$41:$F$47</c:f>
              <c:strCache>
                <c:ptCount val="7"/>
                <c:pt idx="0">
                  <c:v>Spike/Knives</c:v>
                </c:pt>
                <c:pt idx="1">
                  <c:v>Mow</c:v>
                </c:pt>
                <c:pt idx="2">
                  <c:v>Broadcast Fertilizer</c:v>
                </c:pt>
                <c:pt idx="3">
                  <c:v>Deep Band Fertilizer</c:v>
                </c:pt>
                <c:pt idx="4">
                  <c:v>Sod Seed</c:v>
                </c:pt>
                <c:pt idx="5">
                  <c:v>Overseeding Legumes</c:v>
                </c:pt>
                <c:pt idx="6">
                  <c:v>Break and Reseed</c:v>
                </c:pt>
              </c:strCache>
            </c:strRef>
          </c:cat>
          <c:val>
            <c:numRef>
              <c:f>'SW Sask'!$K$41:$K$47</c:f>
              <c:numCache>
                <c:formatCode>_("$"* #,##0.00_);_("$"* \(#,##0.00\);_("$"* "-"??_);_(@_)</c:formatCode>
                <c:ptCount val="7"/>
                <c:pt idx="0">
                  <c:v>19</c:v>
                </c:pt>
                <c:pt idx="1">
                  <c:v>100</c:v>
                </c:pt>
                <c:pt idx="2">
                  <c:v>78.599999999999994</c:v>
                </c:pt>
                <c:pt idx="3">
                  <c:v>93.6</c:v>
                </c:pt>
                <c:pt idx="4">
                  <c:v>74.7</c:v>
                </c:pt>
                <c:pt idx="5">
                  <c:v>35</c:v>
                </c:pt>
                <c:pt idx="6">
                  <c:v>217.7</c:v>
                </c:pt>
              </c:numCache>
            </c:numRef>
          </c:val>
          <c:extLst>
            <c:ext xmlns:c16="http://schemas.microsoft.com/office/drawing/2014/chart" uri="{C3380CC4-5D6E-409C-BE32-E72D297353CC}">
              <c16:uniqueId val="{00000001-2362-47DC-A587-F95CF8367212}"/>
            </c:ext>
          </c:extLst>
        </c:ser>
        <c:ser>
          <c:idx val="2"/>
          <c:order val="1"/>
          <c:tx>
            <c:v>Returns</c:v>
          </c:tx>
          <c:spPr>
            <a:solidFill>
              <a:schemeClr val="accent3"/>
            </a:solidFill>
            <a:ln>
              <a:noFill/>
            </a:ln>
            <a:effectLst/>
          </c:spPr>
          <c:invertIfNegative val="0"/>
          <c:cat>
            <c:strRef>
              <c:f>'SW Sask'!$F$41:$F$47</c:f>
              <c:strCache>
                <c:ptCount val="7"/>
                <c:pt idx="0">
                  <c:v>Spike/Knives</c:v>
                </c:pt>
                <c:pt idx="1">
                  <c:v>Mow</c:v>
                </c:pt>
                <c:pt idx="2">
                  <c:v>Broadcast Fertilizer</c:v>
                </c:pt>
                <c:pt idx="3">
                  <c:v>Deep Band Fertilizer</c:v>
                </c:pt>
                <c:pt idx="4">
                  <c:v>Sod Seed</c:v>
                </c:pt>
                <c:pt idx="5">
                  <c:v>Overseeding Legumes</c:v>
                </c:pt>
                <c:pt idx="6">
                  <c:v>Break and Reseed</c:v>
                </c:pt>
              </c:strCache>
            </c:strRef>
          </c:cat>
          <c:val>
            <c:numRef>
              <c:f>'SW Sask'!$J$41:$J$47</c:f>
              <c:numCache>
                <c:formatCode>_("$"* #,##0.00_);_("$"* \(#,##0.00\);_("$"* "-"??_);_(@_)</c:formatCode>
                <c:ptCount val="7"/>
                <c:pt idx="0">
                  <c:v>10.5</c:v>
                </c:pt>
                <c:pt idx="1">
                  <c:v>5.8800000000000017</c:v>
                </c:pt>
                <c:pt idx="2">
                  <c:v>113.4</c:v>
                </c:pt>
                <c:pt idx="3">
                  <c:v>113.4</c:v>
                </c:pt>
                <c:pt idx="4">
                  <c:v>124.8</c:v>
                </c:pt>
                <c:pt idx="6">
                  <c:v>201</c:v>
                </c:pt>
              </c:numCache>
            </c:numRef>
          </c:val>
          <c:extLst>
            <c:ext xmlns:c16="http://schemas.microsoft.com/office/drawing/2014/chart" uri="{C3380CC4-5D6E-409C-BE32-E72D297353CC}">
              <c16:uniqueId val="{00000002-2362-47DC-A587-F95CF8367212}"/>
            </c:ext>
          </c:extLst>
        </c:ser>
        <c:ser>
          <c:idx val="1"/>
          <c:order val="2"/>
          <c:tx>
            <c:v>Net Return</c:v>
          </c:tx>
          <c:spPr>
            <a:solidFill>
              <a:schemeClr val="accent2"/>
            </a:solidFill>
            <a:ln>
              <a:noFill/>
            </a:ln>
            <a:effectLst/>
          </c:spPr>
          <c:invertIfNegative val="0"/>
          <c:cat>
            <c:strRef>
              <c:f>'SW Sask'!$F$41:$F$47</c:f>
              <c:strCache>
                <c:ptCount val="7"/>
                <c:pt idx="0">
                  <c:v>Spike/Knives</c:v>
                </c:pt>
                <c:pt idx="1">
                  <c:v>Mow</c:v>
                </c:pt>
                <c:pt idx="2">
                  <c:v>Broadcast Fertilizer</c:v>
                </c:pt>
                <c:pt idx="3">
                  <c:v>Deep Band Fertilizer</c:v>
                </c:pt>
                <c:pt idx="4">
                  <c:v>Sod Seed</c:v>
                </c:pt>
                <c:pt idx="5">
                  <c:v>Overseeding Legumes</c:v>
                </c:pt>
                <c:pt idx="6">
                  <c:v>Break and Reseed</c:v>
                </c:pt>
              </c:strCache>
            </c:strRef>
          </c:cat>
          <c:val>
            <c:numRef>
              <c:f>'SW Sask'!$L$41:$L$47</c:f>
              <c:numCache>
                <c:formatCode>_("$"* #,##0.00_);_("$"* \(#,##0.00\);_("$"* "-"??_);_(@_)</c:formatCode>
                <c:ptCount val="7"/>
                <c:pt idx="0">
                  <c:v>-8.5</c:v>
                </c:pt>
                <c:pt idx="1">
                  <c:v>-94.12</c:v>
                </c:pt>
                <c:pt idx="2">
                  <c:v>34.800000000000011</c:v>
                </c:pt>
                <c:pt idx="3">
                  <c:v>19.800000000000011</c:v>
                </c:pt>
                <c:pt idx="4">
                  <c:v>50.099999999999994</c:v>
                </c:pt>
                <c:pt idx="5">
                  <c:v>0</c:v>
                </c:pt>
                <c:pt idx="6">
                  <c:v>-16.699999999999989</c:v>
                </c:pt>
              </c:numCache>
            </c:numRef>
          </c:val>
          <c:extLst>
            <c:ext xmlns:c16="http://schemas.microsoft.com/office/drawing/2014/chart" uri="{C3380CC4-5D6E-409C-BE32-E72D297353CC}">
              <c16:uniqueId val="{00000000-2362-47DC-A587-F95CF8367212}"/>
            </c:ext>
          </c:extLst>
        </c:ser>
        <c:dLbls>
          <c:showLegendKey val="0"/>
          <c:showVal val="0"/>
          <c:showCatName val="0"/>
          <c:showSerName val="0"/>
          <c:showPercent val="0"/>
          <c:showBubbleSize val="0"/>
        </c:dLbls>
        <c:gapWidth val="139"/>
        <c:overlap val="-27"/>
        <c:axId val="109913375"/>
        <c:axId val="109913855"/>
      </c:barChart>
      <c:catAx>
        <c:axId val="10991337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913855"/>
        <c:crosses val="autoZero"/>
        <c:auto val="1"/>
        <c:lblAlgn val="ctr"/>
        <c:lblOffset val="100"/>
        <c:noMultiLvlLbl val="0"/>
      </c:catAx>
      <c:valAx>
        <c:axId val="109913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a:t>$ per acre</a:t>
                </a:r>
              </a:p>
            </c:rich>
          </c:tx>
          <c:layout>
            <c:manualLayout>
              <c:xMode val="edge"/>
              <c:yMode val="edge"/>
              <c:x val="2.586876712843442E-2"/>
              <c:y val="0.4156773075664441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913375"/>
        <c:crosses val="autoZero"/>
        <c:crossBetween val="between"/>
      </c:valAx>
      <c:spPr>
        <a:noFill/>
        <a:ln>
          <a:noFill/>
        </a:ln>
        <a:effectLst/>
      </c:spPr>
    </c:plotArea>
    <c:legend>
      <c:legendPos val="t"/>
      <c:layout>
        <c:manualLayout>
          <c:xMode val="edge"/>
          <c:yMode val="edge"/>
          <c:x val="0.38079040786114876"/>
          <c:y val="0.10250031709411245"/>
          <c:w val="0.37530792301824456"/>
          <c:h val="5.349754260249452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t>Cost, Returns &amp; Net Return by Rejuvenation Method, Parkland</a:t>
            </a: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6006736657917761"/>
          <c:y val="0.17171296296296296"/>
          <c:w val="0.8093770778652668"/>
          <c:h val="0.61410615339749186"/>
        </c:manualLayout>
      </c:layout>
      <c:barChart>
        <c:barDir val="col"/>
        <c:grouping val="clustered"/>
        <c:varyColors val="0"/>
        <c:ser>
          <c:idx val="0"/>
          <c:order val="0"/>
          <c:tx>
            <c:v>Costs</c:v>
          </c:tx>
          <c:spPr>
            <a:solidFill>
              <a:schemeClr val="accent1"/>
            </a:solidFill>
            <a:ln>
              <a:noFill/>
            </a:ln>
            <a:effectLst/>
          </c:spPr>
          <c:invertIfNegative val="0"/>
          <c:cat>
            <c:strRef>
              <c:f>Parkland!$G$39:$G$46</c:f>
              <c:strCache>
                <c:ptCount val="8"/>
                <c:pt idx="0">
                  <c:v>Spike</c:v>
                </c:pt>
                <c:pt idx="1">
                  <c:v>Knives</c:v>
                </c:pt>
                <c:pt idx="2">
                  <c:v>Mow</c:v>
                </c:pt>
                <c:pt idx="3">
                  <c:v>Broadcast Fertilizer</c:v>
                </c:pt>
                <c:pt idx="4">
                  <c:v>Deep Band Fertilizer</c:v>
                </c:pt>
                <c:pt idx="5">
                  <c:v>Sod Seed</c:v>
                </c:pt>
                <c:pt idx="6">
                  <c:v>Overseeding Legumes</c:v>
                </c:pt>
                <c:pt idx="7">
                  <c:v>Break and Reseed</c:v>
                </c:pt>
              </c:strCache>
            </c:strRef>
          </c:cat>
          <c:val>
            <c:numRef>
              <c:f>Parkland!$N$39:$N$46</c:f>
              <c:numCache>
                <c:formatCode>_("$"* #,##0.00_);_("$"* \(#,##0.00\);_("$"* "-"??_);_(@_)</c:formatCode>
                <c:ptCount val="8"/>
                <c:pt idx="0">
                  <c:v>19</c:v>
                </c:pt>
                <c:pt idx="1">
                  <c:v>19</c:v>
                </c:pt>
                <c:pt idx="2">
                  <c:v>20</c:v>
                </c:pt>
                <c:pt idx="3">
                  <c:v>85.5</c:v>
                </c:pt>
                <c:pt idx="4">
                  <c:v>100.5</c:v>
                </c:pt>
                <c:pt idx="5">
                  <c:v>92.300000000000011</c:v>
                </c:pt>
                <c:pt idx="6">
                  <c:v>38</c:v>
                </c:pt>
                <c:pt idx="7">
                  <c:v>406.59999999999997</c:v>
                </c:pt>
              </c:numCache>
            </c:numRef>
          </c:val>
          <c:extLst>
            <c:ext xmlns:c16="http://schemas.microsoft.com/office/drawing/2014/chart" uri="{C3380CC4-5D6E-409C-BE32-E72D297353CC}">
              <c16:uniqueId val="{00000000-ED44-46AD-A056-A6A1A2361A72}"/>
            </c:ext>
          </c:extLst>
        </c:ser>
        <c:ser>
          <c:idx val="2"/>
          <c:order val="1"/>
          <c:tx>
            <c:v>Returns</c:v>
          </c:tx>
          <c:spPr>
            <a:solidFill>
              <a:schemeClr val="accent3"/>
            </a:solidFill>
            <a:ln>
              <a:noFill/>
            </a:ln>
            <a:effectLst/>
          </c:spPr>
          <c:invertIfNegative val="0"/>
          <c:cat>
            <c:strRef>
              <c:f>Parkland!$G$39:$G$46</c:f>
              <c:strCache>
                <c:ptCount val="8"/>
                <c:pt idx="0">
                  <c:v>Spike</c:v>
                </c:pt>
                <c:pt idx="1">
                  <c:v>Knives</c:v>
                </c:pt>
                <c:pt idx="2">
                  <c:v>Mow</c:v>
                </c:pt>
                <c:pt idx="3">
                  <c:v>Broadcast Fertilizer</c:v>
                </c:pt>
                <c:pt idx="4">
                  <c:v>Deep Band Fertilizer</c:v>
                </c:pt>
                <c:pt idx="5">
                  <c:v>Sod Seed</c:v>
                </c:pt>
                <c:pt idx="6">
                  <c:v>Overseeding Legumes</c:v>
                </c:pt>
                <c:pt idx="7">
                  <c:v>Break and Reseed</c:v>
                </c:pt>
              </c:strCache>
            </c:strRef>
          </c:cat>
          <c:val>
            <c:numRef>
              <c:f>Parkland!$M$39:$M$46</c:f>
              <c:numCache>
                <c:formatCode>_("$"* #,##0.00_);_("$"* \(#,##0.00\);_("$"* "-"??_);_(@_)</c:formatCode>
                <c:ptCount val="8"/>
                <c:pt idx="0">
                  <c:v>9.4500000000000117</c:v>
                </c:pt>
                <c:pt idx="1">
                  <c:v>37.800000000000011</c:v>
                </c:pt>
                <c:pt idx="2">
                  <c:v>13.230000000000004</c:v>
                </c:pt>
                <c:pt idx="3">
                  <c:v>112.00000000000001</c:v>
                </c:pt>
                <c:pt idx="4">
                  <c:v>122.50000000000001</c:v>
                </c:pt>
                <c:pt idx="5">
                  <c:v>142.80000000000001</c:v>
                </c:pt>
                <c:pt idx="6">
                  <c:v>0</c:v>
                </c:pt>
                <c:pt idx="7">
                  <c:v>443.98399999999998</c:v>
                </c:pt>
              </c:numCache>
            </c:numRef>
          </c:val>
          <c:extLst>
            <c:ext xmlns:c16="http://schemas.microsoft.com/office/drawing/2014/chart" uri="{C3380CC4-5D6E-409C-BE32-E72D297353CC}">
              <c16:uniqueId val="{00000002-ED44-46AD-A056-A6A1A2361A72}"/>
            </c:ext>
          </c:extLst>
        </c:ser>
        <c:ser>
          <c:idx val="1"/>
          <c:order val="2"/>
          <c:tx>
            <c:v>Net Return</c:v>
          </c:tx>
          <c:spPr>
            <a:solidFill>
              <a:schemeClr val="accent2"/>
            </a:solidFill>
            <a:ln>
              <a:noFill/>
            </a:ln>
            <a:effectLst/>
          </c:spPr>
          <c:invertIfNegative val="0"/>
          <c:cat>
            <c:strRef>
              <c:f>Parkland!$G$39:$G$46</c:f>
              <c:strCache>
                <c:ptCount val="8"/>
                <c:pt idx="0">
                  <c:v>Spike</c:v>
                </c:pt>
                <c:pt idx="1">
                  <c:v>Knives</c:v>
                </c:pt>
                <c:pt idx="2">
                  <c:v>Mow</c:v>
                </c:pt>
                <c:pt idx="3">
                  <c:v>Broadcast Fertilizer</c:v>
                </c:pt>
                <c:pt idx="4">
                  <c:v>Deep Band Fertilizer</c:v>
                </c:pt>
                <c:pt idx="5">
                  <c:v>Sod Seed</c:v>
                </c:pt>
                <c:pt idx="6">
                  <c:v>Overseeding Legumes</c:v>
                </c:pt>
                <c:pt idx="7">
                  <c:v>Break and Reseed</c:v>
                </c:pt>
              </c:strCache>
            </c:strRef>
          </c:cat>
          <c:val>
            <c:numRef>
              <c:f>Parkland!$O$39:$O$46</c:f>
              <c:numCache>
                <c:formatCode>_("$"* #,##0.00_);_("$"* \(#,##0.00\);_("$"* "-"??_);_(@_)</c:formatCode>
                <c:ptCount val="8"/>
                <c:pt idx="0">
                  <c:v>-9.5499999999999883</c:v>
                </c:pt>
                <c:pt idx="1">
                  <c:v>18.800000000000011</c:v>
                </c:pt>
                <c:pt idx="2">
                  <c:v>-6.769999999999996</c:v>
                </c:pt>
                <c:pt idx="3">
                  <c:v>26.500000000000014</c:v>
                </c:pt>
                <c:pt idx="4">
                  <c:v>22.000000000000014</c:v>
                </c:pt>
                <c:pt idx="5">
                  <c:v>50.5</c:v>
                </c:pt>
                <c:pt idx="7">
                  <c:v>37.384000000000015</c:v>
                </c:pt>
              </c:numCache>
            </c:numRef>
          </c:val>
          <c:extLst>
            <c:ext xmlns:c16="http://schemas.microsoft.com/office/drawing/2014/chart" uri="{C3380CC4-5D6E-409C-BE32-E72D297353CC}">
              <c16:uniqueId val="{00000001-ED44-46AD-A056-A6A1A2361A72}"/>
            </c:ext>
          </c:extLst>
        </c:ser>
        <c:dLbls>
          <c:showLegendKey val="0"/>
          <c:showVal val="0"/>
          <c:showCatName val="0"/>
          <c:showSerName val="0"/>
          <c:showPercent val="0"/>
          <c:showBubbleSize val="0"/>
        </c:dLbls>
        <c:gapWidth val="139"/>
        <c:overlap val="-27"/>
        <c:axId val="109913375"/>
        <c:axId val="109913855"/>
      </c:barChart>
      <c:catAx>
        <c:axId val="10991337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9913855"/>
        <c:crosses val="autoZero"/>
        <c:auto val="1"/>
        <c:lblAlgn val="ctr"/>
        <c:lblOffset val="100"/>
        <c:noMultiLvlLbl val="0"/>
      </c:catAx>
      <c:valAx>
        <c:axId val="109913855"/>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t>$ per acre</a:t>
                </a:r>
              </a:p>
            </c:rich>
          </c:tx>
          <c:layout>
            <c:manualLayout>
              <c:xMode val="edge"/>
              <c:yMode val="edge"/>
              <c:x val="2.7017751502454231E-2"/>
              <c:y val="0.394309478707759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9133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123825</xdr:rowOff>
    </xdr:from>
    <xdr:to>
      <xdr:col>4</xdr:col>
      <xdr:colOff>482921</xdr:colOff>
      <xdr:row>3</xdr:row>
      <xdr:rowOff>76200</xdr:rowOff>
    </xdr:to>
    <xdr:pic>
      <xdr:nvPicPr>
        <xdr:cNvPr id="3" name="Picture 2">
          <a:extLst>
            <a:ext uri="{FF2B5EF4-FFF2-40B4-BE49-F238E27FC236}">
              <a16:creationId xmlns:a16="http://schemas.microsoft.com/office/drawing/2014/main" id="{DD5CC456-55CA-D94C-51D6-0EE0D8429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23825"/>
          <a:ext cx="2511746" cy="523875"/>
        </a:xfrm>
        <a:prstGeom prst="rect">
          <a:avLst/>
        </a:prstGeom>
      </xdr:spPr>
    </xdr:pic>
    <xdr:clientData/>
  </xdr:twoCellAnchor>
  <xdr:twoCellAnchor>
    <xdr:from>
      <xdr:col>0</xdr:col>
      <xdr:colOff>409575</xdr:colOff>
      <xdr:row>4</xdr:row>
      <xdr:rowOff>9524</xdr:rowOff>
    </xdr:from>
    <xdr:to>
      <xdr:col>14</xdr:col>
      <xdr:colOff>57150</xdr:colOff>
      <xdr:row>40</xdr:row>
      <xdr:rowOff>95249</xdr:rowOff>
    </xdr:to>
    <xdr:sp macro="" textlink="">
      <xdr:nvSpPr>
        <xdr:cNvPr id="4" name="TextBox 3">
          <a:extLst>
            <a:ext uri="{FF2B5EF4-FFF2-40B4-BE49-F238E27FC236}">
              <a16:creationId xmlns:a16="http://schemas.microsoft.com/office/drawing/2014/main" id="{A54068A9-B6B0-09A5-27E7-1C4199B0D147}"/>
            </a:ext>
          </a:extLst>
        </xdr:cNvPr>
        <xdr:cNvSpPr txBox="1"/>
      </xdr:nvSpPr>
      <xdr:spPr>
        <a:xfrm>
          <a:off x="409575" y="771524"/>
          <a:ext cx="8181975" cy="6943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B734B"/>
              </a:solidFill>
            </a:rPr>
            <a:t>Forage</a:t>
          </a:r>
          <a:r>
            <a:rPr lang="en-US" sz="1800" b="1" baseline="0">
              <a:solidFill>
                <a:srgbClr val="0B734B"/>
              </a:solidFill>
            </a:rPr>
            <a:t> Rejuvenation Method Calculator</a:t>
          </a:r>
        </a:p>
        <a:p>
          <a:r>
            <a:rPr lang="en-US" sz="1600" b="0">
              <a:solidFill>
                <a:sysClr val="windowText" lastClr="000000"/>
              </a:solidFill>
            </a:rPr>
            <a:t>May</a:t>
          </a:r>
          <a:r>
            <a:rPr lang="en-US" sz="1600" b="0" baseline="0">
              <a:solidFill>
                <a:sysClr val="windowText" lastClr="000000"/>
              </a:solidFill>
            </a:rPr>
            <a:t> 2026</a:t>
          </a:r>
        </a:p>
        <a:p>
          <a:endParaRPr lang="en-US" sz="1200" b="0" baseline="0">
            <a:solidFill>
              <a:sysClr val="windowText" lastClr="000000"/>
            </a:solidFill>
          </a:endParaRPr>
        </a:p>
        <a:p>
          <a:r>
            <a:rPr lang="en-US" sz="1200" b="1">
              <a:solidFill>
                <a:schemeClr val="dk1"/>
              </a:solidFill>
              <a:effectLst/>
              <a:latin typeface="+mn-lt"/>
              <a:ea typeface="+mn-ea"/>
              <a:cs typeface="+mn-cs"/>
            </a:rPr>
            <a:t>Overview</a:t>
          </a:r>
        </a:p>
        <a:p>
          <a:r>
            <a:rPr lang="en-US" sz="1200">
              <a:solidFill>
                <a:schemeClr val="dk1"/>
              </a:solidFill>
              <a:effectLst/>
              <a:latin typeface="+mn-lt"/>
              <a:ea typeface="+mn-ea"/>
              <a:cs typeface="+mn-cs"/>
            </a:rPr>
            <a:t>Forage rejuvenation methods vary in up-front cost, yield response and the number of years yields are improved.</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Often it is easier to tabulate the costs associated with a rejuvenation method than it is to quantify a value for the yield response. For some rejuvenation methods analysis is incomplete because yield response data is not available (e.g. knives, overseed) or practice implementation has too many factors influencing cost and yield response (e.g. grazing management). </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About</a:t>
          </a:r>
          <a:r>
            <a:rPr lang="en-US" sz="1200" b="1" baseline="0">
              <a:solidFill>
                <a:schemeClr val="dk1"/>
              </a:solidFill>
              <a:effectLst/>
              <a:latin typeface="+mn-lt"/>
              <a:ea typeface="+mn-ea"/>
              <a:cs typeface="+mn-cs"/>
            </a:rPr>
            <a:t> this Calculator</a:t>
          </a:r>
        </a:p>
        <a:p>
          <a:endParaRPr lang="en-US" sz="12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 calculator has costs and returns for most common rejuvenation methods for the Parkland</a:t>
          </a:r>
          <a:r>
            <a:rPr lang="en-US" sz="1200" baseline="0">
              <a:solidFill>
                <a:schemeClr val="dk1"/>
              </a:solidFill>
              <a:effectLst/>
              <a:latin typeface="+mn-lt"/>
              <a:ea typeface="+mn-ea"/>
              <a:cs typeface="+mn-cs"/>
            </a:rPr>
            <a:t> region and Southwest Saskatchewan</a:t>
          </a:r>
          <a:r>
            <a:rPr lang="en-US" sz="1200">
              <a:solidFill>
                <a:schemeClr val="dk1"/>
              </a:solidFill>
              <a:effectLst/>
              <a:latin typeface="+mn-lt"/>
              <a:ea typeface="+mn-ea"/>
              <a:cs typeface="+mn-cs"/>
            </a:rPr>
            <a:t>. </a:t>
          </a:r>
          <a:endParaRPr lang="en-US" sz="1200">
            <a:effectLst/>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For costs, values based on custom rates from the </a:t>
          </a:r>
          <a:r>
            <a:rPr lang="en-US" sz="1200" i="1">
              <a:solidFill>
                <a:schemeClr val="dk1"/>
              </a:solidFill>
              <a:effectLst/>
              <a:latin typeface="+mn-lt"/>
              <a:ea typeface="+mn-ea"/>
              <a:cs typeface="+mn-cs"/>
            </a:rPr>
            <a:t>2024-25</a:t>
          </a:r>
          <a:r>
            <a:rPr lang="en-US" sz="1200">
              <a:solidFill>
                <a:schemeClr val="dk1"/>
              </a:solidFill>
              <a:effectLst/>
              <a:latin typeface="+mn-lt"/>
              <a:ea typeface="+mn-ea"/>
              <a:cs typeface="+mn-cs"/>
            </a:rPr>
            <a:t> </a:t>
          </a:r>
          <a:r>
            <a:rPr lang="en-US" sz="1200" i="1">
              <a:solidFill>
                <a:schemeClr val="dk1"/>
              </a:solidFill>
              <a:effectLst/>
              <a:latin typeface="+mn-lt"/>
              <a:ea typeface="+mn-ea"/>
              <a:cs typeface="+mn-cs"/>
            </a:rPr>
            <a:t>Saskatchewan Farm Machinery Custom and Rental Rate Guide</a:t>
          </a:r>
          <a:r>
            <a:rPr lang="en-US" sz="1200">
              <a:solidFill>
                <a:schemeClr val="dk1"/>
              </a:solidFill>
              <a:effectLst/>
              <a:latin typeface="+mn-lt"/>
              <a:ea typeface="+mn-ea"/>
              <a:cs typeface="+mn-cs"/>
            </a:rPr>
            <a:t> and other sources were used for equipment passes associated with a rejuvenation method. Herbicide, fertilizer and seed costs are based on pricing in effect at time of writing; sources</a:t>
          </a:r>
          <a:r>
            <a:rPr lang="en-US" sz="1200" baseline="0">
              <a:solidFill>
                <a:schemeClr val="dk1"/>
              </a:solidFill>
              <a:effectLst/>
              <a:latin typeface="+mn-lt"/>
              <a:ea typeface="+mn-ea"/>
              <a:cs typeface="+mn-cs"/>
            </a:rPr>
            <a:t> include the </a:t>
          </a:r>
          <a:r>
            <a:rPr lang="en-US" sz="1200" i="1" baseline="0">
              <a:solidFill>
                <a:schemeClr val="dk1"/>
              </a:solidFill>
              <a:effectLst/>
              <a:latin typeface="+mn-lt"/>
              <a:ea typeface="+mn-ea"/>
              <a:cs typeface="+mn-cs"/>
            </a:rPr>
            <a:t>2026 Crop Planning Guide, Alberta Farm Input Price Database</a:t>
          </a:r>
          <a:r>
            <a:rPr lang="en-US" sz="1200" i="0" baseline="0">
              <a:solidFill>
                <a:schemeClr val="dk1"/>
              </a:solidFill>
              <a:effectLst/>
              <a:latin typeface="+mn-lt"/>
              <a:ea typeface="+mn-ea"/>
              <a:cs typeface="+mn-cs"/>
            </a:rPr>
            <a:t> and </a:t>
          </a:r>
          <a:r>
            <a:rPr lang="en-US" sz="1200" i="1" baseline="0">
              <a:solidFill>
                <a:schemeClr val="dk1"/>
              </a:solidFill>
              <a:effectLst/>
              <a:latin typeface="+mn-lt"/>
              <a:ea typeface="+mn-ea"/>
              <a:cs typeface="+mn-cs"/>
            </a:rPr>
            <a:t>Saskatchewan Forage Council's Winter Market Report</a:t>
          </a:r>
          <a:r>
            <a:rPr lang="en-US" sz="1200">
              <a:solidFill>
                <a:schemeClr val="dk1"/>
              </a:solidFill>
              <a:effectLst/>
              <a:latin typeface="+mn-lt"/>
              <a:ea typeface="+mn-ea"/>
              <a:cs typeface="+mn-cs"/>
            </a:rPr>
            <a:t>.</a:t>
          </a:r>
        </a:p>
        <a:p>
          <a:r>
            <a:rPr lang="en-US" sz="12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For returns, forage yield response data from studies on forage rejuvenation was used to estimate percentage increases in baseline yield by year. Baseline yield refers</a:t>
          </a:r>
          <a:r>
            <a:rPr lang="en-US" sz="1200" baseline="0">
              <a:solidFill>
                <a:schemeClr val="dk1"/>
              </a:solidFill>
              <a:effectLst/>
              <a:latin typeface="+mn-lt"/>
              <a:ea typeface="+mn-ea"/>
              <a:cs typeface="+mn-cs"/>
            </a:rPr>
            <a:t> to the forage yield prior to rejuvenation. </a:t>
          </a:r>
          <a:r>
            <a:rPr lang="en-US" sz="1200">
              <a:solidFill>
                <a:schemeClr val="dk1"/>
              </a:solidFill>
              <a:effectLst/>
              <a:latin typeface="+mn-lt"/>
              <a:ea typeface="+mn-ea"/>
              <a:cs typeface="+mn-cs"/>
            </a:rPr>
            <a:t>Rejuvenation methods vary in how quickly yields improve following a rejuvenation event and for how many years a yield change lasts. </a:t>
          </a:r>
          <a:r>
            <a:rPr lang="en-US" sz="1200" baseline="0">
              <a:solidFill>
                <a:schemeClr val="dk1"/>
              </a:solidFill>
              <a:effectLst/>
              <a:latin typeface="+mn-lt"/>
              <a:ea typeface="+mn-ea"/>
              <a:cs typeface="+mn-cs"/>
            </a:rPr>
            <a:t>The forage is valued based on pricing</a:t>
          </a:r>
          <a:r>
            <a:rPr lang="en-US" sz="1200">
              <a:solidFill>
                <a:schemeClr val="dk1"/>
              </a:solidFill>
              <a:effectLst/>
              <a:latin typeface="+mn-lt"/>
              <a:ea typeface="+mn-ea"/>
              <a:cs typeface="+mn-cs"/>
            </a:rPr>
            <a:t> in the </a:t>
          </a:r>
          <a:r>
            <a:rPr lang="en-US" sz="1200" i="1">
              <a:solidFill>
                <a:schemeClr val="dk1"/>
              </a:solidFill>
              <a:effectLst/>
              <a:latin typeface="+mn-lt"/>
              <a:ea typeface="+mn-ea"/>
              <a:cs typeface="+mn-cs"/>
            </a:rPr>
            <a:t>Market Price Reports</a:t>
          </a:r>
          <a:r>
            <a:rPr lang="en-US" sz="1200">
              <a:solidFill>
                <a:schemeClr val="dk1"/>
              </a:solidFill>
              <a:effectLst/>
              <a:latin typeface="+mn-lt"/>
              <a:ea typeface="+mn-ea"/>
              <a:cs typeface="+mn-cs"/>
            </a:rPr>
            <a:t> by the Saskatchewan Forage Council.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calculator has four (4) tabs (aka worksheets).</a:t>
          </a:r>
        </a:p>
        <a:p>
          <a:r>
            <a:rPr lang="en-US" sz="1200" b="1">
              <a:solidFill>
                <a:schemeClr val="dk1"/>
              </a:solidFill>
              <a:effectLst/>
              <a:latin typeface="+mn-lt"/>
              <a:ea typeface="+mn-ea"/>
              <a:cs typeface="+mn-cs"/>
            </a:rPr>
            <a:t>Summary </a:t>
          </a:r>
          <a:r>
            <a:rPr lang="en-US" sz="1200">
              <a:solidFill>
                <a:schemeClr val="dk1"/>
              </a:solidFill>
              <a:effectLst/>
              <a:latin typeface="+mn-lt"/>
              <a:ea typeface="+mn-ea"/>
              <a:cs typeface="+mn-cs"/>
            </a:rPr>
            <a:t>- contains</a:t>
          </a:r>
          <a:r>
            <a:rPr lang="en-US" sz="1200" baseline="0">
              <a:solidFill>
                <a:schemeClr val="dk1"/>
              </a:solidFill>
              <a:effectLst/>
              <a:latin typeface="+mn-lt"/>
              <a:ea typeface="+mn-ea"/>
              <a:cs typeface="+mn-cs"/>
            </a:rPr>
            <a:t> tables and figures with the cost, return ($ value of forage) and net return for rejuvenation methods</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Parkland</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 breakdown of costs, baseline yield and yield response by method for Parkland region; all </a:t>
          </a:r>
          <a:r>
            <a:rPr lang="en-US" sz="1200" b="1" baseline="0">
              <a:solidFill>
                <a:srgbClr val="0070C0"/>
              </a:solidFill>
              <a:effectLst/>
              <a:latin typeface="+mn-lt"/>
              <a:ea typeface="+mn-ea"/>
              <a:cs typeface="+mn-cs"/>
            </a:rPr>
            <a:t>blue values </a:t>
          </a:r>
          <a:r>
            <a:rPr lang="en-US" sz="1200" b="0" baseline="0">
              <a:solidFill>
                <a:schemeClr val="dk1"/>
              </a:solidFill>
              <a:effectLst/>
              <a:latin typeface="+mn-lt"/>
              <a:ea typeface="+mn-ea"/>
              <a:cs typeface="+mn-cs"/>
            </a:rPr>
            <a:t>can be changed</a:t>
          </a:r>
          <a:endParaRPr lang="en-US" sz="1200" b="1"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SW Sask - </a:t>
          </a:r>
          <a:r>
            <a:rPr lang="en-US" sz="1200" b="0" baseline="0">
              <a:solidFill>
                <a:schemeClr val="dk1"/>
              </a:solidFill>
              <a:effectLst/>
              <a:latin typeface="+mn-lt"/>
              <a:ea typeface="+mn-ea"/>
              <a:cs typeface="+mn-cs"/>
            </a:rPr>
            <a:t>breakdown of costs, baseline yield and yield response by method for SW Sask; all </a:t>
          </a:r>
          <a:r>
            <a:rPr lang="en-US" sz="1200" b="1" baseline="0">
              <a:solidFill>
                <a:schemeClr val="dk1"/>
              </a:solidFill>
              <a:effectLst/>
              <a:latin typeface="+mn-lt"/>
              <a:ea typeface="+mn-ea"/>
              <a:cs typeface="+mn-cs"/>
            </a:rPr>
            <a:t>blue values </a:t>
          </a:r>
          <a:r>
            <a:rPr lang="en-US" sz="1200" b="0" baseline="0">
              <a:solidFill>
                <a:schemeClr val="dk1"/>
              </a:solidFill>
              <a:effectLst/>
              <a:latin typeface="+mn-lt"/>
              <a:ea typeface="+mn-ea"/>
              <a:cs typeface="+mn-cs"/>
            </a:rPr>
            <a:t>can be changed</a:t>
          </a:r>
          <a:endParaRPr lang="en-US" sz="1200" b="1"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Assumptions - </a:t>
          </a:r>
          <a:r>
            <a:rPr lang="en-US" sz="1200" b="0" baseline="0">
              <a:solidFill>
                <a:schemeClr val="dk1"/>
              </a:solidFill>
              <a:effectLst/>
              <a:latin typeface="+mn-lt"/>
              <a:ea typeface="+mn-ea"/>
              <a:cs typeface="+mn-cs"/>
            </a:rPr>
            <a:t>numbers used to calculate costs and returns; all </a:t>
          </a:r>
          <a:r>
            <a:rPr lang="en-US" sz="1200" b="1" baseline="0">
              <a:solidFill>
                <a:srgbClr val="0070C0"/>
              </a:solidFill>
              <a:effectLst/>
              <a:latin typeface="+mn-lt"/>
              <a:ea typeface="+mn-ea"/>
              <a:cs typeface="+mn-cs"/>
            </a:rPr>
            <a:t>blue values </a:t>
          </a:r>
          <a:r>
            <a:rPr lang="en-US" sz="1200" b="0" baseline="0">
              <a:solidFill>
                <a:schemeClr val="dk1"/>
              </a:solidFill>
              <a:effectLst/>
              <a:latin typeface="+mn-lt"/>
              <a:ea typeface="+mn-ea"/>
              <a:cs typeface="+mn-cs"/>
            </a:rPr>
            <a:t>can be changed</a:t>
          </a:r>
          <a:endParaRPr lang="en-US" sz="1200" b="1" baseline="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worksheets are protected</a:t>
          </a:r>
          <a:r>
            <a:rPr lang="en-US" sz="1200" baseline="0">
              <a:solidFill>
                <a:schemeClr val="dk1"/>
              </a:solidFill>
              <a:effectLst/>
              <a:latin typeface="+mn-lt"/>
              <a:ea typeface="+mn-ea"/>
              <a:cs typeface="+mn-cs"/>
            </a:rPr>
            <a:t> to limit unintended deletion of formulas used in calculations</a:t>
          </a:r>
          <a:r>
            <a:rPr lang="en-US" sz="1200">
              <a:solidFill>
                <a:schemeClr val="dk1"/>
              </a:solidFill>
              <a:effectLst/>
              <a:latin typeface="+mn-lt"/>
              <a:ea typeface="+mn-ea"/>
              <a:cs typeface="+mn-cs"/>
            </a:rPr>
            <a:t>.</a:t>
          </a:r>
        </a:p>
        <a:p>
          <a:r>
            <a:rPr lang="en-US" sz="1200">
              <a:solidFill>
                <a:schemeClr val="dk1"/>
              </a:solidFill>
              <a:effectLst/>
              <a:latin typeface="+mn-lt"/>
              <a:ea typeface="+mn-ea"/>
              <a:cs typeface="+mn-cs"/>
            </a:rPr>
            <a:t>All</a:t>
          </a:r>
          <a:r>
            <a:rPr lang="en-US" sz="1200" baseline="0">
              <a:solidFill>
                <a:schemeClr val="dk1"/>
              </a:solidFill>
              <a:effectLst/>
              <a:latin typeface="+mn-lt"/>
              <a:ea typeface="+mn-ea"/>
              <a:cs typeface="+mn-cs"/>
            </a:rPr>
            <a:t> values that are bold </a:t>
          </a:r>
          <a:r>
            <a:rPr lang="en-US" sz="1400" b="1" baseline="0">
              <a:solidFill>
                <a:srgbClr val="0070C0"/>
              </a:solidFill>
              <a:effectLst/>
              <a:latin typeface="+mn-lt"/>
              <a:ea typeface="+mn-ea"/>
              <a:cs typeface="+mn-cs"/>
            </a:rPr>
            <a:t>blue font </a:t>
          </a:r>
          <a:r>
            <a:rPr lang="en-US" sz="1200" baseline="0">
              <a:solidFill>
                <a:schemeClr val="dk1"/>
              </a:solidFill>
              <a:effectLst/>
              <a:latin typeface="+mn-lt"/>
              <a:ea typeface="+mn-ea"/>
              <a:cs typeface="+mn-cs"/>
            </a:rPr>
            <a:t>can be changed to reflect your situation and/or expectations.</a:t>
          </a:r>
          <a:endParaRPr lang="en-US" sz="1200">
            <a:solidFill>
              <a:schemeClr val="dk1"/>
            </a:solidFill>
            <a:effectLst/>
            <a:latin typeface="+mn-lt"/>
            <a:ea typeface="+mn-ea"/>
            <a:cs typeface="+mn-cs"/>
          </a:endParaRPr>
        </a:p>
        <a:p>
          <a:endParaRPr lang="en-US" sz="1400" b="0">
            <a:solidFill>
              <a:sysClr val="windowText" lastClr="000000"/>
            </a:solidFill>
          </a:endParaRPr>
        </a:p>
        <a:p>
          <a:pPr algn="ctr"/>
          <a:r>
            <a:rPr lang="en-US" sz="1200" b="1" i="1">
              <a:solidFill>
                <a:srgbClr val="0B734B"/>
              </a:solidFill>
            </a:rPr>
            <a:t>This calculator was</a:t>
          </a:r>
          <a:r>
            <a:rPr lang="en-US" sz="1200" b="1" i="1" baseline="0">
              <a:solidFill>
                <a:srgbClr val="0B734B"/>
              </a:solidFill>
            </a:rPr>
            <a:t> developed and offered for use by Extension Economist Kathy Larson, MSc, PAg.</a:t>
          </a:r>
          <a:br>
            <a:rPr lang="en-US" sz="1200" b="1" i="1" baseline="0">
              <a:solidFill>
                <a:srgbClr val="0B734B"/>
              </a:solidFill>
            </a:rPr>
          </a:br>
          <a:r>
            <a:rPr lang="en-US" sz="1200" b="1" i="1" baseline="0">
              <a:solidFill>
                <a:srgbClr val="0B734B"/>
              </a:solidFill>
            </a:rPr>
            <a:t>For more information, please contact: kathy.larson@usask.ca</a:t>
          </a:r>
          <a:endParaRPr lang="en-US" sz="1200" b="1" i="1">
            <a:solidFill>
              <a:srgbClr val="0B734B"/>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381000</xdr:colOff>
      <xdr:row>21</xdr:row>
      <xdr:rowOff>0</xdr:rowOff>
    </xdr:from>
    <xdr:to>
      <xdr:col>18</xdr:col>
      <xdr:colOff>207818</xdr:colOff>
      <xdr:row>28</xdr:row>
      <xdr:rowOff>450272</xdr:rowOff>
    </xdr:to>
    <xdr:graphicFrame macro="">
      <xdr:nvGraphicFramePr>
        <xdr:cNvPr id="2" name="Chart 1">
          <a:extLst>
            <a:ext uri="{FF2B5EF4-FFF2-40B4-BE49-F238E27FC236}">
              <a16:creationId xmlns:a16="http://schemas.microsoft.com/office/drawing/2014/main" id="{A066F3D2-AD0A-4718-9469-CB337067B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389660</xdr:colOff>
      <xdr:row>3</xdr:row>
      <xdr:rowOff>121229</xdr:rowOff>
    </xdr:from>
    <xdr:to>
      <xdr:col>18</xdr:col>
      <xdr:colOff>294410</xdr:colOff>
      <xdr:row>17</xdr:row>
      <xdr:rowOff>173181</xdr:rowOff>
    </xdr:to>
    <xdr:graphicFrame macro="">
      <xdr:nvGraphicFramePr>
        <xdr:cNvPr id="4" name="Chart 3">
          <a:extLst>
            <a:ext uri="{FF2B5EF4-FFF2-40B4-BE49-F238E27FC236}">
              <a16:creationId xmlns:a16="http://schemas.microsoft.com/office/drawing/2014/main" id="{52133D94-FC4B-4448-A930-E38C6ADDD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355023</xdr:colOff>
      <xdr:row>28</xdr:row>
      <xdr:rowOff>69272</xdr:rowOff>
    </xdr:from>
    <xdr:to>
      <xdr:col>16</xdr:col>
      <xdr:colOff>51955</xdr:colOff>
      <xdr:row>28</xdr:row>
      <xdr:rowOff>311727</xdr:rowOff>
    </xdr:to>
    <xdr:sp macro="" textlink="">
      <xdr:nvSpPr>
        <xdr:cNvPr id="7" name="TextBox 6">
          <a:extLst>
            <a:ext uri="{FF2B5EF4-FFF2-40B4-BE49-F238E27FC236}">
              <a16:creationId xmlns:a16="http://schemas.microsoft.com/office/drawing/2014/main" id="{ADB7868B-E296-4038-A3EA-77120E8023DE}"/>
            </a:ext>
          </a:extLst>
        </xdr:cNvPr>
        <xdr:cNvSpPr txBox="1"/>
      </xdr:nvSpPr>
      <xdr:spPr>
        <a:xfrm>
          <a:off x="7464137" y="9663545"/>
          <a:ext cx="4546023" cy="242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*There are no return or net return values for Overseed</a:t>
          </a:r>
          <a:r>
            <a:rPr lang="en-US" sz="800" baseline="0"/>
            <a:t>ing due to a lack of yield response data.</a:t>
          </a:r>
          <a:endParaRPr lang="en-US" sz="800"/>
        </a:p>
      </xdr:txBody>
    </xdr:sp>
    <xdr:clientData/>
  </xdr:twoCellAnchor>
  <xdr:twoCellAnchor>
    <xdr:from>
      <xdr:col>8</xdr:col>
      <xdr:colOff>103910</xdr:colOff>
      <xdr:row>15</xdr:row>
      <xdr:rowOff>190500</xdr:rowOff>
    </xdr:from>
    <xdr:to>
      <xdr:col>15</xdr:col>
      <xdr:colOff>406979</xdr:colOff>
      <xdr:row>17</xdr:row>
      <xdr:rowOff>34637</xdr:rowOff>
    </xdr:to>
    <xdr:sp macro="" textlink="">
      <xdr:nvSpPr>
        <xdr:cNvPr id="9" name="TextBox 8">
          <a:extLst>
            <a:ext uri="{FF2B5EF4-FFF2-40B4-BE49-F238E27FC236}">
              <a16:creationId xmlns:a16="http://schemas.microsoft.com/office/drawing/2014/main" id="{E6130B95-B7E9-414B-B57C-0FFB49095BD1}"/>
            </a:ext>
          </a:extLst>
        </xdr:cNvPr>
        <xdr:cNvSpPr txBox="1"/>
      </xdr:nvSpPr>
      <xdr:spPr>
        <a:xfrm>
          <a:off x="7213024" y="4364182"/>
          <a:ext cx="4546023" cy="242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*There is no returns or net return values for Overseed</a:t>
          </a:r>
          <a:r>
            <a:rPr lang="en-US" sz="800" baseline="0"/>
            <a:t> method due to a lack of yield response data.</a:t>
          </a:r>
          <a:endParaRPr 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2</xdr:row>
      <xdr:rowOff>142875</xdr:rowOff>
    </xdr:from>
    <xdr:to>
      <xdr:col>10</xdr:col>
      <xdr:colOff>513538</xdr:colOff>
      <xdr:row>43</xdr:row>
      <xdr:rowOff>145123</xdr:rowOff>
    </xdr:to>
    <xdr:pic>
      <xdr:nvPicPr>
        <xdr:cNvPr id="2" name="Picture 1">
          <a:extLst>
            <a:ext uri="{FF2B5EF4-FFF2-40B4-BE49-F238E27FC236}">
              <a16:creationId xmlns:a16="http://schemas.microsoft.com/office/drawing/2014/main" id="{4002C7A8-D072-2B59-BAD2-3117EDB5ABAA}"/>
            </a:ext>
          </a:extLst>
        </xdr:cNvPr>
        <xdr:cNvPicPr>
          <a:picLocks noChangeAspect="1"/>
        </xdr:cNvPicPr>
      </xdr:nvPicPr>
      <xdr:blipFill>
        <a:blip xmlns:r="http://schemas.openxmlformats.org/officeDocument/2006/relationships" r:embed="rId1"/>
        <a:stretch>
          <a:fillRect/>
        </a:stretch>
      </xdr:blipFill>
      <xdr:spPr>
        <a:xfrm>
          <a:off x="114300" y="523875"/>
          <a:ext cx="6304738" cy="7812748"/>
        </a:xfrm>
        <a:prstGeom prst="rect">
          <a:avLst/>
        </a:prstGeom>
      </xdr:spPr>
    </xdr:pic>
    <xdr:clientData/>
  </xdr:twoCellAnchor>
  <xdr:twoCellAnchor editAs="oneCell">
    <xdr:from>
      <xdr:col>11</xdr:col>
      <xdr:colOff>495300</xdr:colOff>
      <xdr:row>6</xdr:row>
      <xdr:rowOff>161925</xdr:rowOff>
    </xdr:from>
    <xdr:to>
      <xdr:col>21</xdr:col>
      <xdr:colOff>553290</xdr:colOff>
      <xdr:row>49</xdr:row>
      <xdr:rowOff>86858</xdr:rowOff>
    </xdr:to>
    <xdr:pic>
      <xdr:nvPicPr>
        <xdr:cNvPr id="3" name="Picture 2">
          <a:extLst>
            <a:ext uri="{FF2B5EF4-FFF2-40B4-BE49-F238E27FC236}">
              <a16:creationId xmlns:a16="http://schemas.microsoft.com/office/drawing/2014/main" id="{E8CD12D1-2292-EA82-2110-6B9700ACCFEF}"/>
            </a:ext>
          </a:extLst>
        </xdr:cNvPr>
        <xdr:cNvPicPr>
          <a:picLocks noChangeAspect="1"/>
        </xdr:cNvPicPr>
      </xdr:nvPicPr>
      <xdr:blipFill>
        <a:blip xmlns:r="http://schemas.openxmlformats.org/officeDocument/2006/relationships" r:embed="rId2"/>
        <a:stretch>
          <a:fillRect/>
        </a:stretch>
      </xdr:blipFill>
      <xdr:spPr>
        <a:xfrm>
          <a:off x="6991350" y="1304925"/>
          <a:ext cx="6020640" cy="81164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publications.saskatchewan.ca/" TargetMode="External"/><Relationship Id="rId13" Type="http://schemas.openxmlformats.org/officeDocument/2006/relationships/hyperlink" Target="https://www.flamanagriculture.com/rentals" TargetMode="External"/><Relationship Id="rId18" Type="http://schemas.openxmlformats.org/officeDocument/2006/relationships/hyperlink" Target="https://publications.saskatchewan.ca/" TargetMode="External"/><Relationship Id="rId3" Type="http://schemas.openxmlformats.org/officeDocument/2006/relationships/hyperlink" Target="https://hdl.handle.net/10388/14222" TargetMode="External"/><Relationship Id="rId7" Type="http://schemas.openxmlformats.org/officeDocument/2006/relationships/hyperlink" Target="https://publications.saskatchewan.ca/" TargetMode="External"/><Relationship Id="rId12" Type="http://schemas.openxmlformats.org/officeDocument/2006/relationships/hyperlink" Target="https://publications.saskatchewan.ca/" TargetMode="External"/><Relationship Id="rId17" Type="http://schemas.openxmlformats.org/officeDocument/2006/relationships/hyperlink" Target="https://publications.saskatchewan.ca/" TargetMode="External"/><Relationship Id="rId2" Type="http://schemas.openxmlformats.org/officeDocument/2006/relationships/hyperlink" Target="https://publications.saskatchewan.ca/" TargetMode="External"/><Relationship Id="rId16" Type="http://schemas.openxmlformats.org/officeDocument/2006/relationships/hyperlink" Target="https://publications.saskatchewan.ca/" TargetMode="External"/><Relationship Id="rId1" Type="http://schemas.openxmlformats.org/officeDocument/2006/relationships/hyperlink" Target="https://agriculturereports.saskatchewan.ca/ADF/ADF_Admin/Reports/20200493.pdf" TargetMode="External"/><Relationship Id="rId6" Type="http://schemas.openxmlformats.org/officeDocument/2006/relationships/hyperlink" Target="https://publications.saskatchewan.ca/" TargetMode="External"/><Relationship Id="rId11" Type="http://schemas.openxmlformats.org/officeDocument/2006/relationships/hyperlink" Target="https://www.bankofcanada.ca/rates/related/inflation-calculator/" TargetMode="External"/><Relationship Id="rId5" Type="http://schemas.openxmlformats.org/officeDocument/2006/relationships/hyperlink" Target="https://publications.saskatchewan.ca/" TargetMode="External"/><Relationship Id="rId15" Type="http://schemas.openxmlformats.org/officeDocument/2006/relationships/hyperlink" Target="https://publications.saskatchewan.ca/" TargetMode="External"/><Relationship Id="rId10" Type="http://schemas.openxmlformats.org/officeDocument/2006/relationships/hyperlink" Target="https://publications.saskatchewan.ca/" TargetMode="External"/><Relationship Id="rId19" Type="http://schemas.openxmlformats.org/officeDocument/2006/relationships/hyperlink" Target="https://open.alberta.ca/dataset?audience=Farmers&amp;tags=farm+input+prices" TargetMode="External"/><Relationship Id="rId4" Type="http://schemas.openxmlformats.org/officeDocument/2006/relationships/hyperlink" Target="https://agriculturereports.saskatchewan.ca/ADF/ADF_Admin/Reports/20200493.pdf" TargetMode="External"/><Relationship Id="rId9" Type="http://schemas.openxmlformats.org/officeDocument/2006/relationships/hyperlink" Target="https://publications.saskatchewan.ca/" TargetMode="External"/><Relationship Id="rId14" Type="http://schemas.openxmlformats.org/officeDocument/2006/relationships/hyperlink" Target="https://publications.saskatchewan.c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7884-481F-44A3-B454-0B8217939B48}">
  <dimension ref="D42:N42"/>
  <sheetViews>
    <sheetView showGridLines="0" workbookViewId="0"/>
  </sheetViews>
  <sheetFormatPr defaultRowHeight="15" x14ac:dyDescent="0.25"/>
  <sheetData>
    <row r="42" spans="4:14" ht="34.5" customHeight="1" x14ac:dyDescent="0.35">
      <c r="D42" s="137" t="s">
        <v>0</v>
      </c>
      <c r="E42" s="137"/>
      <c r="F42" s="137"/>
      <c r="G42" s="137"/>
      <c r="H42" s="137"/>
      <c r="I42" s="137"/>
      <c r="J42" s="137"/>
      <c r="K42" s="137"/>
      <c r="L42" s="137"/>
      <c r="N42" s="136" t="s">
        <v>1</v>
      </c>
    </row>
  </sheetData>
  <sheetProtection sheet="1" objects="1" scenarios="1"/>
  <mergeCells count="1">
    <mergeCell ref="D42:L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402E-BDD9-48B0-90E5-E06F9ACB71C8}">
  <sheetPr>
    <tabColor rgb="FFFFFF00"/>
    <pageSetUpPr fitToPage="1"/>
  </sheetPr>
  <dimension ref="B2:H32"/>
  <sheetViews>
    <sheetView showGridLines="0" tabSelected="1" zoomScale="110" zoomScaleNormal="110" workbookViewId="0"/>
  </sheetViews>
  <sheetFormatPr defaultRowHeight="15" x14ac:dyDescent="0.25"/>
  <cols>
    <col min="1" max="1" width="6.140625" customWidth="1"/>
    <col min="2" max="2" width="20.85546875" customWidth="1"/>
    <col min="3" max="6" width="14.85546875" customWidth="1"/>
    <col min="7" max="7" width="11.28515625" customWidth="1"/>
  </cols>
  <sheetData>
    <row r="2" spans="2:8" ht="21" x14ac:dyDescent="0.35">
      <c r="B2" s="88" t="s">
        <v>2</v>
      </c>
    </row>
    <row r="3" spans="2:8" ht="18.75" x14ac:dyDescent="0.3">
      <c r="B3" t="s">
        <v>3</v>
      </c>
    </row>
    <row r="4" spans="2:8" ht="18.75" x14ac:dyDescent="0.3">
      <c r="B4" s="43"/>
    </row>
    <row r="5" spans="2:8" x14ac:dyDescent="0.25">
      <c r="B5" s="4" t="s">
        <v>4</v>
      </c>
    </row>
    <row r="6" spans="2:8" ht="41.25" customHeight="1" x14ac:dyDescent="0.25">
      <c r="B6" s="45" t="s">
        <v>5</v>
      </c>
      <c r="C6" s="46" t="s">
        <v>6</v>
      </c>
      <c r="D6" s="46" t="s">
        <v>7</v>
      </c>
      <c r="E6" s="46" t="s">
        <v>8</v>
      </c>
      <c r="F6" s="46" t="s">
        <v>9</v>
      </c>
      <c r="G6" s="59" t="s">
        <v>10</v>
      </c>
    </row>
    <row r="7" spans="2:8" ht="23.25" customHeight="1" x14ac:dyDescent="0.25">
      <c r="B7" s="47" t="s">
        <v>11</v>
      </c>
      <c r="C7" s="49">
        <f>Parkland!M17</f>
        <v>5.0000000000000044E-2</v>
      </c>
      <c r="D7" s="55">
        <f>Parkland!M28</f>
        <v>135.00000000000014</v>
      </c>
      <c r="E7" s="60">
        <f>Parkland!M39</f>
        <v>9.4500000000000117</v>
      </c>
      <c r="F7" s="60">
        <f>Parkland!N39</f>
        <v>19</v>
      </c>
      <c r="G7" s="63">
        <f t="shared" ref="G7:G12" si="0">E7-F7</f>
        <v>-9.5499999999999883</v>
      </c>
    </row>
    <row r="8" spans="2:8" ht="25.5" customHeight="1" x14ac:dyDescent="0.25">
      <c r="B8" s="47" t="s">
        <v>12</v>
      </c>
      <c r="C8" s="50">
        <f>Parkland!M18</f>
        <v>0.20000000000000004</v>
      </c>
      <c r="D8" s="56">
        <f>Parkland!M29</f>
        <v>540.00000000000011</v>
      </c>
      <c r="E8" s="61">
        <f>Parkland!M40</f>
        <v>37.800000000000011</v>
      </c>
      <c r="F8" s="61">
        <f>Parkland!N40</f>
        <v>19</v>
      </c>
      <c r="G8" s="64">
        <f t="shared" si="0"/>
        <v>18.800000000000011</v>
      </c>
    </row>
    <row r="9" spans="2:8" ht="23.25" customHeight="1" x14ac:dyDescent="0.25">
      <c r="B9" s="47" t="s">
        <v>13</v>
      </c>
      <c r="C9" s="51">
        <f>Parkland!M19</f>
        <v>7.0000000000000007E-2</v>
      </c>
      <c r="D9" s="56">
        <f>Parkland!M30</f>
        <v>189.00000000000003</v>
      </c>
      <c r="E9" s="61">
        <f>Parkland!M41</f>
        <v>13.230000000000004</v>
      </c>
      <c r="F9" s="61">
        <f>Parkland!N41</f>
        <v>20</v>
      </c>
      <c r="G9" s="64">
        <f t="shared" si="0"/>
        <v>-6.769999999999996</v>
      </c>
    </row>
    <row r="10" spans="2:8" ht="21" customHeight="1" x14ac:dyDescent="0.25">
      <c r="B10" s="47" t="s">
        <v>14</v>
      </c>
      <c r="C10" s="52" t="s">
        <v>15</v>
      </c>
      <c r="D10" s="56">
        <f>Parkland!M31</f>
        <v>1600</v>
      </c>
      <c r="E10" s="61">
        <f>Parkland!M42</f>
        <v>112.00000000000001</v>
      </c>
      <c r="F10" s="61">
        <f>Parkland!N42</f>
        <v>85.5</v>
      </c>
      <c r="G10" s="64">
        <f t="shared" si="0"/>
        <v>26.500000000000014</v>
      </c>
      <c r="H10" s="44"/>
    </row>
    <row r="11" spans="2:8" ht="22.5" customHeight="1" x14ac:dyDescent="0.25">
      <c r="B11" s="47" t="s">
        <v>16</v>
      </c>
      <c r="C11" s="52" t="s">
        <v>15</v>
      </c>
      <c r="D11" s="56">
        <f>Parkland!M32</f>
        <v>1750</v>
      </c>
      <c r="E11" s="61">
        <f>Parkland!M43</f>
        <v>122.50000000000001</v>
      </c>
      <c r="F11" s="61">
        <f>Parkland!N43</f>
        <v>100.5</v>
      </c>
      <c r="G11" s="64">
        <f t="shared" si="0"/>
        <v>22.000000000000014</v>
      </c>
    </row>
    <row r="12" spans="2:8" ht="21" customHeight="1" x14ac:dyDescent="0.25">
      <c r="B12" s="47" t="s">
        <v>17</v>
      </c>
      <c r="C12" s="52" t="s">
        <v>15</v>
      </c>
      <c r="D12" s="56">
        <f>Parkland!M33</f>
        <v>2040</v>
      </c>
      <c r="E12" s="61">
        <f>Parkland!M44</f>
        <v>142.80000000000001</v>
      </c>
      <c r="F12" s="61">
        <f>Parkland!N44</f>
        <v>92.300000000000011</v>
      </c>
      <c r="G12" s="64">
        <f t="shared" si="0"/>
        <v>50.5</v>
      </c>
    </row>
    <row r="13" spans="2:8" ht="24.75" customHeight="1" x14ac:dyDescent="0.25">
      <c r="B13" s="47" t="s">
        <v>18</v>
      </c>
      <c r="C13" s="53" t="s">
        <v>19</v>
      </c>
      <c r="D13" s="57" t="s">
        <v>15</v>
      </c>
      <c r="E13" s="57" t="s">
        <v>15</v>
      </c>
      <c r="F13" s="61">
        <f>Parkland!N45</f>
        <v>38</v>
      </c>
      <c r="G13" s="65" t="s">
        <v>20</v>
      </c>
    </row>
    <row r="14" spans="2:8" ht="21.75" customHeight="1" x14ac:dyDescent="0.25">
      <c r="B14" s="48" t="s">
        <v>21</v>
      </c>
      <c r="C14" s="54" t="s">
        <v>15</v>
      </c>
      <c r="D14" s="58">
        <f>Parkland!M35</f>
        <v>5174.8</v>
      </c>
      <c r="E14" s="62">
        <f>Parkland!M46</f>
        <v>443.98399999999998</v>
      </c>
      <c r="F14" s="62">
        <f>Parkland!N46</f>
        <v>406.59999999999997</v>
      </c>
      <c r="G14" s="66">
        <f>E14-F14</f>
        <v>37.384000000000015</v>
      </c>
    </row>
    <row r="15" spans="2:8" x14ac:dyDescent="0.25">
      <c r="B15" t="s">
        <v>22</v>
      </c>
    </row>
    <row r="16" spans="2:8" x14ac:dyDescent="0.25">
      <c r="B16" t="str">
        <f>"† Increase or decrease in production valued at $"&amp;ASSUMPTIONS!$C$48&amp;"/lb (grass hay) except break &amp; reseed ($"&amp;ASSUMPTIONS!$C$47&amp;"/lb)"</f>
        <v>† Increase or decrease in production valued at $0.07/lb (grass hay) except break &amp; reseed ($0.08/lb)</v>
      </c>
    </row>
    <row r="17" spans="2:8" x14ac:dyDescent="0.25">
      <c r="B17" t="str">
        <f>"Baseline Yield: "&amp;Parkland!H6&amp;" lb/ac (for spike/knives/mow/fertilize), "&amp;Parkland!H8&amp;" lb/ac (for sodseed/break &amp; reseed)"</f>
        <v>Baseline Yield: 2700 lb/ac (for spike/knives/mow/fertilize), 1650 lb/ac (for sodseed/break &amp; reseed)</v>
      </c>
    </row>
    <row r="20" spans="2:8" ht="18.75" x14ac:dyDescent="0.3">
      <c r="B20" s="43"/>
    </row>
    <row r="21" spans="2:8" x14ac:dyDescent="0.25">
      <c r="B21" s="4" t="s">
        <v>23</v>
      </c>
    </row>
    <row r="22" spans="2:8" ht="30" x14ac:dyDescent="0.25">
      <c r="B22" s="45" t="s">
        <v>5</v>
      </c>
      <c r="C22" s="46" t="s">
        <v>6</v>
      </c>
      <c r="D22" s="46" t="s">
        <v>7</v>
      </c>
      <c r="E22" s="46" t="s">
        <v>8</v>
      </c>
      <c r="F22" s="46" t="s">
        <v>9</v>
      </c>
      <c r="G22" s="46" t="s">
        <v>10</v>
      </c>
    </row>
    <row r="23" spans="2:8" ht="51" customHeight="1" x14ac:dyDescent="0.25">
      <c r="B23" s="67" t="s">
        <v>11</v>
      </c>
      <c r="C23" s="68" t="str">
        <f>"Yr 1  "&amp;'SW Sask'!G16*100&amp;"%
Yr 2   +"&amp;'SW Sask'!H16*100&amp;"% 
Yr 3  +"&amp;'SW Sask'!I16*100&amp;"%"</f>
        <v>Yr 1  -15%
Yr 2   +20% 
Yr 3  +7.5%</v>
      </c>
      <c r="D23" s="74" t="str">
        <f>'SW Sask'!G29&amp;" 
"&amp;'SW Sask'!H29&amp;" 
"&amp;'SW Sask'!I29</f>
        <v>-180 
240 
90</v>
      </c>
      <c r="E23" s="79" t="str">
        <f>'SW Sask'!G41&amp;" 
"&amp;'SW Sask'!H41&amp;" 
"&amp;'SW Sask'!I41</f>
        <v>-12.6 
16.8 
6.3</v>
      </c>
      <c r="F23" s="84">
        <f>'SW Sask'!K41</f>
        <v>19</v>
      </c>
      <c r="G23" s="86">
        <f>'SW Sask'!L41</f>
        <v>-8.5</v>
      </c>
    </row>
    <row r="24" spans="2:8" s="34" customFormat="1" ht="42" customHeight="1" x14ac:dyDescent="0.25">
      <c r="B24" s="72" t="s">
        <v>13</v>
      </c>
      <c r="C24" s="69">
        <f>'SW Sask'!G17</f>
        <v>7.0000000000000007E-2</v>
      </c>
      <c r="D24" s="75">
        <f>'SW Sask'!G30</f>
        <v>84.000000000000014</v>
      </c>
      <c r="E24" s="80">
        <f>'SW Sask'!J42</f>
        <v>5.8800000000000017</v>
      </c>
      <c r="F24" s="85">
        <f>'SW Sask'!K42</f>
        <v>100</v>
      </c>
      <c r="G24" s="87">
        <f>'SW Sask'!L42</f>
        <v>-94.12</v>
      </c>
    </row>
    <row r="25" spans="2:8" ht="52.5" customHeight="1" x14ac:dyDescent="0.25">
      <c r="B25" s="72" t="s">
        <v>14</v>
      </c>
      <c r="C25" s="70" t="str">
        <f>"Yr 1  +"&amp;'SW Sask'!G18*100&amp;"%
Yr 2   +"&amp;'SW Sask'!H18*100&amp;"% 
Yr 3  +"&amp;'SW Sask'!I18*100&amp;"%"</f>
        <v>Yr 1  +80%
Yr 2   +40% 
Yr 3  +15%</v>
      </c>
      <c r="D25" s="76" t="str">
        <f>'SW Sask'!G31&amp;" 
"&amp;'SW Sask'!H31&amp;" 
"&amp;'SW Sask'!I31</f>
        <v>960 
480 
180</v>
      </c>
      <c r="E25" s="81" t="str">
        <f>'SW Sask'!G43&amp;" 
"&amp;'SW Sask'!H43&amp;" 
"&amp;'SW Sask'!I43</f>
        <v>67.2 
33.6 
12.6</v>
      </c>
      <c r="F25" s="61">
        <f>'SW Sask'!K43</f>
        <v>78.599999999999994</v>
      </c>
      <c r="G25" s="64">
        <f>'SW Sask'!L43</f>
        <v>34.800000000000011</v>
      </c>
      <c r="H25" s="44"/>
    </row>
    <row r="26" spans="2:8" ht="60.75" customHeight="1" x14ac:dyDescent="0.25">
      <c r="B26" s="72" t="s">
        <v>16</v>
      </c>
      <c r="C26" s="70" t="str">
        <f>"Yr 1  +"&amp;'SW Sask'!G19*100&amp;"%
Yr 2   +"&amp;'SW Sask'!H19*100&amp;"% 
Yr 3  +"&amp;'SW Sask'!I19*100&amp;"%"</f>
        <v>Yr 1  +80%
Yr 2   +40% 
Yr 3  +15%</v>
      </c>
      <c r="D26" s="76" t="str">
        <f>'SW Sask'!G32&amp;" 
"&amp;'SW Sask'!H32&amp;" 
"&amp;'SW Sask'!I32</f>
        <v>960 
480 
180</v>
      </c>
      <c r="E26" s="81" t="str">
        <f>'SW Sask'!G44&amp;" 
"&amp;'SW Sask'!H44&amp;" 
"&amp;'SW Sask'!I44</f>
        <v>67.2 
33.6 
12.6</v>
      </c>
      <c r="F26" s="61">
        <f>'SW Sask'!K44</f>
        <v>93.6</v>
      </c>
      <c r="G26" s="64">
        <f>'SW Sask'!L44</f>
        <v>19.800000000000011</v>
      </c>
    </row>
    <row r="27" spans="2:8" ht="65.25" customHeight="1" x14ac:dyDescent="0.25">
      <c r="B27" s="72" t="s">
        <v>17</v>
      </c>
      <c r="C27" s="70" t="str">
        <f>"Yr 1  +"&amp;'SW Sask'!G20*100&amp;"%
Yr 2   +"&amp;'SW Sask'!H20*100&amp;"% 
Yr 3  +"&amp;'SW Sask'!I20*100&amp;"%"</f>
        <v>Yr 1  +40%
Yr 2   +45% 
Yr 3  +45%</v>
      </c>
      <c r="D27" s="76" t="str">
        <f>'SW Sask'!G33&amp;" 
"&amp;'SW Sask'!H33&amp;" 
"&amp;'SW Sask'!I33</f>
        <v>480 
540 
540</v>
      </c>
      <c r="E27" s="81" t="str">
        <f>'SW Sask'!G45&amp;" 
"&amp;'SW Sask'!H45&amp;" 
"&amp;'SW Sask'!I45</f>
        <v>38.4 
43.2 
43.2</v>
      </c>
      <c r="F27" s="61">
        <f>'SW Sask'!K45</f>
        <v>74.7</v>
      </c>
      <c r="G27" s="64">
        <f>'SW Sask'!L45</f>
        <v>50.099999999999994</v>
      </c>
    </row>
    <row r="28" spans="2:8" ht="29.25" customHeight="1" x14ac:dyDescent="0.25">
      <c r="B28" s="47" t="s">
        <v>18</v>
      </c>
      <c r="C28" s="53" t="s">
        <v>19</v>
      </c>
      <c r="D28" s="77" t="s">
        <v>15</v>
      </c>
      <c r="E28" s="82" t="s">
        <v>15</v>
      </c>
      <c r="F28" s="61">
        <f>'SW Sask'!K46</f>
        <v>35</v>
      </c>
      <c r="G28" s="65" t="s">
        <v>20</v>
      </c>
    </row>
    <row r="29" spans="2:8" ht="60.75" customHeight="1" x14ac:dyDescent="0.25">
      <c r="B29" s="73" t="s">
        <v>21</v>
      </c>
      <c r="C29" s="71" t="str">
        <f>"Yr 1  +"&amp;'SW Sask'!G22*100&amp;"%
Yr 2   +"&amp;'SW Sask'!H22*100&amp;"% 
Yr 3  +"&amp;'SW Sask'!I22*100&amp;"%"</f>
        <v>Yr 1  +125%
Yr 2   +50% 
Yr 3  +50%</v>
      </c>
      <c r="D29" s="78" t="str">
        <f>'SW Sask'!G35&amp;" 
"&amp;'SW Sask'!H35&amp;" 
"&amp;'SW Sask'!I35</f>
        <v>1500 
600 
600</v>
      </c>
      <c r="E29" s="83" t="str">
        <f>'SW Sask'!G47&amp;" 
"&amp;'SW Sask'!H47&amp;" 
"&amp;'SW Sask'!I47</f>
        <v>105 
48 
48</v>
      </c>
      <c r="F29" s="62">
        <f>'SW Sask'!K47</f>
        <v>217.7</v>
      </c>
      <c r="G29" s="66">
        <f>'SW Sask'!L47</f>
        <v>-16.699999999999989</v>
      </c>
    </row>
    <row r="30" spans="2:8" x14ac:dyDescent="0.25">
      <c r="B30" s="97" t="s">
        <v>22</v>
      </c>
    </row>
    <row r="31" spans="2:8" x14ac:dyDescent="0.25">
      <c r="B31" s="97" t="str">
        <f>"† Increase or decrease in production valued at $"&amp;ASSUMPTIONS!$C$48&amp;"/lb (grass hay) except break &amp; reseed ($"&amp;ASSUMPTIONS!$C$47&amp;"/lb)"</f>
        <v>† Increase or decrease in production valued at $0.07/lb (grass hay) except break &amp; reseed ($0.08/lb)</v>
      </c>
    </row>
    <row r="32" spans="2:8" x14ac:dyDescent="0.25">
      <c r="B32" s="97" t="str">
        <f>"Base yield: "&amp;'SW Sask'!G6&amp;" lb/ac"</f>
        <v>Base yield: 1200 lb/ac</v>
      </c>
    </row>
  </sheetData>
  <sheetProtection sheet="1" objects="1" scenarios="1" formatCells="0"/>
  <pageMargins left="0.7" right="0.7" top="0.75" bottom="0.75" header="0.3" footer="0.3"/>
  <pageSetup scale="83" fitToWidth="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FFEC-B7B7-4358-AB8D-EB1A09E22D0D}">
  <sheetPr codeName="Sheet22">
    <tabColor rgb="FFFFC000"/>
  </sheetPr>
  <dimension ref="A1:P62"/>
  <sheetViews>
    <sheetView showGridLines="0" zoomScaleNormal="100" workbookViewId="0">
      <selection activeCell="H6" sqref="H6"/>
    </sheetView>
  </sheetViews>
  <sheetFormatPr defaultRowHeight="15" x14ac:dyDescent="0.25"/>
  <cols>
    <col min="1" max="1" width="6.42578125" customWidth="1"/>
    <col min="2" max="2" width="48.28515625" customWidth="1"/>
    <col min="5" max="5" width="10.140625" customWidth="1"/>
    <col min="6" max="6" width="9.5703125" customWidth="1"/>
    <col min="7" max="7" width="26.5703125" customWidth="1"/>
    <col min="8" max="9" width="9.140625" bestFit="1" customWidth="1"/>
    <col min="10" max="10" width="12.28515625" customWidth="1"/>
    <col min="11" max="11" width="12.140625" customWidth="1"/>
    <col min="12" max="12" width="10.42578125" customWidth="1"/>
    <col min="13" max="13" width="11.140625" customWidth="1"/>
    <col min="14" max="14" width="14.7109375" customWidth="1"/>
    <col min="15" max="15" width="14.42578125" customWidth="1"/>
    <col min="16" max="16" width="11.85546875" customWidth="1"/>
    <col min="17" max="17" width="12.140625" customWidth="1"/>
    <col min="19" max="19" width="10.140625" customWidth="1"/>
    <col min="21" max="21" width="3.5703125" customWidth="1"/>
  </cols>
  <sheetData>
    <row r="1" spans="1:14" ht="18.75" x14ac:dyDescent="0.3">
      <c r="A1" s="8"/>
      <c r="B1" s="93" t="s">
        <v>24</v>
      </c>
      <c r="C1" s="8"/>
      <c r="D1" s="8"/>
      <c r="E1" s="8"/>
      <c r="F1" s="8"/>
      <c r="G1" s="8"/>
      <c r="H1" s="8"/>
      <c r="I1" s="8"/>
      <c r="J1" s="8"/>
      <c r="K1" s="8"/>
      <c r="L1" s="8"/>
    </row>
    <row r="2" spans="1:14" ht="18.75" x14ac:dyDescent="0.3">
      <c r="B2" s="94"/>
    </row>
    <row r="3" spans="1:14" s="96" customFormat="1" ht="21" x14ac:dyDescent="0.35">
      <c r="A3" s="88" t="s">
        <v>25</v>
      </c>
      <c r="G3" s="88" t="s">
        <v>26</v>
      </c>
      <c r="H3" s="95"/>
      <c r="I3" s="95"/>
      <c r="J3" s="95"/>
      <c r="K3" s="95"/>
      <c r="L3" s="95"/>
    </row>
    <row r="4" spans="1:14" ht="30.75" thickBot="1" x14ac:dyDescent="0.3">
      <c r="A4" s="2" t="s">
        <v>27</v>
      </c>
      <c r="B4" s="30"/>
      <c r="C4" s="31" t="s">
        <v>28</v>
      </c>
      <c r="D4" s="7"/>
      <c r="G4" s="138" t="s">
        <v>29</v>
      </c>
      <c r="H4" s="138"/>
      <c r="J4" s="4"/>
      <c r="K4" s="4"/>
      <c r="L4" s="4"/>
    </row>
    <row r="5" spans="1:14" ht="31.5" customHeight="1" x14ac:dyDescent="0.25">
      <c r="A5" s="1" t="s">
        <v>30</v>
      </c>
      <c r="G5" s="28" t="s">
        <v>27</v>
      </c>
      <c r="H5" s="28" t="s">
        <v>31</v>
      </c>
      <c r="J5" s="37"/>
      <c r="K5" s="18"/>
      <c r="L5" s="18"/>
    </row>
    <row r="6" spans="1:14" x14ac:dyDescent="0.25">
      <c r="B6" t="s">
        <v>32</v>
      </c>
      <c r="C6" s="16">
        <f>ASSUMPTIONS!C10</f>
        <v>19</v>
      </c>
      <c r="G6" t="s">
        <v>30</v>
      </c>
      <c r="H6" s="99">
        <v>2700</v>
      </c>
      <c r="L6" s="20"/>
      <c r="M6" s="22"/>
    </row>
    <row r="7" spans="1:14" x14ac:dyDescent="0.25">
      <c r="G7" t="s">
        <v>13</v>
      </c>
      <c r="H7" s="99">
        <v>2700</v>
      </c>
      <c r="L7" s="20"/>
      <c r="M7" s="22"/>
    </row>
    <row r="8" spans="1:14" ht="18.75" x14ac:dyDescent="0.3">
      <c r="A8" s="1" t="s">
        <v>13</v>
      </c>
      <c r="G8" t="s">
        <v>33</v>
      </c>
      <c r="H8" s="99">
        <v>1650</v>
      </c>
      <c r="J8" s="42" t="s">
        <v>34</v>
      </c>
      <c r="L8" s="20"/>
    </row>
    <row r="9" spans="1:14" x14ac:dyDescent="0.25">
      <c r="B9" t="str">
        <f>"Mower covers "&amp;ASSUMPTIONS!C17&amp;" ac/hr @ $"&amp;ASSUMPTIONS!C16&amp;"/hr"</f>
        <v>Mower covers 5 ac/hr @ $100/hr</v>
      </c>
      <c r="C9" s="16">
        <f>ASSUMPTIONS!C16/ASSUMPTIONS!C17</f>
        <v>20</v>
      </c>
      <c r="D9" s="27"/>
      <c r="G9" t="s">
        <v>35</v>
      </c>
      <c r="H9" s="100" t="s">
        <v>15</v>
      </c>
    </row>
    <row r="10" spans="1:14" x14ac:dyDescent="0.25">
      <c r="G10" t="s">
        <v>14</v>
      </c>
      <c r="H10" s="99">
        <v>2700</v>
      </c>
    </row>
    <row r="11" spans="1:14" ht="15.75" x14ac:dyDescent="0.25">
      <c r="A11" s="1" t="s">
        <v>14</v>
      </c>
      <c r="G11" t="s">
        <v>36</v>
      </c>
      <c r="H11" s="99">
        <v>2700</v>
      </c>
    </row>
    <row r="12" spans="1:14" x14ac:dyDescent="0.25">
      <c r="B12" t="str">
        <f>"50 lb. N @ $"&amp;ROUND(ASSUMPTIONS!C29,2)&amp;"/lb"</f>
        <v>50 lb. N @ $0.82/lb</v>
      </c>
      <c r="C12" s="15">
        <f>50*ASSUMPTIONS!C29</f>
        <v>41</v>
      </c>
      <c r="G12" s="12" t="s">
        <v>37</v>
      </c>
      <c r="H12" s="101">
        <v>1650</v>
      </c>
    </row>
    <row r="13" spans="1:14" x14ac:dyDescent="0.25">
      <c r="B13" t="str">
        <f>"25 lb. P @ $"&amp;ROUND(ASSUMPTIONS!C30,2)&amp;"/lb"</f>
        <v>25 lb. P @ $0.96/lb</v>
      </c>
      <c r="C13" s="15">
        <f>25*ASSUMPTIONS!C30</f>
        <v>24</v>
      </c>
      <c r="D13" s="27"/>
    </row>
    <row r="14" spans="1:14" x14ac:dyDescent="0.25">
      <c r="B14" t="str">
        <f>"10 lb. S @ $"&amp;ROUND(ASSUMPTIONS!C31,2)&amp;"/lb"</f>
        <v>10 lb. S @ $0.55/lb</v>
      </c>
      <c r="C14" s="15">
        <f>10*ASSUMPTIONS!C31</f>
        <v>5.5</v>
      </c>
    </row>
    <row r="15" spans="1:14" ht="15.75" thickBot="1" x14ac:dyDescent="0.3">
      <c r="B15" t="s">
        <v>38</v>
      </c>
      <c r="C15" s="16">
        <f>ASSUMPTIONS!C14</f>
        <v>15</v>
      </c>
      <c r="G15" s="138" t="s">
        <v>39</v>
      </c>
      <c r="H15" s="138"/>
      <c r="I15" s="138"/>
      <c r="J15" s="138"/>
      <c r="K15" s="138"/>
      <c r="L15" s="138"/>
    </row>
    <row r="16" spans="1:14" x14ac:dyDescent="0.25">
      <c r="A16" s="4" t="s">
        <v>40</v>
      </c>
      <c r="C16" s="23">
        <f>SUM(C12:C15)</f>
        <v>85.5</v>
      </c>
      <c r="G16" s="28" t="s">
        <v>27</v>
      </c>
      <c r="H16" s="28" t="s">
        <v>41</v>
      </c>
      <c r="I16" s="28" t="s">
        <v>42</v>
      </c>
      <c r="J16" s="28" t="s">
        <v>43</v>
      </c>
      <c r="K16" s="28" t="s">
        <v>44</v>
      </c>
      <c r="L16" s="28" t="s">
        <v>45</v>
      </c>
      <c r="M16" s="119" t="s">
        <v>46</v>
      </c>
      <c r="N16" s="89"/>
    </row>
    <row r="17" spans="1:14" x14ac:dyDescent="0.25">
      <c r="G17" t="s">
        <v>47</v>
      </c>
      <c r="H17" s="102">
        <f>AVERAGE(-15%,-20%)</f>
        <v>-0.17499999999999999</v>
      </c>
      <c r="I17" s="103">
        <f>AVERAGE(10%,20%)</f>
        <v>0.15000000000000002</v>
      </c>
      <c r="J17" s="104">
        <f>AVERAGE(5%,10%)</f>
        <v>7.5000000000000011E-2</v>
      </c>
      <c r="K17" s="105" t="s">
        <v>15</v>
      </c>
      <c r="L17" s="106" t="s">
        <v>15</v>
      </c>
      <c r="M17" s="118">
        <f>SUM(H17:L17)</f>
        <v>5.0000000000000044E-2</v>
      </c>
      <c r="N17" s="89"/>
    </row>
    <row r="18" spans="1:14" ht="15.75" x14ac:dyDescent="0.25">
      <c r="A18" s="1" t="s">
        <v>36</v>
      </c>
      <c r="G18" t="s">
        <v>48</v>
      </c>
      <c r="H18" s="102">
        <f>AVERAGE(0%,-5%)</f>
        <v>-2.5000000000000001E-2</v>
      </c>
      <c r="I18" s="103">
        <f>AVERAGE(5%,10%)</f>
        <v>7.5000000000000011E-2</v>
      </c>
      <c r="J18" s="103">
        <f>AVERAGE(10%,20%)</f>
        <v>0.15000000000000002</v>
      </c>
      <c r="K18" s="105"/>
      <c r="L18" s="106"/>
      <c r="M18" s="118">
        <f t="shared" ref="M18:M19" si="0">SUM(H18:L18)</f>
        <v>0.20000000000000004</v>
      </c>
      <c r="N18" s="89"/>
    </row>
    <row r="19" spans="1:14" x14ac:dyDescent="0.25">
      <c r="B19" t="str">
        <f>"50 lb. N @ $"&amp;ASSUMPTIONS!C29&amp;"/lb"</f>
        <v>50 lb. N @ $0.82/lb</v>
      </c>
      <c r="C19" s="15">
        <f>50*ASSUMPTIONS!C29</f>
        <v>41</v>
      </c>
      <c r="G19" t="s">
        <v>49</v>
      </c>
      <c r="H19" s="107">
        <v>7.0000000000000007E-2</v>
      </c>
      <c r="I19" s="105" t="s">
        <v>15</v>
      </c>
      <c r="J19" s="106" t="s">
        <v>15</v>
      </c>
      <c r="K19" s="106" t="s">
        <v>15</v>
      </c>
      <c r="L19" s="105" t="s">
        <v>15</v>
      </c>
      <c r="M19" s="118">
        <f t="shared" si="0"/>
        <v>7.0000000000000007E-2</v>
      </c>
      <c r="N19" s="89"/>
    </row>
    <row r="20" spans="1:14" x14ac:dyDescent="0.25">
      <c r="B20" t="str">
        <f>"25 lb. P @ $"&amp;ASSUMPTIONS!C30&amp;"/lb"</f>
        <v>25 lb. P @ $0.96/lb</v>
      </c>
      <c r="C20" s="15">
        <f>25*ASSUMPTIONS!C30</f>
        <v>24</v>
      </c>
      <c r="G20" t="s">
        <v>50</v>
      </c>
      <c r="H20" s="108">
        <v>27</v>
      </c>
      <c r="I20" s="109">
        <v>3</v>
      </c>
      <c r="J20" s="109">
        <v>2</v>
      </c>
      <c r="K20" s="106" t="s">
        <v>15</v>
      </c>
      <c r="L20" s="105" t="s">
        <v>15</v>
      </c>
      <c r="M20" s="118"/>
      <c r="N20" s="89"/>
    </row>
    <row r="21" spans="1:14" x14ac:dyDescent="0.25">
      <c r="B21" t="str">
        <f>"10 lb. S @ $"&amp;ASSUMPTIONS!C31&amp;"/lb"</f>
        <v>10 lb. S @ $0.55/lb</v>
      </c>
      <c r="C21" s="15">
        <f>10*ASSUMPTIONS!C31</f>
        <v>5.5</v>
      </c>
      <c r="G21" t="s">
        <v>51</v>
      </c>
      <c r="H21" s="108">
        <v>30</v>
      </c>
      <c r="I21" s="109">
        <v>3</v>
      </c>
      <c r="J21" s="109">
        <v>2</v>
      </c>
      <c r="K21" s="106" t="s">
        <v>15</v>
      </c>
      <c r="L21" s="105" t="s">
        <v>15</v>
      </c>
      <c r="M21" s="118"/>
      <c r="N21" s="89"/>
    </row>
    <row r="22" spans="1:14" x14ac:dyDescent="0.25">
      <c r="B22" t="s">
        <v>52</v>
      </c>
      <c r="C22" s="15">
        <f>ASSUMPTIONS!C6</f>
        <v>30</v>
      </c>
      <c r="G22" t="s">
        <v>53</v>
      </c>
      <c r="H22" s="103">
        <v>-0.75</v>
      </c>
      <c r="I22" s="103">
        <v>-0.01</v>
      </c>
      <c r="J22" s="103">
        <f>(1*3298)/H8-1</f>
        <v>0.99878787878787878</v>
      </c>
      <c r="K22" s="103">
        <f>2473/H8-1</f>
        <v>0.49878787878787878</v>
      </c>
      <c r="L22" s="103">
        <f>2473/H8-1</f>
        <v>0.49878787878787878</v>
      </c>
      <c r="M22" s="118">
        <f>SUM(H22:L22)</f>
        <v>1.2363636363636363</v>
      </c>
      <c r="N22" s="89"/>
    </row>
    <row r="23" spans="1:14" x14ac:dyDescent="0.25">
      <c r="A23" s="4" t="s">
        <v>40</v>
      </c>
      <c r="C23" s="23">
        <f>SUM(C19:C22)</f>
        <v>100.5</v>
      </c>
      <c r="G23" t="s">
        <v>35</v>
      </c>
      <c r="H23" s="110" t="s">
        <v>15</v>
      </c>
      <c r="I23" s="110" t="s">
        <v>15</v>
      </c>
      <c r="J23" s="111" t="s">
        <v>15</v>
      </c>
      <c r="K23" s="111" t="s">
        <v>15</v>
      </c>
      <c r="L23" s="110" t="s">
        <v>15</v>
      </c>
      <c r="M23" s="120"/>
      <c r="N23" s="89"/>
    </row>
    <row r="24" spans="1:14" x14ac:dyDescent="0.25">
      <c r="G24" s="12" t="s">
        <v>54</v>
      </c>
      <c r="H24" s="112">
        <v>0</v>
      </c>
      <c r="I24" s="113">
        <v>3600</v>
      </c>
      <c r="J24" s="113">
        <f>(0.5*4386)</f>
        <v>2193</v>
      </c>
      <c r="K24" s="113">
        <f>(0.8*4386)</f>
        <v>3508.8</v>
      </c>
      <c r="L24" s="113">
        <f>2473</f>
        <v>2473</v>
      </c>
      <c r="M24" s="121">
        <f>SUM(H24:L24)-(4*H12)</f>
        <v>5174.7999999999993</v>
      </c>
      <c r="N24" s="89"/>
    </row>
    <row r="25" spans="1:14" ht="15.75" x14ac:dyDescent="0.25">
      <c r="A25" s="1" t="s">
        <v>33</v>
      </c>
      <c r="H25" s="26"/>
      <c r="I25" s="6"/>
      <c r="J25" s="6"/>
      <c r="K25" s="6"/>
      <c r="L25" s="6"/>
      <c r="M25" s="89"/>
      <c r="N25" s="89"/>
    </row>
    <row r="26" spans="1:14" ht="15.75" thickBot="1" x14ac:dyDescent="0.3">
      <c r="B26" t="str">
        <f>"Herbicide (1 L @ $"&amp;ASSUMPTIONS!C27&amp;"/L)"</f>
        <v>Herbicide (1 L @ $7.7/L)</v>
      </c>
      <c r="C26" s="15">
        <f>1*ASSUMPTIONS!C27</f>
        <v>7.7</v>
      </c>
      <c r="G26" s="138" t="s">
        <v>55</v>
      </c>
      <c r="H26" s="138"/>
      <c r="I26" s="138"/>
      <c r="J26" s="138"/>
      <c r="K26" s="138"/>
      <c r="L26" s="138"/>
      <c r="M26" s="89"/>
      <c r="N26" s="89"/>
    </row>
    <row r="27" spans="1:14" x14ac:dyDescent="0.25">
      <c r="B27" t="s">
        <v>56</v>
      </c>
      <c r="C27" s="15">
        <f>ASSUMPTIONS!C5</f>
        <v>35</v>
      </c>
      <c r="G27" s="28" t="s">
        <v>27</v>
      </c>
      <c r="H27" s="28" t="s">
        <v>41</v>
      </c>
      <c r="I27" s="28" t="s">
        <v>42</v>
      </c>
      <c r="J27" s="28" t="s">
        <v>43</v>
      </c>
      <c r="K27" s="28" t="s">
        <v>44</v>
      </c>
      <c r="L27" s="28" t="s">
        <v>45</v>
      </c>
      <c r="M27" s="119" t="s">
        <v>40</v>
      </c>
      <c r="N27" s="119" t="s">
        <v>57</v>
      </c>
    </row>
    <row r="28" spans="1:14" x14ac:dyDescent="0.25">
      <c r="B28" s="19" t="str">
        <f>"Seed (8 lb Smooth brome @ $"&amp;ASSUMPTIONS!C40&amp;"/lb)"</f>
        <v>Seed (8 lb Smooth brome @ $6.2/lb)</v>
      </c>
      <c r="C28" s="15">
        <f>8*ASSUMPTIONS!C40</f>
        <v>49.6</v>
      </c>
      <c r="G28" t="s">
        <v>11</v>
      </c>
      <c r="H28" s="25">
        <f t="shared" ref="H28:J29" si="1">$H$6*H17</f>
        <v>-472.49999999999994</v>
      </c>
      <c r="I28" s="25">
        <f t="shared" si="1"/>
        <v>405.00000000000006</v>
      </c>
      <c r="J28" s="25">
        <f t="shared" si="1"/>
        <v>202.50000000000003</v>
      </c>
      <c r="K28" s="3" t="s">
        <v>15</v>
      </c>
      <c r="L28" s="3" t="s">
        <v>15</v>
      </c>
      <c r="M28" s="122">
        <f>SUM(H28:L28)</f>
        <v>135.00000000000014</v>
      </c>
      <c r="N28" s="123">
        <f>M28*ASSUMPTIONS!C48</f>
        <v>9.4500000000000117</v>
      </c>
    </row>
    <row r="29" spans="1:14" x14ac:dyDescent="0.25">
      <c r="A29" s="4" t="s">
        <v>40</v>
      </c>
      <c r="B29" s="19"/>
      <c r="C29" s="24">
        <f>SUM(C26:C28)</f>
        <v>92.300000000000011</v>
      </c>
      <c r="G29" t="s">
        <v>12</v>
      </c>
      <c r="H29" s="25">
        <f t="shared" si="1"/>
        <v>-67.5</v>
      </c>
      <c r="I29" s="25">
        <f t="shared" si="1"/>
        <v>202.50000000000003</v>
      </c>
      <c r="J29" s="25">
        <f t="shared" si="1"/>
        <v>405.00000000000006</v>
      </c>
      <c r="K29" s="3" t="s">
        <v>15</v>
      </c>
      <c r="L29" s="3" t="s">
        <v>15</v>
      </c>
      <c r="M29" s="122">
        <f>SUM(H29:L29)</f>
        <v>540.00000000000011</v>
      </c>
      <c r="N29" s="123">
        <f>M29*ASSUMPTIONS!C48</f>
        <v>37.800000000000011</v>
      </c>
    </row>
    <row r="30" spans="1:14" x14ac:dyDescent="0.25">
      <c r="G30" t="s">
        <v>13</v>
      </c>
      <c r="H30" s="25">
        <f>$H$7*H19</f>
        <v>189.00000000000003</v>
      </c>
      <c r="I30" s="3" t="s">
        <v>15</v>
      </c>
      <c r="J30" s="3" t="s">
        <v>15</v>
      </c>
      <c r="K30" s="3" t="s">
        <v>15</v>
      </c>
      <c r="L30" s="3" t="s">
        <v>15</v>
      </c>
      <c r="M30" s="122">
        <f t="shared" ref="M30:M35" si="2">SUM(H30:L30)</f>
        <v>189.00000000000003</v>
      </c>
      <c r="N30" s="123">
        <f>M30*ASSUMPTIONS!C48</f>
        <v>13.230000000000004</v>
      </c>
    </row>
    <row r="31" spans="1:14" ht="15.75" x14ac:dyDescent="0.25">
      <c r="A31" s="1" t="s">
        <v>35</v>
      </c>
      <c r="D31" s="5"/>
      <c r="G31" t="s">
        <v>14</v>
      </c>
      <c r="H31" s="25">
        <f t="shared" ref="H31:J32" si="3">50*H20</f>
        <v>1350</v>
      </c>
      <c r="I31" s="14">
        <f t="shared" si="3"/>
        <v>150</v>
      </c>
      <c r="J31" s="14">
        <f t="shared" si="3"/>
        <v>100</v>
      </c>
      <c r="K31" s="3" t="s">
        <v>15</v>
      </c>
      <c r="L31" s="3" t="s">
        <v>15</v>
      </c>
      <c r="M31" s="122">
        <f>SUM(H31:L31)</f>
        <v>1600</v>
      </c>
      <c r="N31" s="123">
        <f>M31*ASSUMPTIONS!C48</f>
        <v>112.00000000000001</v>
      </c>
    </row>
    <row r="32" spans="1:14" x14ac:dyDescent="0.25">
      <c r="B32" t="str">
        <f>"Seed (2 lb Red clover @ $"&amp;ASSUMPTIONS!C42&amp;"/lb)"</f>
        <v>Seed (2 lb Red clover @ $4/lb)</v>
      </c>
      <c r="C32" s="15">
        <f>2*ASSUMPTIONS!C42</f>
        <v>8</v>
      </c>
      <c r="G32" t="s">
        <v>36</v>
      </c>
      <c r="H32" s="25">
        <f t="shared" si="3"/>
        <v>1500</v>
      </c>
      <c r="I32" s="35">
        <f t="shared" si="3"/>
        <v>150</v>
      </c>
      <c r="J32" s="35">
        <f t="shared" si="3"/>
        <v>100</v>
      </c>
      <c r="K32" s="3" t="s">
        <v>15</v>
      </c>
      <c r="L32" s="3" t="s">
        <v>15</v>
      </c>
      <c r="M32" s="122">
        <f>SUM(H32:L32)</f>
        <v>1750</v>
      </c>
      <c r="N32" s="123">
        <f>M32*ASSUMPTIONS!C48</f>
        <v>122.50000000000001</v>
      </c>
    </row>
    <row r="33" spans="1:16" x14ac:dyDescent="0.25">
      <c r="B33" t="s">
        <v>58</v>
      </c>
      <c r="C33" s="16">
        <f>ASSUMPTIONS!C14</f>
        <v>15</v>
      </c>
      <c r="G33" t="s">
        <v>33</v>
      </c>
      <c r="H33" s="25">
        <f>H22*$H$8</f>
        <v>-1237.5</v>
      </c>
      <c r="I33" s="25">
        <f>I22*$H$8</f>
        <v>-16.5</v>
      </c>
      <c r="J33" s="25">
        <f>J22*$H$8</f>
        <v>1648</v>
      </c>
      <c r="K33" s="25">
        <f>K22*$H$8</f>
        <v>823</v>
      </c>
      <c r="L33" s="25">
        <f>L22*$H$8</f>
        <v>823</v>
      </c>
      <c r="M33" s="122">
        <f t="shared" si="2"/>
        <v>2040</v>
      </c>
      <c r="N33" s="123">
        <f>M33*ASSUMPTIONS!C48</f>
        <v>142.80000000000001</v>
      </c>
    </row>
    <row r="34" spans="1:16" x14ac:dyDescent="0.25">
      <c r="B34" t="s">
        <v>59</v>
      </c>
      <c r="C34" s="16">
        <f>ASSUMPTIONS!C8</f>
        <v>15</v>
      </c>
      <c r="G34" t="s">
        <v>35</v>
      </c>
      <c r="H34" s="3" t="s">
        <v>15</v>
      </c>
      <c r="I34" s="3" t="s">
        <v>15</v>
      </c>
      <c r="J34" s="11" t="s">
        <v>15</v>
      </c>
      <c r="K34" s="11" t="s">
        <v>15</v>
      </c>
      <c r="L34" s="3" t="s">
        <v>15</v>
      </c>
      <c r="M34" s="122">
        <f t="shared" si="2"/>
        <v>0</v>
      </c>
      <c r="N34" s="124"/>
    </row>
    <row r="35" spans="1:16" x14ac:dyDescent="0.25">
      <c r="A35" s="4" t="s">
        <v>40</v>
      </c>
      <c r="C35" s="23">
        <f>SUM(C32:C34)</f>
        <v>38</v>
      </c>
      <c r="G35" s="12" t="s">
        <v>37</v>
      </c>
      <c r="H35" s="36">
        <f>$H$12*H24</f>
        <v>0</v>
      </c>
      <c r="I35" s="36">
        <f>I24-$H$12</f>
        <v>1950</v>
      </c>
      <c r="J35" s="36">
        <f t="shared" ref="J35:L35" si="4">J24-$H$12</f>
        <v>543</v>
      </c>
      <c r="K35" s="36">
        <f t="shared" si="4"/>
        <v>1858.8000000000002</v>
      </c>
      <c r="L35" s="36">
        <f t="shared" si="4"/>
        <v>823</v>
      </c>
      <c r="M35" s="122">
        <f t="shared" si="2"/>
        <v>5174.8</v>
      </c>
      <c r="N35" s="123">
        <f>I35*ASSUMPTIONS!C46+(SUM(J35:L35)*ASSUMPTIONS!C47)</f>
        <v>394.48400000000004</v>
      </c>
    </row>
    <row r="36" spans="1:16" x14ac:dyDescent="0.25">
      <c r="A36" s="4"/>
      <c r="C36" s="23"/>
    </row>
    <row r="37" spans="1:16" ht="16.5" thickBot="1" x14ac:dyDescent="0.3">
      <c r="A37" s="1" t="s">
        <v>37</v>
      </c>
      <c r="G37" s="138" t="s">
        <v>60</v>
      </c>
      <c r="H37" s="138"/>
      <c r="I37" s="138"/>
      <c r="J37" s="138"/>
      <c r="K37" s="138"/>
      <c r="L37" s="138"/>
      <c r="M37" s="138"/>
      <c r="N37" s="138"/>
      <c r="O37" s="138"/>
    </row>
    <row r="38" spans="1:16" x14ac:dyDescent="0.25">
      <c r="A38" s="21" t="s">
        <v>61</v>
      </c>
      <c r="G38" s="28" t="s">
        <v>27</v>
      </c>
      <c r="H38" s="28" t="s">
        <v>41</v>
      </c>
      <c r="I38" s="28" t="s">
        <v>42</v>
      </c>
      <c r="J38" s="28" t="s">
        <v>43</v>
      </c>
      <c r="K38" s="28" t="s">
        <v>44</v>
      </c>
      <c r="L38" s="28" t="s">
        <v>45</v>
      </c>
      <c r="M38" s="28" t="s">
        <v>62</v>
      </c>
      <c r="N38" s="28" t="s">
        <v>63</v>
      </c>
      <c r="O38" s="28" t="s">
        <v>64</v>
      </c>
    </row>
    <row r="39" spans="1:16" x14ac:dyDescent="0.25">
      <c r="B39" t="s">
        <v>65</v>
      </c>
      <c r="C39" s="15">
        <f>1*ASSUMPTIONS!C27</f>
        <v>7.7</v>
      </c>
      <c r="G39" t="s">
        <v>11</v>
      </c>
      <c r="H39" s="16">
        <f>H28*ASSUMPTIONS!$C$48</f>
        <v>-33.074999999999996</v>
      </c>
      <c r="I39" s="16">
        <f>I28*ASSUMPTIONS!$C$48</f>
        <v>28.350000000000005</v>
      </c>
      <c r="J39" s="16">
        <f>J28*ASSUMPTIONS!$C$48</f>
        <v>14.175000000000002</v>
      </c>
      <c r="K39" s="3" t="s">
        <v>15</v>
      </c>
      <c r="L39" s="3" t="s">
        <v>15</v>
      </c>
      <c r="M39" s="16">
        <f t="shared" ref="M39:M46" si="5">SUM(H39:L39)</f>
        <v>9.4500000000000117</v>
      </c>
      <c r="N39" s="16">
        <f>C6</f>
        <v>19</v>
      </c>
      <c r="O39" s="16">
        <f t="shared" ref="O39:O44" si="6">M39-N39</f>
        <v>-9.5499999999999883</v>
      </c>
    </row>
    <row r="40" spans="1:16" x14ac:dyDescent="0.25">
      <c r="B40" t="str">
        <f>"Heavy tandem disk (2 x $"&amp;ASSUMPTIONS!C12&amp;"/ac)"</f>
        <v>Heavy tandem disk (2 x $15/ac)</v>
      </c>
      <c r="C40" s="16">
        <f>2*ASSUMPTIONS!C12</f>
        <v>30</v>
      </c>
      <c r="G40" t="s">
        <v>12</v>
      </c>
      <c r="H40" s="16">
        <f>H29*ASSUMPTIONS!$C$48</f>
        <v>-4.7250000000000005</v>
      </c>
      <c r="I40" s="16">
        <f>I29*ASSUMPTIONS!$C$48</f>
        <v>14.175000000000002</v>
      </c>
      <c r="J40" s="16">
        <f>J29*ASSUMPTIONS!$C$48</f>
        <v>28.350000000000005</v>
      </c>
      <c r="K40" s="3" t="s">
        <v>15</v>
      </c>
      <c r="L40" s="3" t="s">
        <v>15</v>
      </c>
      <c r="M40" s="16">
        <f t="shared" si="5"/>
        <v>37.800000000000011</v>
      </c>
      <c r="N40" s="16">
        <f>C6</f>
        <v>19</v>
      </c>
      <c r="O40" s="16">
        <f t="shared" si="6"/>
        <v>18.800000000000011</v>
      </c>
    </row>
    <row r="41" spans="1:16" x14ac:dyDescent="0.25">
      <c r="B41" t="s">
        <v>66</v>
      </c>
      <c r="C41" s="16">
        <f>2*ASSUMPTIONS!C10</f>
        <v>38</v>
      </c>
      <c r="G41" t="s">
        <v>13</v>
      </c>
      <c r="H41" s="16">
        <f>H30*ASSUMPTIONS!C48</f>
        <v>13.230000000000004</v>
      </c>
      <c r="I41" s="3" t="s">
        <v>15</v>
      </c>
      <c r="J41" s="3" t="s">
        <v>15</v>
      </c>
      <c r="K41" s="3" t="s">
        <v>15</v>
      </c>
      <c r="L41" s="3" t="s">
        <v>15</v>
      </c>
      <c r="M41" s="16">
        <f t="shared" si="5"/>
        <v>13.230000000000004</v>
      </c>
      <c r="N41" s="16">
        <f>C9</f>
        <v>20</v>
      </c>
      <c r="O41" s="16">
        <f t="shared" si="6"/>
        <v>-6.769999999999996</v>
      </c>
    </row>
    <row r="42" spans="1:16" x14ac:dyDescent="0.25">
      <c r="A42" s="21" t="s">
        <v>67</v>
      </c>
      <c r="G42" t="s">
        <v>14</v>
      </c>
      <c r="H42" s="16">
        <f>H31*ASSUMPTIONS!$C$48</f>
        <v>94.500000000000014</v>
      </c>
      <c r="I42" s="16">
        <f>I31*ASSUMPTIONS!$C$48</f>
        <v>10.500000000000002</v>
      </c>
      <c r="J42" s="16">
        <f>J31*ASSUMPTIONS!$C$48</f>
        <v>7.0000000000000009</v>
      </c>
      <c r="K42" s="3" t="s">
        <v>15</v>
      </c>
      <c r="L42" s="3" t="s">
        <v>15</v>
      </c>
      <c r="M42" s="16">
        <f>SUM(H42:L42)</f>
        <v>112.00000000000001</v>
      </c>
      <c r="N42" s="16">
        <f>C16</f>
        <v>85.5</v>
      </c>
      <c r="O42" s="16">
        <f t="shared" si="6"/>
        <v>26.500000000000014</v>
      </c>
    </row>
    <row r="43" spans="1:16" x14ac:dyDescent="0.25">
      <c r="B43" t="s">
        <v>32</v>
      </c>
      <c r="C43" s="15">
        <f>ASSUMPTIONS!C10</f>
        <v>19</v>
      </c>
      <c r="G43" t="s">
        <v>36</v>
      </c>
      <c r="H43" s="16">
        <f>H32*ASSUMPTIONS!$C$48</f>
        <v>105.00000000000001</v>
      </c>
      <c r="I43" s="16">
        <f>I32*ASSUMPTIONS!$C$48</f>
        <v>10.500000000000002</v>
      </c>
      <c r="J43" s="16">
        <f>J32*ASSUMPTIONS!$C$48</f>
        <v>7.0000000000000009</v>
      </c>
      <c r="K43" s="3" t="s">
        <v>15</v>
      </c>
      <c r="L43" s="3" t="s">
        <v>15</v>
      </c>
      <c r="M43" s="16">
        <f>SUM(H43:L43)</f>
        <v>122.50000000000001</v>
      </c>
      <c r="N43" s="16">
        <f>C23</f>
        <v>100.5</v>
      </c>
      <c r="O43" s="16">
        <f t="shared" si="6"/>
        <v>22.000000000000014</v>
      </c>
    </row>
    <row r="44" spans="1:16" x14ac:dyDescent="0.25">
      <c r="B44" t="str">
        <f>"Seed (2 bu. Oats @ $"&amp;ROUND(ASSUMPTIONS!C41,2)&amp;"/bu)"</f>
        <v>Seed (2 bu. Oats @ $10.5/bu)</v>
      </c>
      <c r="C44" s="15">
        <f>2*ASSUMPTIONS!C41</f>
        <v>21</v>
      </c>
      <c r="G44" t="s">
        <v>33</v>
      </c>
      <c r="H44" s="16">
        <f>H33*ASSUMPTIONS!$C$48</f>
        <v>-86.625000000000014</v>
      </c>
      <c r="I44" s="16">
        <f>I33*ASSUMPTIONS!$C$48</f>
        <v>-1.155</v>
      </c>
      <c r="J44" s="16">
        <f>J33*ASSUMPTIONS!$C$48</f>
        <v>115.36000000000001</v>
      </c>
      <c r="K44" s="16">
        <f>K33*ASSUMPTIONS!$C$48</f>
        <v>57.610000000000007</v>
      </c>
      <c r="L44" s="16">
        <f>L33*ASSUMPTIONS!$C$48</f>
        <v>57.610000000000007</v>
      </c>
      <c r="M44" s="16">
        <f t="shared" si="5"/>
        <v>142.80000000000001</v>
      </c>
      <c r="N44" s="16">
        <f>C29</f>
        <v>92.300000000000011</v>
      </c>
      <c r="O44" s="16">
        <f t="shared" si="6"/>
        <v>50.5</v>
      </c>
    </row>
    <row r="45" spans="1:16" x14ac:dyDescent="0.25">
      <c r="B45" t="s">
        <v>68</v>
      </c>
      <c r="C45" s="15">
        <f>ASSUMPTIONS!C6</f>
        <v>30</v>
      </c>
      <c r="G45" t="s">
        <v>35</v>
      </c>
      <c r="H45" s="3" t="s">
        <v>15</v>
      </c>
      <c r="I45" s="3" t="s">
        <v>15</v>
      </c>
      <c r="J45" s="3" t="s">
        <v>15</v>
      </c>
      <c r="K45" s="3" t="s">
        <v>15</v>
      </c>
      <c r="L45" s="3" t="s">
        <v>15</v>
      </c>
      <c r="M45" s="16">
        <f t="shared" si="5"/>
        <v>0</v>
      </c>
      <c r="N45" s="16">
        <f>C35</f>
        <v>38</v>
      </c>
      <c r="O45" s="16"/>
    </row>
    <row r="46" spans="1:16" x14ac:dyDescent="0.25">
      <c r="B46" t="str">
        <f>"50 lb. N Fertilizer @ $"&amp;ROUND(ASSUMPTIONS!C29,2)&amp;"/lb"</f>
        <v>50 lb. N Fertilizer @ $0.82/lb</v>
      </c>
      <c r="C46" s="15">
        <f>50*ASSUMPTIONS!C29</f>
        <v>41</v>
      </c>
      <c r="G46" s="12" t="s">
        <v>37</v>
      </c>
      <c r="H46" s="29">
        <f>H35*$L$8</f>
        <v>0</v>
      </c>
      <c r="I46" s="29">
        <f>I35*ASSUMPTIONS!C46</f>
        <v>136.5</v>
      </c>
      <c r="J46" s="29">
        <f>J24*ASSUMPTIONS!$C$47-(H12*ASSUMPTIONS!C48)</f>
        <v>59.939999999999984</v>
      </c>
      <c r="K46" s="29">
        <f>K24*ASSUMPTIONS!$C$47-(H12*ASSUMPTIONS!C48)</f>
        <v>165.20400000000001</v>
      </c>
      <c r="L46" s="29">
        <f>L24*ASSUMPTIONS!$C$47-(H12*ASSUMPTIONS!C48)</f>
        <v>82.339999999999989</v>
      </c>
      <c r="M46" s="29">
        <f t="shared" si="5"/>
        <v>443.98399999999998</v>
      </c>
      <c r="N46" s="29">
        <f>C57</f>
        <v>406.59999999999997</v>
      </c>
      <c r="O46" s="29">
        <f>M46-N46</f>
        <v>37.384000000000015</v>
      </c>
      <c r="P46" s="9"/>
    </row>
    <row r="47" spans="1:16" x14ac:dyDescent="0.25">
      <c r="B47" t="s">
        <v>69</v>
      </c>
      <c r="C47" s="15">
        <f>ASSUMPTIONS!C14</f>
        <v>15</v>
      </c>
    </row>
    <row r="48" spans="1:16" x14ac:dyDescent="0.25">
      <c r="B48" s="19" t="s">
        <v>70</v>
      </c>
      <c r="C48" s="41">
        <f>ASSUMPTIONS!C15+(3600/1400*ASSUMPTIONS!C7)</f>
        <v>63</v>
      </c>
      <c r="D48" s="9"/>
    </row>
    <row r="49" spans="1:4" x14ac:dyDescent="0.25">
      <c r="B49" t="s">
        <v>71</v>
      </c>
      <c r="C49" s="15">
        <f>ASSUMPTIONS!C12</f>
        <v>15</v>
      </c>
    </row>
    <row r="50" spans="1:4" x14ac:dyDescent="0.25">
      <c r="A50" s="21" t="s">
        <v>72</v>
      </c>
    </row>
    <row r="51" spans="1:4" x14ac:dyDescent="0.25">
      <c r="B51" t="s">
        <v>73</v>
      </c>
      <c r="C51" s="15">
        <f>ASSUMPTIONS!C10</f>
        <v>19</v>
      </c>
    </row>
    <row r="52" spans="1:4" x14ac:dyDescent="0.25">
      <c r="B52" s="19" t="str">
        <f>"Seed (7 lb. smooth brome @ $"&amp;ASSUMPTIONS!C40&amp;"/lb)"</f>
        <v>Seed (7 lb. smooth brome @ $6.2/lb)</v>
      </c>
      <c r="C52" s="15">
        <f>7*ASSUMPTIONS!C40</f>
        <v>43.4</v>
      </c>
    </row>
    <row r="53" spans="1:4" x14ac:dyDescent="0.25">
      <c r="B53" t="str">
        <f>"Seed (3 lb. alfalfa @ $"&amp;ASSUMPTIONS!C36&amp;"/lb)"</f>
        <v>Seed (3 lb. alfalfa @ $6/lb)</v>
      </c>
      <c r="C53" s="15">
        <f>3*ASSUMPTIONS!C36</f>
        <v>18</v>
      </c>
    </row>
    <row r="54" spans="1:4" x14ac:dyDescent="0.25">
      <c r="B54" s="19" t="str">
        <f>"Seed (1 bu. Oats @ $"&amp;ROUND(ASSUMPTIONS!C41,2)&amp;"/bu)"</f>
        <v>Seed (1 bu. Oats @ $10.5/bu)</v>
      </c>
      <c r="C54" s="15">
        <f>1*ASSUMPTIONS!C41</f>
        <v>10.5</v>
      </c>
      <c r="D54" s="9"/>
    </row>
    <row r="55" spans="1:4" x14ac:dyDescent="0.25">
      <c r="B55" t="s">
        <v>68</v>
      </c>
      <c r="C55" s="15">
        <f>ASSUMPTIONS!C6</f>
        <v>30</v>
      </c>
    </row>
    <row r="56" spans="1:4" x14ac:dyDescent="0.25">
      <c r="B56" t="s">
        <v>74</v>
      </c>
      <c r="C56" s="15">
        <f>ASSUMPTIONS!C18</f>
        <v>6</v>
      </c>
    </row>
    <row r="57" spans="1:4" x14ac:dyDescent="0.25">
      <c r="A57" s="4" t="s">
        <v>40</v>
      </c>
      <c r="C57" s="23">
        <f>SUM(C39:C56)</f>
        <v>406.59999999999997</v>
      </c>
    </row>
    <row r="62" spans="1:4" x14ac:dyDescent="0.25">
      <c r="A62" s="9"/>
    </row>
  </sheetData>
  <sheetProtection sheet="1" objects="1" scenarios="1"/>
  <mergeCells count="4">
    <mergeCell ref="G37:O37"/>
    <mergeCell ref="G4:H4"/>
    <mergeCell ref="G15:L15"/>
    <mergeCell ref="G26:L26"/>
  </mergeCells>
  <pageMargins left="0.7" right="0.7" top="0.75" bottom="0.75" header="0.3" footer="0.3"/>
  <ignoredErrors>
    <ignoredError sqref="H41" formula="1"/>
    <ignoredError sqref="H17:L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B427-8DDC-4FD5-BF12-11C68D1201CE}">
  <sheetPr codeName="Sheet23">
    <tabColor rgb="FF92D050"/>
  </sheetPr>
  <dimension ref="A1:L50"/>
  <sheetViews>
    <sheetView showGridLines="0" zoomScaleNormal="100" workbookViewId="0"/>
  </sheetViews>
  <sheetFormatPr defaultRowHeight="15" x14ac:dyDescent="0.25"/>
  <cols>
    <col min="1" max="1" width="6.42578125" customWidth="1"/>
    <col min="2" max="2" width="38.28515625" bestFit="1" customWidth="1"/>
    <col min="5" max="5" width="14" customWidth="1"/>
    <col min="6" max="6" width="21.5703125" customWidth="1"/>
    <col min="7" max="7" width="11.85546875" bestFit="1" customWidth="1"/>
    <col min="9" max="9" width="16.140625" customWidth="1"/>
    <col min="10" max="10" width="10.28515625" customWidth="1"/>
    <col min="12" max="12" width="11.42578125" bestFit="1" customWidth="1"/>
    <col min="13" max="13" width="8.5703125" customWidth="1"/>
    <col min="14" max="14" width="17.42578125" customWidth="1"/>
    <col min="15" max="15" width="11.7109375" customWidth="1"/>
    <col min="17" max="17" width="10.7109375" customWidth="1"/>
    <col min="19" max="19" width="10.5703125" customWidth="1"/>
  </cols>
  <sheetData>
    <row r="1" spans="1:11" ht="18.75" x14ac:dyDescent="0.3">
      <c r="A1" s="8"/>
      <c r="B1" s="93" t="s">
        <v>24</v>
      </c>
      <c r="C1" s="8"/>
      <c r="D1" s="8"/>
      <c r="E1" s="8"/>
      <c r="F1" s="8"/>
      <c r="G1" s="8"/>
      <c r="H1" s="8"/>
      <c r="I1" s="8"/>
      <c r="J1" s="8"/>
      <c r="K1" s="8"/>
    </row>
    <row r="2" spans="1:11" ht="18.75" x14ac:dyDescent="0.3">
      <c r="B2" s="94"/>
    </row>
    <row r="3" spans="1:11" s="98" customFormat="1" ht="18.75" x14ac:dyDescent="0.3">
      <c r="A3" s="43" t="s">
        <v>25</v>
      </c>
      <c r="F3" s="43" t="s">
        <v>26</v>
      </c>
      <c r="G3" s="43"/>
      <c r="H3" s="43"/>
      <c r="I3" s="43"/>
      <c r="J3" s="43"/>
      <c r="K3" s="43"/>
    </row>
    <row r="4" spans="1:11" ht="30.75" thickBot="1" x14ac:dyDescent="0.3">
      <c r="A4" s="2" t="s">
        <v>27</v>
      </c>
      <c r="B4" s="30"/>
      <c r="C4" s="31" t="s">
        <v>75</v>
      </c>
      <c r="D4" s="5"/>
      <c r="F4" s="138" t="s">
        <v>29</v>
      </c>
      <c r="G4" s="138"/>
      <c r="I4" s="139"/>
      <c r="J4" s="139"/>
      <c r="K4" s="139"/>
    </row>
    <row r="5" spans="1:11" ht="19.5" customHeight="1" x14ac:dyDescent="0.25">
      <c r="A5" s="1" t="s">
        <v>30</v>
      </c>
      <c r="F5" s="10" t="s">
        <v>27</v>
      </c>
      <c r="G5" s="10" t="s">
        <v>76</v>
      </c>
      <c r="I5" s="37"/>
      <c r="J5" s="18"/>
      <c r="K5" s="18"/>
    </row>
    <row r="6" spans="1:11" x14ac:dyDescent="0.25">
      <c r="B6" t="s">
        <v>32</v>
      </c>
      <c r="C6" s="16">
        <f>ASSUMPTIONS!$C$10</f>
        <v>19</v>
      </c>
      <c r="F6" t="s">
        <v>30</v>
      </c>
      <c r="G6" s="99">
        <v>1200</v>
      </c>
      <c r="J6" s="13"/>
      <c r="K6" s="20"/>
    </row>
    <row r="7" spans="1:11" x14ac:dyDescent="0.25">
      <c r="F7" t="s">
        <v>13</v>
      </c>
      <c r="G7" s="99">
        <v>1200</v>
      </c>
      <c r="J7" s="13"/>
      <c r="K7" s="20"/>
    </row>
    <row r="8" spans="1:11" ht="18.75" x14ac:dyDescent="0.3">
      <c r="A8" s="1" t="s">
        <v>13</v>
      </c>
      <c r="D8" s="5"/>
      <c r="F8" t="s">
        <v>33</v>
      </c>
      <c r="G8" s="99">
        <v>1200</v>
      </c>
      <c r="I8" s="42" t="s">
        <v>34</v>
      </c>
      <c r="J8" s="13"/>
      <c r="K8" s="20"/>
    </row>
    <row r="9" spans="1:11" x14ac:dyDescent="0.25">
      <c r="B9" t="s">
        <v>77</v>
      </c>
      <c r="C9" s="16">
        <f>ASSUMPTIONS!C16</f>
        <v>100</v>
      </c>
      <c r="D9" s="5"/>
      <c r="F9" t="s">
        <v>35</v>
      </c>
      <c r="G9" s="105" t="s">
        <v>15</v>
      </c>
    </row>
    <row r="10" spans="1:11" x14ac:dyDescent="0.25">
      <c r="D10" s="5"/>
      <c r="F10" t="s">
        <v>14</v>
      </c>
      <c r="G10" s="99">
        <v>1200</v>
      </c>
      <c r="I10" s="38"/>
    </row>
    <row r="11" spans="1:11" ht="15.75" x14ac:dyDescent="0.25">
      <c r="A11" s="1" t="s">
        <v>14</v>
      </c>
      <c r="D11" s="5"/>
      <c r="F11" t="s">
        <v>36</v>
      </c>
      <c r="G11" s="99">
        <v>1200</v>
      </c>
    </row>
    <row r="12" spans="1:11" x14ac:dyDescent="0.25">
      <c r="B12" t="str">
        <f>"60 lbs N @ $"&amp;ROUND(ASSUMPTIONS!C29,2)&amp;"/lb"</f>
        <v>60 lbs N @ $0.82/lb</v>
      </c>
      <c r="C12" s="15">
        <f>60*ASSUMPTIONS!C29</f>
        <v>49.199999999999996</v>
      </c>
      <c r="D12" s="5"/>
      <c r="F12" s="12" t="s">
        <v>37</v>
      </c>
      <c r="G12" s="101">
        <v>1200</v>
      </c>
    </row>
    <row r="13" spans="1:11" x14ac:dyDescent="0.25">
      <c r="B13" t="str">
        <f>"15 lbs P @ $"&amp;ROUND(ASSUMPTIONS!C30,2)&amp;"/lb"</f>
        <v>15 lbs P @ $0.96/lb</v>
      </c>
      <c r="C13" s="15">
        <f>15*ASSUMPTIONS!C30</f>
        <v>14.399999999999999</v>
      </c>
      <c r="D13" s="27"/>
    </row>
    <row r="14" spans="1:11" ht="15.75" thickBot="1" x14ac:dyDescent="0.3">
      <c r="B14" t="s">
        <v>78</v>
      </c>
      <c r="C14" s="16">
        <f>ASSUMPTIONS!C14</f>
        <v>15</v>
      </c>
      <c r="D14" s="5"/>
      <c r="F14" s="138" t="s">
        <v>79</v>
      </c>
      <c r="G14" s="138"/>
      <c r="H14" s="138"/>
      <c r="I14" s="138"/>
      <c r="K14" s="117" t="s">
        <v>80</v>
      </c>
    </row>
    <row r="15" spans="1:11" x14ac:dyDescent="0.25">
      <c r="A15" s="4" t="s">
        <v>40</v>
      </c>
      <c r="C15" s="23">
        <f>SUM(C12:C14)</f>
        <v>78.599999999999994</v>
      </c>
      <c r="D15" s="27"/>
      <c r="F15" s="28" t="s">
        <v>27</v>
      </c>
      <c r="G15" s="32" t="s">
        <v>41</v>
      </c>
      <c r="H15" s="32" t="s">
        <v>42</v>
      </c>
      <c r="I15" s="32" t="s">
        <v>43</v>
      </c>
      <c r="J15" s="17"/>
      <c r="K15" s="89"/>
    </row>
    <row r="16" spans="1:11" x14ac:dyDescent="0.25">
      <c r="D16" s="5"/>
      <c r="F16" t="s">
        <v>30</v>
      </c>
      <c r="G16" s="103">
        <f>AVERAGE(-0.1,-0.2)</f>
        <v>-0.15000000000000002</v>
      </c>
      <c r="H16" s="103">
        <f>AVERAGE(0.1,0.3)</f>
        <v>0.2</v>
      </c>
      <c r="I16" s="107">
        <f>AVERAGE(0.05,0.1)</f>
        <v>7.5000000000000011E-2</v>
      </c>
      <c r="J16" s="39"/>
      <c r="K16" s="118">
        <f>SUM(G16:I16)</f>
        <v>0.125</v>
      </c>
    </row>
    <row r="17" spans="1:11" ht="15.75" x14ac:dyDescent="0.25">
      <c r="A17" s="1" t="s">
        <v>36</v>
      </c>
      <c r="D17" s="5"/>
      <c r="F17" t="s">
        <v>13</v>
      </c>
      <c r="G17" s="103">
        <v>7.0000000000000007E-2</v>
      </c>
      <c r="H17" s="103" t="s">
        <v>15</v>
      </c>
      <c r="I17" s="103" t="s">
        <v>15</v>
      </c>
      <c r="J17" s="17"/>
      <c r="K17" s="118">
        <f t="shared" ref="K17" si="0">SUM(G17:I17)</f>
        <v>7.0000000000000007E-2</v>
      </c>
    </row>
    <row r="18" spans="1:11" x14ac:dyDescent="0.25">
      <c r="B18" t="str">
        <f>"60 lbs N @ $"&amp;ROUND(ASSUMPTIONS!C29,2)&amp;"/lb"</f>
        <v>60 lbs N @ $0.82/lb</v>
      </c>
      <c r="C18" s="15">
        <f>60*ASSUMPTIONS!C29</f>
        <v>49.199999999999996</v>
      </c>
      <c r="D18" s="5"/>
      <c r="F18" t="s">
        <v>14</v>
      </c>
      <c r="G18" s="103">
        <v>0.8</v>
      </c>
      <c r="H18" s="103">
        <v>0.4</v>
      </c>
      <c r="I18" s="103">
        <v>0.15</v>
      </c>
      <c r="J18" s="17"/>
      <c r="K18" s="118">
        <f>SUM(G18:I18)</f>
        <v>1.35</v>
      </c>
    </row>
    <row r="19" spans="1:11" x14ac:dyDescent="0.25">
      <c r="B19" t="str">
        <f>"15 lbs P @ $"&amp;ROUND(ASSUMPTIONS!C30,2)&amp;"/lb"</f>
        <v>15 lbs P @ $0.96/lb</v>
      </c>
      <c r="C19" s="15">
        <f>15*ASSUMPTIONS!C30</f>
        <v>14.399999999999999</v>
      </c>
      <c r="D19" s="5"/>
      <c r="F19" t="s">
        <v>36</v>
      </c>
      <c r="G19" s="103">
        <v>0.8</v>
      </c>
      <c r="H19" s="103">
        <v>0.4</v>
      </c>
      <c r="I19" s="103">
        <v>0.15</v>
      </c>
      <c r="J19" s="17"/>
      <c r="K19" s="118">
        <f>SUM(G19:I19)</f>
        <v>1.35</v>
      </c>
    </row>
    <row r="20" spans="1:11" x14ac:dyDescent="0.25">
      <c r="B20" t="s">
        <v>81</v>
      </c>
      <c r="C20" s="16">
        <f>ASSUMPTIONS!C6</f>
        <v>30</v>
      </c>
      <c r="D20" s="5"/>
      <c r="F20" t="s">
        <v>33</v>
      </c>
      <c r="G20" s="103">
        <v>0.4</v>
      </c>
      <c r="H20" s="103">
        <v>0.45</v>
      </c>
      <c r="I20" s="103">
        <v>0.45</v>
      </c>
      <c r="J20" s="17"/>
      <c r="K20" s="118">
        <f>SUM(G20:I20)</f>
        <v>1.3</v>
      </c>
    </row>
    <row r="21" spans="1:11" x14ac:dyDescent="0.25">
      <c r="A21" s="4" t="s">
        <v>40</v>
      </c>
      <c r="C21" s="23">
        <f>SUM(C18:C20)</f>
        <v>93.6</v>
      </c>
      <c r="D21" s="5"/>
      <c r="F21" t="s">
        <v>35</v>
      </c>
      <c r="G21" s="103" t="s">
        <v>15</v>
      </c>
      <c r="H21" s="103" t="s">
        <v>15</v>
      </c>
      <c r="I21" s="103" t="s">
        <v>15</v>
      </c>
      <c r="J21" s="17"/>
      <c r="K21" s="118">
        <f>SUM(G21:I21)</f>
        <v>0</v>
      </c>
    </row>
    <row r="22" spans="1:11" x14ac:dyDescent="0.25">
      <c r="D22" s="5"/>
      <c r="F22" s="12" t="s">
        <v>37</v>
      </c>
      <c r="G22" s="114">
        <v>1.25</v>
      </c>
      <c r="H22" s="115">
        <v>0.5</v>
      </c>
      <c r="I22" s="115">
        <v>0.5</v>
      </c>
      <c r="J22" s="17"/>
      <c r="K22" s="118">
        <f>SUM(G22:I22)</f>
        <v>2.25</v>
      </c>
    </row>
    <row r="23" spans="1:11" ht="15.75" x14ac:dyDescent="0.25">
      <c r="A23" s="1" t="s">
        <v>33</v>
      </c>
      <c r="D23" s="5"/>
    </row>
    <row r="24" spans="1:11" x14ac:dyDescent="0.25">
      <c r="B24" t="str">
        <f>"Herbicide (1L @ $"&amp;ASSUMPTIONS!C27&amp;"/L)"</f>
        <v>Herbicide (1L @ $7.7/L)</v>
      </c>
      <c r="C24" s="15">
        <f>1*ASSUMPTIONS!C27</f>
        <v>7.7</v>
      </c>
      <c r="D24" s="27"/>
    </row>
    <row r="25" spans="1:11" ht="15.75" thickBot="1" x14ac:dyDescent="0.3">
      <c r="B25" t="s">
        <v>82</v>
      </c>
      <c r="C25" s="15">
        <f>ASSUMPTIONS!$C$5</f>
        <v>35</v>
      </c>
      <c r="D25" s="27"/>
      <c r="F25" s="138" t="s">
        <v>55</v>
      </c>
      <c r="G25" s="138"/>
      <c r="H25" s="138"/>
      <c r="I25" s="138"/>
    </row>
    <row r="26" spans="1:11" x14ac:dyDescent="0.25">
      <c r="B26" s="19" t="str">
        <f>"Seed (1 lb. alfalfa @ $"&amp;ASSUMPTIONS!$C$36&amp;"/lb)"</f>
        <v>Seed (1 lb. alfalfa @ $6/lb)</v>
      </c>
      <c r="C26" s="15">
        <f>1*ASSUMPTIONS!C36</f>
        <v>6</v>
      </c>
      <c r="D26" s="5"/>
      <c r="F26" s="33" t="s">
        <v>83</v>
      </c>
      <c r="G26" s="18"/>
      <c r="H26" s="18"/>
      <c r="I26" s="18"/>
    </row>
    <row r="27" spans="1:11" x14ac:dyDescent="0.25">
      <c r="B27" t="str">
        <f>"Seed (4 lb. crested wheatgrass @ $"&amp;ASSUMPTIONS!$C$34&amp;"/lb)"</f>
        <v>Seed (4 lb. crested wheatgrass @ $6.5/lb)</v>
      </c>
      <c r="C27" s="15">
        <f>4*ASSUMPTIONS!C34</f>
        <v>26</v>
      </c>
      <c r="D27" s="5"/>
      <c r="F27" s="18"/>
      <c r="G27" s="18"/>
      <c r="H27" s="18"/>
      <c r="I27" s="18"/>
      <c r="J27" s="17"/>
      <c r="K27" s="17"/>
    </row>
    <row r="28" spans="1:11" x14ac:dyDescent="0.25">
      <c r="A28" s="4" t="s">
        <v>40</v>
      </c>
      <c r="C28" s="24">
        <f>SUM(C24:C27)</f>
        <v>74.7</v>
      </c>
      <c r="D28" s="5"/>
      <c r="F28" s="28" t="s">
        <v>27</v>
      </c>
      <c r="G28" s="32" t="s">
        <v>41</v>
      </c>
      <c r="H28" s="32" t="s">
        <v>42</v>
      </c>
      <c r="I28" s="32" t="s">
        <v>43</v>
      </c>
      <c r="J28" s="116" t="s">
        <v>84</v>
      </c>
      <c r="K28" s="116" t="s">
        <v>85</v>
      </c>
    </row>
    <row r="29" spans="1:11" x14ac:dyDescent="0.25">
      <c r="D29" s="5"/>
      <c r="F29" t="s">
        <v>30</v>
      </c>
      <c r="G29">
        <f>$G$6*(G16)</f>
        <v>-180.00000000000003</v>
      </c>
      <c r="H29">
        <f>$G$6*(H16)</f>
        <v>240</v>
      </c>
      <c r="I29">
        <f>$G$6*(I16)</f>
        <v>90.000000000000014</v>
      </c>
      <c r="J29" s="89">
        <f>SUM(G29:I29)</f>
        <v>150</v>
      </c>
      <c r="K29" s="89">
        <f>J29*0.07</f>
        <v>10.500000000000002</v>
      </c>
    </row>
    <row r="30" spans="1:11" ht="15.75" x14ac:dyDescent="0.25">
      <c r="A30" s="1" t="s">
        <v>35</v>
      </c>
      <c r="D30" s="5"/>
      <c r="F30" t="s">
        <v>13</v>
      </c>
      <c r="G30">
        <f>$G$7*(G17)</f>
        <v>84.000000000000014</v>
      </c>
      <c r="H30" s="3" t="s">
        <v>15</v>
      </c>
      <c r="I30" s="3" t="s">
        <v>15</v>
      </c>
      <c r="J30" s="89">
        <f t="shared" ref="J30:J35" si="1">SUM(G30:I30)</f>
        <v>84.000000000000014</v>
      </c>
      <c r="K30" s="89">
        <f t="shared" ref="K30" si="2">J30*0.07</f>
        <v>5.8800000000000017</v>
      </c>
    </row>
    <row r="31" spans="1:11" x14ac:dyDescent="0.25">
      <c r="B31" s="19" t="str">
        <f>"Seed (2 lb. alfalfa @ $"&amp;ASSUMPTIONS!$C$36&amp;"/lb)"</f>
        <v>Seed (2 lb. alfalfa @ $6/lb)</v>
      </c>
      <c r="C31" s="15">
        <f>2*ASSUMPTIONS!C36</f>
        <v>12</v>
      </c>
      <c r="D31" s="27"/>
      <c r="F31" t="s">
        <v>14</v>
      </c>
      <c r="G31">
        <f>$G$10*(G18)</f>
        <v>960</v>
      </c>
      <c r="H31">
        <f>$G$10*(H18)</f>
        <v>480</v>
      </c>
      <c r="I31">
        <f>$G$10*(I18)</f>
        <v>180</v>
      </c>
      <c r="J31" s="89">
        <f>SUM(G31:I31)</f>
        <v>1620</v>
      </c>
      <c r="K31" s="89">
        <f>J31*0.07</f>
        <v>113.4</v>
      </c>
    </row>
    <row r="32" spans="1:11" x14ac:dyDescent="0.25">
      <c r="B32" t="s">
        <v>58</v>
      </c>
      <c r="C32" s="16">
        <f>ASSUMPTIONS!C14</f>
        <v>15</v>
      </c>
      <c r="D32" s="5"/>
      <c r="F32" t="s">
        <v>36</v>
      </c>
      <c r="G32">
        <f>$G$11*(G19)</f>
        <v>960</v>
      </c>
      <c r="H32">
        <f>$G$11*(H19)</f>
        <v>480</v>
      </c>
      <c r="I32">
        <f>$G$11*(I19)</f>
        <v>180</v>
      </c>
      <c r="J32" s="89">
        <f>SUM(G32:I32)</f>
        <v>1620</v>
      </c>
      <c r="K32" s="89">
        <f>J32*0.07</f>
        <v>113.4</v>
      </c>
    </row>
    <row r="33" spans="1:12" x14ac:dyDescent="0.25">
      <c r="B33" t="s">
        <v>59</v>
      </c>
      <c r="C33" s="16">
        <f>ASSUMPTIONS!$C$11</f>
        <v>8</v>
      </c>
      <c r="D33" s="5"/>
      <c r="F33" t="s">
        <v>33</v>
      </c>
      <c r="G33">
        <f>$G$8*(G20)</f>
        <v>480</v>
      </c>
      <c r="H33">
        <f>$G$8*(H20)</f>
        <v>540</v>
      </c>
      <c r="I33">
        <f>$G$8*(I20)</f>
        <v>540</v>
      </c>
      <c r="J33" s="89">
        <f>SUM(G33:I33)</f>
        <v>1560</v>
      </c>
      <c r="K33" s="89">
        <f>J33*0.08</f>
        <v>124.8</v>
      </c>
    </row>
    <row r="34" spans="1:12" x14ac:dyDescent="0.25">
      <c r="A34" s="4" t="s">
        <v>40</v>
      </c>
      <c r="C34" s="23">
        <f>SUM(C31:C33)</f>
        <v>35</v>
      </c>
      <c r="F34" t="s">
        <v>35</v>
      </c>
      <c r="G34" s="3" t="s">
        <v>15</v>
      </c>
      <c r="H34" s="3" t="s">
        <v>15</v>
      </c>
      <c r="I34" s="3" t="s">
        <v>15</v>
      </c>
      <c r="J34" s="89"/>
      <c r="K34" s="89">
        <f t="shared" ref="K34" si="3">J34*0.08</f>
        <v>0</v>
      </c>
    </row>
    <row r="35" spans="1:12" x14ac:dyDescent="0.25">
      <c r="F35" s="12" t="s">
        <v>37</v>
      </c>
      <c r="G35" s="12">
        <f>$G$12*G22</f>
        <v>1500</v>
      </c>
      <c r="H35" s="12">
        <f>$G$12*H22</f>
        <v>600</v>
      </c>
      <c r="I35" s="12">
        <f>$G$12*I22</f>
        <v>600</v>
      </c>
      <c r="J35" s="89">
        <f t="shared" si="1"/>
        <v>2700</v>
      </c>
      <c r="K35" s="89">
        <f>G35*0.07+(H35+I35)*0.08</f>
        <v>201</v>
      </c>
    </row>
    <row r="36" spans="1:12" ht="15.75" x14ac:dyDescent="0.25">
      <c r="A36" s="1" t="s">
        <v>37</v>
      </c>
    </row>
    <row r="37" spans="1:12" x14ac:dyDescent="0.25">
      <c r="A37" s="21" t="s">
        <v>61</v>
      </c>
    </row>
    <row r="38" spans="1:12" x14ac:dyDescent="0.25">
      <c r="B38" t="s">
        <v>86</v>
      </c>
      <c r="C38" s="16">
        <f>2*ASSUMPTIONS!$C$12</f>
        <v>30</v>
      </c>
    </row>
    <row r="39" spans="1:12" ht="15.75" thickBot="1" x14ac:dyDescent="0.3">
      <c r="A39" s="21" t="s">
        <v>67</v>
      </c>
      <c r="F39" s="138" t="s">
        <v>60</v>
      </c>
      <c r="G39" s="138"/>
      <c r="H39" s="138"/>
      <c r="I39" s="138"/>
      <c r="J39" s="138"/>
      <c r="K39" s="138"/>
      <c r="L39" s="138"/>
    </row>
    <row r="40" spans="1:12" x14ac:dyDescent="0.25">
      <c r="B40" t="s">
        <v>32</v>
      </c>
      <c r="C40" s="16">
        <f>ASSUMPTIONS!C10</f>
        <v>19</v>
      </c>
      <c r="F40" s="28" t="s">
        <v>27</v>
      </c>
      <c r="G40" s="28" t="s">
        <v>41</v>
      </c>
      <c r="H40" s="28" t="s">
        <v>42</v>
      </c>
      <c r="I40" s="28" t="s">
        <v>43</v>
      </c>
      <c r="J40" s="28" t="s">
        <v>62</v>
      </c>
      <c r="K40" s="28" t="s">
        <v>63</v>
      </c>
      <c r="L40" s="28" t="s">
        <v>64</v>
      </c>
    </row>
    <row r="41" spans="1:12" x14ac:dyDescent="0.25">
      <c r="B41" s="19" t="str">
        <f>"Seed (2 bu. oats @ $"&amp;ROUND(ASSUMPTIONS!C41,2)&amp;"/bu)"</f>
        <v>Seed (2 bu. oats @ $10.5/bu)</v>
      </c>
      <c r="C41" s="15">
        <f>2*ASSUMPTIONS!C41</f>
        <v>21</v>
      </c>
      <c r="F41" t="s">
        <v>30</v>
      </c>
      <c r="G41" s="16">
        <f>G29*ASSUMPTIONS!$C$48</f>
        <v>-12.600000000000003</v>
      </c>
      <c r="H41" s="16">
        <f>H29*ASSUMPTIONS!$C$48</f>
        <v>16.8</v>
      </c>
      <c r="I41" s="16">
        <f>I29*ASSUMPTIONS!$C$48</f>
        <v>6.3000000000000016</v>
      </c>
      <c r="J41" s="16">
        <f t="shared" ref="J41:J47" si="4">SUM(G41:I41)</f>
        <v>10.5</v>
      </c>
      <c r="K41" s="16">
        <f>C6</f>
        <v>19</v>
      </c>
      <c r="L41" s="16">
        <f>J41-K41</f>
        <v>-8.5</v>
      </c>
    </row>
    <row r="42" spans="1:12" x14ac:dyDescent="0.25">
      <c r="B42" t="s">
        <v>68</v>
      </c>
      <c r="C42" s="16">
        <f>ASSUMPTIONS!C6</f>
        <v>30</v>
      </c>
      <c r="F42" t="s">
        <v>13</v>
      </c>
      <c r="G42" s="16">
        <f>G30*ASSUMPTIONS!$C$48</f>
        <v>5.8800000000000017</v>
      </c>
      <c r="H42" s="16"/>
      <c r="I42" s="16"/>
      <c r="J42" s="16">
        <f t="shared" si="4"/>
        <v>5.8800000000000017</v>
      </c>
      <c r="K42" s="16">
        <f>C9</f>
        <v>100</v>
      </c>
      <c r="L42" s="16">
        <f t="shared" ref="L42:L47" si="5">J42-K42</f>
        <v>-94.12</v>
      </c>
    </row>
    <row r="43" spans="1:12" x14ac:dyDescent="0.25">
      <c r="B43" t="s">
        <v>87</v>
      </c>
      <c r="C43" s="15">
        <f>ASSUMPTIONS!C20+ASSUMPTIONS!C7*2</f>
        <v>42</v>
      </c>
      <c r="F43" t="s">
        <v>14</v>
      </c>
      <c r="G43" s="16">
        <f>G31*ASSUMPTIONS!$C$48</f>
        <v>67.2</v>
      </c>
      <c r="H43" s="16">
        <f>H31*ASSUMPTIONS!$C$48</f>
        <v>33.6</v>
      </c>
      <c r="I43" s="16">
        <f>I31*ASSUMPTIONS!$C$48</f>
        <v>12.600000000000001</v>
      </c>
      <c r="J43" s="16">
        <f>SUM(G43:I43)</f>
        <v>113.4</v>
      </c>
      <c r="K43" s="16">
        <f>C15</f>
        <v>78.599999999999994</v>
      </c>
      <c r="L43" s="16">
        <f>J43-K43</f>
        <v>34.800000000000011</v>
      </c>
    </row>
    <row r="44" spans="1:12" x14ac:dyDescent="0.25">
      <c r="A44" s="21" t="s">
        <v>72</v>
      </c>
      <c r="F44" t="s">
        <v>36</v>
      </c>
      <c r="G44" s="16">
        <f>G32*ASSUMPTIONS!$C$48</f>
        <v>67.2</v>
      </c>
      <c r="H44" s="16">
        <f>H32*ASSUMPTIONS!$C$48</f>
        <v>33.6</v>
      </c>
      <c r="I44" s="16">
        <f>I32*ASSUMPTIONS!$C$48</f>
        <v>12.600000000000001</v>
      </c>
      <c r="J44" s="16">
        <f>SUM(G44:I44)</f>
        <v>113.4</v>
      </c>
      <c r="K44" s="16">
        <f>C21</f>
        <v>93.6</v>
      </c>
      <c r="L44" s="16">
        <f>J44-K44</f>
        <v>19.800000000000011</v>
      </c>
    </row>
    <row r="45" spans="1:12" x14ac:dyDescent="0.25">
      <c r="B45" t="str">
        <f>"Spring glyphosphate burnoff (1L @ $"&amp;ROUND(ASSUMPTIONS!C27,2)&amp;"/L)"</f>
        <v>Spring glyphosphate burnoff (1L @ $7.7/L)</v>
      </c>
      <c r="C45" s="15">
        <f>1*ASSUMPTIONS!C27</f>
        <v>7.7</v>
      </c>
      <c r="F45" t="s">
        <v>33</v>
      </c>
      <c r="G45" s="16">
        <f>G33*ASSUMPTIONS!$C$47</f>
        <v>38.4</v>
      </c>
      <c r="H45" s="16">
        <f>H33*ASSUMPTIONS!$C$47</f>
        <v>43.2</v>
      </c>
      <c r="I45" s="16">
        <f>I33*ASSUMPTIONS!$C$47</f>
        <v>43.2</v>
      </c>
      <c r="J45" s="16">
        <f>SUM(G45:I45)</f>
        <v>124.8</v>
      </c>
      <c r="K45" s="16">
        <f>C28</f>
        <v>74.7</v>
      </c>
      <c r="L45" s="16">
        <f>J45-K45</f>
        <v>50.099999999999994</v>
      </c>
    </row>
    <row r="46" spans="1:12" x14ac:dyDescent="0.25">
      <c r="B46" s="19" t="str">
        <f>"Seed (4 lb. crested wheatgrass @ $"&amp;ASSUMPTIONS!$C$34&amp;"/lb)"</f>
        <v>Seed (4 lb. crested wheatgrass @ $6.5/lb)</v>
      </c>
      <c r="C46" s="15">
        <f>4*ASSUMPTIONS!C34</f>
        <v>26</v>
      </c>
      <c r="F46" t="s">
        <v>35</v>
      </c>
      <c r="G46" s="3" t="s">
        <v>15</v>
      </c>
      <c r="H46" s="3" t="s">
        <v>15</v>
      </c>
      <c r="I46" s="3" t="s">
        <v>15</v>
      </c>
      <c r="J46" s="16"/>
      <c r="K46" s="16">
        <f>C34</f>
        <v>35</v>
      </c>
      <c r="L46" s="40" t="s">
        <v>88</v>
      </c>
    </row>
    <row r="47" spans="1:12" x14ac:dyDescent="0.25">
      <c r="B47" s="19" t="str">
        <f>"Seed (1 lb. alfalfa @ $"&amp;ASSUMPTIONS!$C$36&amp;"/lb)"</f>
        <v>Seed (1 lb. alfalfa @ $6/lb)</v>
      </c>
      <c r="C47" s="15">
        <f>1*ASSUMPTIONS!C36</f>
        <v>6</v>
      </c>
      <c r="F47" s="12" t="s">
        <v>37</v>
      </c>
      <c r="G47" s="29">
        <f>G35*ASSUMPTIONS!$C$46</f>
        <v>105.00000000000001</v>
      </c>
      <c r="H47" s="29">
        <f>H35*ASSUMPTIONS!$C$47</f>
        <v>48</v>
      </c>
      <c r="I47" s="29">
        <f>I35*ASSUMPTIONS!$C$47</f>
        <v>48</v>
      </c>
      <c r="J47" s="29">
        <f t="shared" si="4"/>
        <v>201</v>
      </c>
      <c r="K47" s="29">
        <f>C50</f>
        <v>217.7</v>
      </c>
      <c r="L47" s="29">
        <f t="shared" si="5"/>
        <v>-16.699999999999989</v>
      </c>
    </row>
    <row r="48" spans="1:12" x14ac:dyDescent="0.25">
      <c r="B48" t="s">
        <v>68</v>
      </c>
      <c r="C48" s="16">
        <f>ASSUMPTIONS!C6</f>
        <v>30</v>
      </c>
    </row>
    <row r="49" spans="1:3" x14ac:dyDescent="0.25">
      <c r="B49" t="s">
        <v>74</v>
      </c>
      <c r="C49" s="16">
        <f>ASSUMPTIONS!C18</f>
        <v>6</v>
      </c>
    </row>
    <row r="50" spans="1:3" x14ac:dyDescent="0.25">
      <c r="A50" s="4" t="s">
        <v>40</v>
      </c>
      <c r="C50" s="23">
        <f>SUM(C38:C49)</f>
        <v>217.7</v>
      </c>
    </row>
  </sheetData>
  <sheetProtection sheet="1" objects="1" scenarios="1"/>
  <mergeCells count="5">
    <mergeCell ref="F14:I14"/>
    <mergeCell ref="F4:G4"/>
    <mergeCell ref="I4:K4"/>
    <mergeCell ref="F25:I25"/>
    <mergeCell ref="F39:L39"/>
  </mergeCells>
  <pageMargins left="0.7" right="0.7" top="0.75" bottom="0.75" header="0.3" footer="0.3"/>
  <ignoredErrors>
    <ignoredError sqref="G16:I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A4D96-6F60-4AF0-A127-ECCDF6C8A810}">
  <sheetPr codeName="Sheet19">
    <tabColor rgb="FFFF0000"/>
  </sheetPr>
  <dimension ref="A1:AC48"/>
  <sheetViews>
    <sheetView showGridLines="0" workbookViewId="0"/>
  </sheetViews>
  <sheetFormatPr defaultRowHeight="15" x14ac:dyDescent="0.25"/>
  <cols>
    <col min="1" max="1" width="20.140625" customWidth="1"/>
    <col min="5" max="5" width="70.5703125" customWidth="1"/>
    <col min="6" max="6" width="15.5703125" customWidth="1"/>
    <col min="7" max="29" width="9.140625" style="89"/>
  </cols>
  <sheetData>
    <row r="1" spans="1:7" ht="18.75" x14ac:dyDescent="0.3">
      <c r="A1" s="43" t="s">
        <v>89</v>
      </c>
    </row>
    <row r="2" spans="1:7" ht="18.75" x14ac:dyDescent="0.3">
      <c r="C2" s="135" t="s">
        <v>34</v>
      </c>
      <c r="G2" s="92"/>
    </row>
    <row r="3" spans="1:7" x14ac:dyDescent="0.25">
      <c r="A3" s="4" t="s">
        <v>90</v>
      </c>
      <c r="C3" s="125" t="s">
        <v>91</v>
      </c>
      <c r="D3" s="4" t="s">
        <v>92</v>
      </c>
      <c r="E3" s="4" t="s">
        <v>93</v>
      </c>
      <c r="F3" s="4" t="s">
        <v>94</v>
      </c>
    </row>
    <row r="4" spans="1:7" x14ac:dyDescent="0.25">
      <c r="A4" t="s">
        <v>95</v>
      </c>
      <c r="C4" s="126">
        <v>36.5</v>
      </c>
      <c r="D4" t="s">
        <v>96</v>
      </c>
      <c r="E4" t="s">
        <v>97</v>
      </c>
      <c r="F4" s="92" t="s">
        <v>98</v>
      </c>
    </row>
    <row r="5" spans="1:7" x14ac:dyDescent="0.25">
      <c r="A5" t="s">
        <v>99</v>
      </c>
      <c r="C5" s="126">
        <v>35</v>
      </c>
      <c r="D5" t="s">
        <v>96</v>
      </c>
      <c r="E5" t="s">
        <v>100</v>
      </c>
      <c r="F5" s="92" t="s">
        <v>101</v>
      </c>
    </row>
    <row r="6" spans="1:7" x14ac:dyDescent="0.25">
      <c r="A6" t="s">
        <v>102</v>
      </c>
      <c r="C6" s="126">
        <v>30</v>
      </c>
      <c r="D6" t="s">
        <v>96</v>
      </c>
      <c r="E6" t="s">
        <v>103</v>
      </c>
      <c r="F6" s="92" t="s">
        <v>101</v>
      </c>
    </row>
    <row r="7" spans="1:7" x14ac:dyDescent="0.25">
      <c r="A7" t="s">
        <v>104</v>
      </c>
      <c r="C7" s="126">
        <v>14</v>
      </c>
      <c r="D7" t="s">
        <v>105</v>
      </c>
      <c r="E7" s="127" t="s">
        <v>106</v>
      </c>
      <c r="F7" s="92" t="s">
        <v>101</v>
      </c>
    </row>
    <row r="8" spans="1:7" x14ac:dyDescent="0.25">
      <c r="A8" t="s">
        <v>107</v>
      </c>
      <c r="C8" s="126">
        <v>15</v>
      </c>
      <c r="D8" t="s">
        <v>96</v>
      </c>
      <c r="E8" t="s">
        <v>108</v>
      </c>
      <c r="F8" s="92" t="s">
        <v>109</v>
      </c>
      <c r="G8" s="91" t="s">
        <v>110</v>
      </c>
    </row>
    <row r="9" spans="1:7" x14ac:dyDescent="0.25">
      <c r="A9" t="s">
        <v>111</v>
      </c>
      <c r="C9" s="126">
        <v>210</v>
      </c>
      <c r="D9" t="s">
        <v>112</v>
      </c>
      <c r="E9" t="s">
        <v>113</v>
      </c>
      <c r="F9" s="92" t="s">
        <v>101</v>
      </c>
    </row>
    <row r="10" spans="1:7" x14ac:dyDescent="0.25">
      <c r="A10" t="s">
        <v>114</v>
      </c>
      <c r="C10" s="126">
        <v>19</v>
      </c>
      <c r="D10" t="s">
        <v>96</v>
      </c>
      <c r="E10" t="s">
        <v>115</v>
      </c>
      <c r="F10" s="92" t="s">
        <v>101</v>
      </c>
    </row>
    <row r="11" spans="1:7" x14ac:dyDescent="0.25">
      <c r="A11" t="s">
        <v>116</v>
      </c>
      <c r="C11" s="126">
        <v>8</v>
      </c>
      <c r="D11" t="s">
        <v>96</v>
      </c>
      <c r="E11" t="s">
        <v>117</v>
      </c>
      <c r="F11" s="92" t="s">
        <v>101</v>
      </c>
    </row>
    <row r="12" spans="1:7" x14ac:dyDescent="0.25">
      <c r="A12" t="s">
        <v>118</v>
      </c>
      <c r="C12" s="126">
        <v>15</v>
      </c>
      <c r="D12" t="s">
        <v>96</v>
      </c>
      <c r="E12" s="127" t="s">
        <v>119</v>
      </c>
      <c r="F12" s="92" t="s">
        <v>120</v>
      </c>
      <c r="G12" s="92"/>
    </row>
    <row r="13" spans="1:7" x14ac:dyDescent="0.25">
      <c r="A13" t="s">
        <v>121</v>
      </c>
      <c r="C13" s="126">
        <v>9</v>
      </c>
      <c r="D13" t="s">
        <v>96</v>
      </c>
      <c r="E13" t="s">
        <v>122</v>
      </c>
      <c r="F13" s="92" t="s">
        <v>101</v>
      </c>
      <c r="G13" s="89" t="s">
        <v>123</v>
      </c>
    </row>
    <row r="14" spans="1:7" x14ac:dyDescent="0.25">
      <c r="A14" t="s">
        <v>124</v>
      </c>
      <c r="C14" s="126">
        <v>15</v>
      </c>
      <c r="D14" t="s">
        <v>96</v>
      </c>
      <c r="E14" s="128" t="s">
        <v>125</v>
      </c>
      <c r="F14" s="92" t="s">
        <v>101</v>
      </c>
    </row>
    <row r="15" spans="1:7" x14ac:dyDescent="0.25">
      <c r="A15" t="s">
        <v>126</v>
      </c>
      <c r="C15" s="126">
        <v>27</v>
      </c>
      <c r="D15" t="s">
        <v>96</v>
      </c>
      <c r="E15" s="128" t="s">
        <v>127</v>
      </c>
      <c r="F15" s="92" t="s">
        <v>101</v>
      </c>
    </row>
    <row r="16" spans="1:7" x14ac:dyDescent="0.25">
      <c r="A16" t="s">
        <v>128</v>
      </c>
      <c r="C16" s="126">
        <v>100</v>
      </c>
      <c r="D16" t="s">
        <v>129</v>
      </c>
      <c r="E16" t="s">
        <v>130</v>
      </c>
    </row>
    <row r="17" spans="1:13" x14ac:dyDescent="0.25">
      <c r="A17" t="s">
        <v>131</v>
      </c>
      <c r="C17" s="129">
        <v>5</v>
      </c>
      <c r="D17" t="s">
        <v>132</v>
      </c>
      <c r="E17" t="s">
        <v>133</v>
      </c>
    </row>
    <row r="18" spans="1:13" x14ac:dyDescent="0.25">
      <c r="A18" t="s">
        <v>134</v>
      </c>
      <c r="C18" s="126">
        <v>6</v>
      </c>
      <c r="D18" t="s">
        <v>96</v>
      </c>
      <c r="E18" s="128" t="s">
        <v>135</v>
      </c>
      <c r="F18" s="92" t="s">
        <v>101</v>
      </c>
    </row>
    <row r="19" spans="1:13" x14ac:dyDescent="0.25">
      <c r="A19" t="s">
        <v>136</v>
      </c>
      <c r="C19" s="126">
        <v>25</v>
      </c>
      <c r="D19" t="s">
        <v>96</v>
      </c>
    </row>
    <row r="20" spans="1:13" x14ac:dyDescent="0.25">
      <c r="A20" t="s">
        <v>137</v>
      </c>
      <c r="C20" s="126">
        <v>14</v>
      </c>
      <c r="D20" t="s">
        <v>96</v>
      </c>
      <c r="E20" t="s">
        <v>138</v>
      </c>
      <c r="F20" s="92" t="s">
        <v>101</v>
      </c>
    </row>
    <row r="21" spans="1:13" x14ac:dyDescent="0.25">
      <c r="A21" t="s">
        <v>139</v>
      </c>
      <c r="C21" s="126">
        <v>28</v>
      </c>
      <c r="D21" t="s">
        <v>96</v>
      </c>
      <c r="E21" t="s">
        <v>140</v>
      </c>
      <c r="F21" s="92" t="s">
        <v>101</v>
      </c>
    </row>
    <row r="23" spans="1:13" x14ac:dyDescent="0.25">
      <c r="A23" s="130" t="s">
        <v>141</v>
      </c>
      <c r="F23" s="131" t="s">
        <v>142</v>
      </c>
    </row>
    <row r="24" spans="1:13" x14ac:dyDescent="0.25">
      <c r="A24" s="130" t="s">
        <v>143</v>
      </c>
      <c r="F24" s="131" t="s">
        <v>144</v>
      </c>
    </row>
    <row r="25" spans="1:13" x14ac:dyDescent="0.25">
      <c r="A25" s="92"/>
    </row>
    <row r="26" spans="1:13" x14ac:dyDescent="0.25">
      <c r="A26" s="4" t="s">
        <v>145</v>
      </c>
      <c r="C26" s="4" t="s">
        <v>146</v>
      </c>
      <c r="D26" s="4" t="s">
        <v>92</v>
      </c>
      <c r="E26" s="4" t="s">
        <v>94</v>
      </c>
    </row>
    <row r="27" spans="1:13" x14ac:dyDescent="0.25">
      <c r="A27" t="s">
        <v>147</v>
      </c>
      <c r="C27" s="132">
        <v>7.7</v>
      </c>
      <c r="D27" t="s">
        <v>148</v>
      </c>
      <c r="E27" s="92" t="s">
        <v>149</v>
      </c>
    </row>
    <row r="28" spans="1:13" x14ac:dyDescent="0.25">
      <c r="A28" t="s">
        <v>150</v>
      </c>
      <c r="C28" s="132">
        <f>600/1361</f>
        <v>0.44085231447465101</v>
      </c>
      <c r="D28" t="s">
        <v>151</v>
      </c>
      <c r="E28" t="s">
        <v>152</v>
      </c>
    </row>
    <row r="29" spans="1:13" x14ac:dyDescent="0.25">
      <c r="A29" t="s">
        <v>153</v>
      </c>
      <c r="C29" s="132">
        <v>0.82</v>
      </c>
      <c r="D29" t="s">
        <v>154</v>
      </c>
      <c r="E29" t="s">
        <v>155</v>
      </c>
      <c r="G29" s="90">
        <f>L29/2205/0.46</f>
        <v>0.74623268216879579</v>
      </c>
      <c r="H29" s="89" t="s">
        <v>156</v>
      </c>
      <c r="L29" s="90">
        <f>AVERAGE(866.88,858.37,932.65,849.58,894.05,867.94,797/28,757.1,757.1)</f>
        <v>756.90380952380951</v>
      </c>
      <c r="M29" s="89" t="s">
        <v>157</v>
      </c>
    </row>
    <row r="30" spans="1:13" x14ac:dyDescent="0.25">
      <c r="A30" t="s">
        <v>158</v>
      </c>
      <c r="C30" s="132">
        <v>0.96</v>
      </c>
      <c r="D30" t="s">
        <v>154</v>
      </c>
      <c r="E30" t="s">
        <v>155</v>
      </c>
      <c r="G30" s="90">
        <f>1245/2205/0.52</f>
        <v>1.0858189429617999</v>
      </c>
      <c r="H30" s="89" t="s">
        <v>159</v>
      </c>
      <c r="L30" s="89" t="s">
        <v>160</v>
      </c>
    </row>
    <row r="31" spans="1:13" x14ac:dyDescent="0.25">
      <c r="A31" t="s">
        <v>161</v>
      </c>
      <c r="C31" s="132">
        <v>0.55000000000000004</v>
      </c>
      <c r="D31" t="s">
        <v>154</v>
      </c>
      <c r="E31" t="s">
        <v>155</v>
      </c>
    </row>
    <row r="32" spans="1:13" x14ac:dyDescent="0.25">
      <c r="C32" s="13"/>
    </row>
    <row r="33" spans="1:5" x14ac:dyDescent="0.25">
      <c r="A33" s="4" t="s">
        <v>162</v>
      </c>
      <c r="C33" s="4" t="s">
        <v>146</v>
      </c>
      <c r="D33" s="4" t="s">
        <v>92</v>
      </c>
      <c r="E33" s="4" t="s">
        <v>94</v>
      </c>
    </row>
    <row r="34" spans="1:5" x14ac:dyDescent="0.25">
      <c r="A34" t="s">
        <v>163</v>
      </c>
      <c r="C34" s="132">
        <v>6.5</v>
      </c>
      <c r="D34" t="s">
        <v>154</v>
      </c>
      <c r="E34" t="s">
        <v>164</v>
      </c>
    </row>
    <row r="35" spans="1:5" x14ac:dyDescent="0.25">
      <c r="A35" t="s">
        <v>165</v>
      </c>
      <c r="C35" s="132">
        <v>6.7</v>
      </c>
      <c r="D35" t="s">
        <v>154</v>
      </c>
      <c r="E35" t="s">
        <v>166</v>
      </c>
    </row>
    <row r="36" spans="1:5" x14ac:dyDescent="0.25">
      <c r="A36" t="s">
        <v>167</v>
      </c>
      <c r="C36" s="132">
        <v>6</v>
      </c>
      <c r="D36" t="s">
        <v>154</v>
      </c>
      <c r="E36" t="s">
        <v>168</v>
      </c>
    </row>
    <row r="37" spans="1:5" x14ac:dyDescent="0.25">
      <c r="A37" t="s">
        <v>169</v>
      </c>
      <c r="C37" s="132">
        <v>6</v>
      </c>
      <c r="D37" t="s">
        <v>154</v>
      </c>
      <c r="E37" t="s">
        <v>170</v>
      </c>
    </row>
    <row r="38" spans="1:5" x14ac:dyDescent="0.25">
      <c r="A38" t="s">
        <v>171</v>
      </c>
      <c r="C38" s="132">
        <v>7.5</v>
      </c>
      <c r="D38" t="s">
        <v>154</v>
      </c>
      <c r="E38" t="s">
        <v>172</v>
      </c>
    </row>
    <row r="39" spans="1:5" x14ac:dyDescent="0.25">
      <c r="A39" t="s">
        <v>173</v>
      </c>
      <c r="C39" s="132">
        <v>4.5</v>
      </c>
      <c r="D39" t="s">
        <v>154</v>
      </c>
      <c r="E39" t="s">
        <v>174</v>
      </c>
    </row>
    <row r="40" spans="1:5" x14ac:dyDescent="0.25">
      <c r="A40" t="s">
        <v>175</v>
      </c>
      <c r="C40" s="132">
        <v>6.2</v>
      </c>
      <c r="D40" t="s">
        <v>154</v>
      </c>
      <c r="E40" t="s">
        <v>176</v>
      </c>
    </row>
    <row r="41" spans="1:5" x14ac:dyDescent="0.25">
      <c r="A41" t="s">
        <v>177</v>
      </c>
      <c r="C41" s="132">
        <f>AVERAGE(12.5,8.5)</f>
        <v>10.5</v>
      </c>
      <c r="D41" t="s">
        <v>178</v>
      </c>
      <c r="E41" t="str">
        <f>"~$"&amp;ROUND(C41/34,2)&amp;" /lb; $8.50-12.50/bu"</f>
        <v>~$0.31 /lb; $8.50-12.50/bu</v>
      </c>
    </row>
    <row r="42" spans="1:5" x14ac:dyDescent="0.25">
      <c r="A42" t="s">
        <v>179</v>
      </c>
      <c r="C42" s="132">
        <v>4</v>
      </c>
      <c r="D42" t="s">
        <v>154</v>
      </c>
      <c r="E42" t="s">
        <v>180</v>
      </c>
    </row>
    <row r="43" spans="1:5" x14ac:dyDescent="0.25">
      <c r="C43" s="133"/>
    </row>
    <row r="44" spans="1:5" x14ac:dyDescent="0.25">
      <c r="A44" s="4" t="s">
        <v>181</v>
      </c>
      <c r="C44" s="133"/>
      <c r="E44" s="27" t="s">
        <v>182</v>
      </c>
    </row>
    <row r="45" spans="1:5" x14ac:dyDescent="0.25">
      <c r="A45" t="s">
        <v>183</v>
      </c>
      <c r="C45" s="132">
        <v>0.04</v>
      </c>
      <c r="D45" t="s">
        <v>154</v>
      </c>
      <c r="E45" t="s">
        <v>184</v>
      </c>
    </row>
    <row r="46" spans="1:5" x14ac:dyDescent="0.25">
      <c r="A46" t="s">
        <v>185</v>
      </c>
      <c r="C46" s="134">
        <v>7.0000000000000007E-2</v>
      </c>
      <c r="D46" t="s">
        <v>154</v>
      </c>
      <c r="E46" t="s">
        <v>186</v>
      </c>
    </row>
    <row r="47" spans="1:5" x14ac:dyDescent="0.25">
      <c r="A47" t="s">
        <v>187</v>
      </c>
      <c r="C47" s="134">
        <v>0.08</v>
      </c>
      <c r="D47" t="s">
        <v>154</v>
      </c>
      <c r="E47" t="s">
        <v>188</v>
      </c>
    </row>
    <row r="48" spans="1:5" x14ac:dyDescent="0.25">
      <c r="A48" t="s">
        <v>189</v>
      </c>
      <c r="C48" s="132">
        <v>7.0000000000000007E-2</v>
      </c>
      <c r="D48" t="s">
        <v>154</v>
      </c>
      <c r="E48" t="s">
        <v>190</v>
      </c>
    </row>
  </sheetData>
  <sheetProtection sheet="1" objects="1" scenarios="1"/>
  <sortState xmlns:xlrd2="http://schemas.microsoft.com/office/spreadsheetml/2017/richdata2" ref="A4:G22">
    <sortCondition ref="A4:A22"/>
  </sortState>
  <phoneticPr fontId="23" type="noConversion"/>
  <hyperlinks>
    <hyperlink ref="G8" r:id="rId1" xr:uid="{67BE3C27-115C-48BF-82BD-C1017556DB7B}"/>
    <hyperlink ref="F23" r:id="rId2" location="/products/76527" xr:uid="{A1895DFA-9461-4882-942B-CEA45D36A8C5}"/>
    <hyperlink ref="F4" r:id="rId3" xr:uid="{D30591E8-C242-4F6F-8E53-C078C98F6FBE}"/>
    <hyperlink ref="F8" r:id="rId4" xr:uid="{7FBACE71-4C93-421E-9E68-0EE796C8838C}"/>
    <hyperlink ref="F5" r:id="rId5" location="/products/76527" xr:uid="{31774CD3-8343-48EA-B6FC-1D4A50A0D369}"/>
    <hyperlink ref="F6" r:id="rId6" location="/products/76527" xr:uid="{EDA1B986-E67C-4035-9FF6-2B66CC1E28A9}"/>
    <hyperlink ref="F7" r:id="rId7" location="/products/76527" xr:uid="{149259EC-9683-443C-8244-E93A142063C2}"/>
    <hyperlink ref="F9" r:id="rId8" location="/products/76527" xr:uid="{6E363E5A-5F12-476A-8FBB-7A304A966B2F}"/>
    <hyperlink ref="F10" r:id="rId9" location="/products/76527" xr:uid="{06BBD81D-49D5-4BE2-9C13-0EB57A5832CD}"/>
    <hyperlink ref="F11" r:id="rId10" location="/products/76527" xr:uid="{367AD06A-8410-4EA5-9AE7-980BA5CBEDF0}"/>
    <hyperlink ref="F24" r:id="rId11" xr:uid="{3BBC1095-2553-438C-9494-A0D28FEA4337}"/>
    <hyperlink ref="F20" r:id="rId12" location="/products/76527" xr:uid="{EAA753D5-6276-4DE0-BF34-912BBF25E72B}"/>
    <hyperlink ref="F12" r:id="rId13" xr:uid="{3C376110-6D5B-472F-92DF-FDAA438E6625}"/>
    <hyperlink ref="F18" r:id="rId14" location="/products/76527" xr:uid="{EBFDA6D8-62B1-4D88-A6A9-EA4DC7BF0A1D}"/>
    <hyperlink ref="F21" r:id="rId15" location="/products/76527" xr:uid="{5F04613D-E414-487D-8D0F-2BA97FA24C10}"/>
    <hyperlink ref="F13" r:id="rId16" location="/products/76527" xr:uid="{EA558119-7378-4AF5-96A6-38B062A7BBE8}"/>
    <hyperlink ref="F14" r:id="rId17" location="/products/76527" xr:uid="{1FA87C9D-FC8C-405C-B29C-0A0A71C30902}"/>
    <hyperlink ref="F15" r:id="rId18" location="/products/76527" xr:uid="{41E2EFB0-9063-473F-B7D8-C4EDB7007561}"/>
    <hyperlink ref="E27" r:id="rId19" xr:uid="{D958747D-9F61-42C0-BFA0-8122F2CF0827}"/>
  </hyperlinks>
  <pageMargins left="0.7" right="0.7" top="0.75" bottom="0.75" header="0.3" footer="0.3"/>
  <ignoredErrors>
    <ignoredError sqref="C2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8AFCC-09ED-44EF-86D3-6F88AE355029}">
  <sheetPr codeName="Sheet11">
    <tabColor theme="7" tint="-0.249977111117893"/>
  </sheetPr>
  <dimension ref="A1:R5"/>
  <sheetViews>
    <sheetView workbookViewId="0">
      <selection activeCell="F45" sqref="F45"/>
    </sheetView>
  </sheetViews>
  <sheetFormatPr defaultColWidth="8.85546875" defaultRowHeight="15" x14ac:dyDescent="0.25"/>
  <cols>
    <col min="13" max="13" width="9.7109375" customWidth="1"/>
  </cols>
  <sheetData>
    <row r="1" spans="1:18" x14ac:dyDescent="0.25">
      <c r="A1" t="s">
        <v>191</v>
      </c>
      <c r="D1" t="s">
        <v>192</v>
      </c>
    </row>
    <row r="2" spans="1:18" x14ac:dyDescent="0.25">
      <c r="A2" t="s">
        <v>193</v>
      </c>
      <c r="M2" s="9" t="s">
        <v>194</v>
      </c>
    </row>
    <row r="3" spans="1:18" x14ac:dyDescent="0.25">
      <c r="O3" t="s">
        <v>195</v>
      </c>
      <c r="P3" s="4" t="s">
        <v>196</v>
      </c>
      <c r="Q3" s="4" t="s">
        <v>154</v>
      </c>
      <c r="R3" s="4" t="s">
        <v>94</v>
      </c>
    </row>
    <row r="4" spans="1:18" x14ac:dyDescent="0.25">
      <c r="M4" t="s">
        <v>197</v>
      </c>
      <c r="P4">
        <f>339/25</f>
        <v>13.56</v>
      </c>
      <c r="Q4" s="6">
        <f>P4/2.2</f>
        <v>6.1636363636363631</v>
      </c>
      <c r="R4" t="s">
        <v>198</v>
      </c>
    </row>
    <row r="5" spans="1:18" x14ac:dyDescent="0.25">
      <c r="M5" t="s">
        <v>199</v>
      </c>
      <c r="O5">
        <v>12.5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Schedule xmlns="4ffa5cc3-dbec-41fd-8b51-e0efaec92e6d" xsi:nil="true"/>
    <Comments xmlns="4ffa5cc3-dbec-41fd-8b51-e0efaec92e6d" xsi:nil="true"/>
    <URL xmlns="4ffa5cc3-dbec-41fd-8b51-e0efaec92e6d">
      <Url xsi:nil="true"/>
      <Description xsi:nil="true"/>
    </URL>
    <Reference xmlns="4ffa5cc3-dbec-41fd-8b51-e0efaec92e6d" xsi:nil="true"/>
    <ARMS_x002f_ORS_x0020_Code xmlns="4ffa5cc3-dbec-41fd-8b51-e0efaec92e6d" xsi:nil="true"/>
    <TaxCatchAll xmlns="8c52311c-9f19-4de0-9814-e2ce7be565cd" xsi:nil="true"/>
    <IconOverlay xmlns="http://schemas.microsoft.com/sharepoint/v4" xsi:nil="true"/>
    <TextComments xmlns="4ffa5cc3-dbec-41fd-8b51-e0efaec92e6d" xsi:nil="true"/>
    <Disposal xmlns="4ffa5cc3-dbec-41fd-8b51-e0efaec92e6d" xsi:nil="true"/>
    <Classification xmlns="4ffa5cc3-dbec-41fd-8b51-e0efaec92e6d" xsi:nil="true"/>
    <Record_x0020_Status xmlns="4ffa5cc3-dbec-41fd-8b51-e0efaec92e6d" xsi:nil="true"/>
    <lcf76f155ced4ddcb4097134ff3c332f xmlns="4ffa5cc3-dbec-41fd-8b51-e0efaec92e6d">
      <Terms xmlns="http://schemas.microsoft.com/office/infopath/2007/PartnerControls"/>
    </lcf76f155ced4ddcb4097134ff3c332f>
    <_dlc_DocId xmlns="8c52311c-9f19-4de0-9814-e2ce7be565cd">DOCID-1733808635-40229</_dlc_DocId>
    <_dlc_DocIdUrl xmlns="8c52311c-9f19-4de0-9814-e2ce7be565cd">
      <Url>https://skgov.sharepoint.com/sites/AGComms/_layouts/15/DocIdRedir.aspx?ID=DOCID-1733808635-40229</Url>
      <Description>DOCID-1733808635-40229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E79B5C7CD7BB4D99A2CD3C5BF25CC0" ma:contentTypeVersion="44" ma:contentTypeDescription="Create a new document." ma:contentTypeScope="" ma:versionID="0e8fd9aae50218a2f29a1625cf730a6f">
  <xsd:schema xmlns:xsd="http://www.w3.org/2001/XMLSchema" xmlns:xs="http://www.w3.org/2001/XMLSchema" xmlns:p="http://schemas.microsoft.com/office/2006/metadata/properties" xmlns:ns2="4ffa5cc3-dbec-41fd-8b51-e0efaec92e6d" xmlns:ns3="8c52311c-9f19-4de0-9814-e2ce7be565cd" xmlns:ns4="http://schemas.microsoft.com/sharepoint/v4" targetNamespace="http://schemas.microsoft.com/office/2006/metadata/properties" ma:root="true" ma:fieldsID="9979814a5e640ce1b453dc2d21eb1c5f" ns2:_="" ns3:_="" ns4:_="">
    <xsd:import namespace="4ffa5cc3-dbec-41fd-8b51-e0efaec92e6d"/>
    <xsd:import namespace="8c52311c-9f19-4de0-9814-e2ce7be565cd"/>
    <xsd:import namespace="http://schemas.microsoft.com/sharepoint/v4"/>
    <xsd:element name="properties">
      <xsd:complexType>
        <xsd:sequence>
          <xsd:element name="documentManagement">
            <xsd:complexType>
              <xsd:all>
                <xsd:element ref="ns2:URL" minOccurs="0"/>
                <xsd:element ref="ns2:ARMS_x002f_ORS_x0020_Code" minOccurs="0"/>
                <xsd:element ref="ns2:Classification" minOccurs="0"/>
                <xsd:element ref="ns2:Retention_x0020_Schedule" minOccurs="0"/>
                <xsd:element ref="ns2:Disposal" minOccurs="0"/>
                <xsd:element ref="ns2:Reference" minOccurs="0"/>
                <xsd:element ref="ns2:Record_x0020_Status" minOccurs="0"/>
                <xsd:element ref="ns2:Comments"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4:IconOverlay" minOccurs="0"/>
                <xsd:element ref="ns3:_dlc_DocId" minOccurs="0"/>
                <xsd:element ref="ns3:_dlc_DocIdUrl" minOccurs="0"/>
                <xsd:element ref="ns3:_dlc_DocIdPersistId" minOccurs="0"/>
                <xsd:element ref="ns2:MediaServiceBillingMetadata" minOccurs="0"/>
                <xsd:element ref="ns2:Text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5cc3-dbec-41fd-8b51-e0efaec92e6d"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RMS_x002f_ORS_x0020_Code" ma:index="3" nillable="true" ma:displayName="ARMS/ORS Code" ma:format="Dropdown" ma:internalName="ARMS_x002f_ORS_x0020_Code" ma:readOnly="false">
      <xsd:simpleType>
        <xsd:union memberTypes="dms:Text">
          <xsd:simpleType>
            <xsd:restriction base="dms:Choice">
              <xsd:enumeration value="ARMS"/>
              <xsd:enumeration value="ORS"/>
            </xsd:restriction>
          </xsd:simpleType>
        </xsd:union>
      </xsd:simpleType>
    </xsd:element>
    <xsd:element name="Classification" ma:index="4" nillable="true" ma:displayName="Classification" ma:internalName="Classification" ma:readOnly="false">
      <xsd:simpleType>
        <xsd:restriction base="dms:Text">
          <xsd:maxLength value="255"/>
        </xsd:restriction>
      </xsd:simpleType>
    </xsd:element>
    <xsd:element name="Retention_x0020_Schedule" ma:index="5" nillable="true" ma:displayName="Retention Schedule" ma:internalName="Retention_x0020_Schedule" ma:readOnly="false">
      <xsd:simpleType>
        <xsd:restriction base="dms:Text">
          <xsd:maxLength value="255"/>
        </xsd:restriction>
      </xsd:simpleType>
    </xsd:element>
    <xsd:element name="Disposal" ma:index="6" nillable="true" ma:displayName="Disposal" ma:internalName="Disposal" ma:readOnly="false">
      <xsd:simpleType>
        <xsd:restriction base="dms:Text">
          <xsd:maxLength value="255"/>
        </xsd:restriction>
      </xsd:simpleType>
    </xsd:element>
    <xsd:element name="Reference" ma:index="7" nillable="true" ma:displayName="Reference" ma:internalName="Reference" ma:readOnly="false">
      <xsd:simpleType>
        <xsd:restriction base="dms:Text">
          <xsd:maxLength value="255"/>
        </xsd:restriction>
      </xsd:simpleType>
    </xsd:element>
    <xsd:element name="Record_x0020_Status" ma:index="8" nillable="true" ma:displayName="Record Status" ma:format="Dropdown" ma:internalName="Record_x0020_Status" ma:readOnly="false">
      <xsd:simpleType>
        <xsd:union memberTypes="dms:Text">
          <xsd:simpleType>
            <xsd:restriction base="dms:Choice">
              <xsd:enumeration value="Archived"/>
              <xsd:enumeration value="Disposal Requested"/>
            </xsd:restriction>
          </xsd:simpleType>
        </xsd:union>
      </xsd:simpleType>
    </xsd:element>
    <xsd:element name="Comments" ma:index="9" nillable="true" ma:displayName="Comments" ma:internalName="Comments" ma:readOnly="false">
      <xsd:simpleType>
        <xsd:restriction base="dms:Note">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c8437b8b-ebfc-4eea-bbb0-e3d5afb0f9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element name="TextComments" ma:index="39" nillable="true" ma:displayName="Text Comments" ma:format="Dropdown" ma:internalName="Text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2311c-9f19-4de0-9814-e2ce7be565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d3f3be85-3bdd-4c97-969f-6187f2b8ee00}" ma:internalName="TaxCatchAll" ma:showField="CatchAllData" ma:web="8c52311c-9f19-4de0-9814-e2ce7be565cd">
      <xsd:complexType>
        <xsd:complexContent>
          <xsd:extension base="dms:MultiChoiceLookup">
            <xsd:sequence>
              <xsd:element name="Value" type="dms:Lookup" maxOccurs="unbounded" minOccurs="0" nillable="true"/>
            </xsd:sequence>
          </xsd:extension>
        </xsd:complexContent>
      </xsd:complexType>
    </xsd:element>
    <xsd:element name="_dlc_DocId" ma:index="35" nillable="true" ma:displayName="Document ID Value" ma:description="The value of the document ID assigned to this item." ma:indexed="true" ma:internalName="_dlc_DocId" ma:readOnly="true">
      <xsd:simpleType>
        <xsd:restriction base="dms:Text"/>
      </xsd:simple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9F9840-C273-453C-8570-748823AD48B1}">
  <ds:schemaRefs>
    <ds:schemaRef ds:uri="http://schemas.microsoft.com/sharepoint/v4"/>
    <ds:schemaRef ds:uri="4ffa5cc3-dbec-41fd-8b51-e0efaec92e6d"/>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 ds:uri="8c52311c-9f19-4de0-9814-e2ce7be565cd"/>
    <ds:schemaRef ds:uri="http://schemas.microsoft.com/office/2006/metadata/properties"/>
  </ds:schemaRefs>
</ds:datastoreItem>
</file>

<file path=customXml/itemProps2.xml><?xml version="1.0" encoding="utf-8"?>
<ds:datastoreItem xmlns:ds="http://schemas.openxmlformats.org/officeDocument/2006/customXml" ds:itemID="{1F5F8328-4F6B-43DE-BBB0-FEBBD08A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a5cc3-dbec-41fd-8b51-e0efaec92e6d"/>
    <ds:schemaRef ds:uri="8c52311c-9f19-4de0-9814-e2ce7be565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E5A68E-F370-4CAC-A63F-6658A0E4004F}">
  <ds:schemaRefs>
    <ds:schemaRef ds:uri="http://schemas.microsoft.com/sharepoint/v3/contenttype/forms"/>
  </ds:schemaRefs>
</ds:datastoreItem>
</file>

<file path=customXml/itemProps4.xml><?xml version="1.0" encoding="utf-8"?>
<ds:datastoreItem xmlns:ds="http://schemas.openxmlformats.org/officeDocument/2006/customXml" ds:itemID="{D22256D0-5AB1-48F1-BF47-F78BCCF28E61}">
  <ds:schemaRefs>
    <ds:schemaRef ds:uri="http://schemas.microsoft.com/sharepoint/events"/>
  </ds:schemaRefs>
</ds:datastoreItem>
</file>

<file path=docMetadata/LabelInfo.xml><?xml version="1.0" encoding="utf-8"?>
<clbl:labelList xmlns:clbl="http://schemas.microsoft.com/office/2020/mipLabelMetadata">
  <clbl:label id="{9715e697-1c31-4156-8581-01c5d1e29c65}" enabled="1" method="Standard" siteId="{cf4e8a24-641b-40d2-905e-9a328b644f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SUMMARY</vt:lpstr>
      <vt:lpstr>Parkland</vt:lpstr>
      <vt:lpstr>SW Sask</vt:lpstr>
      <vt:lpstr>ASSUMPTIONS</vt:lpstr>
      <vt:lpstr>Seed Prices</vt:lpstr>
      <vt:lpstr>SUMMARY!Print_Area</vt:lpstr>
    </vt:vector>
  </TitlesOfParts>
  <Manager/>
  <Company>University of Saskatchewan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Larson, Kathy</dc:creator>
  <cp:keywords/>
  <dc:description/>
  <cp:lastModifiedBy>Compton, Brittany AG</cp:lastModifiedBy>
  <cp:revision/>
  <dcterms:created xsi:type="dcterms:W3CDTF">2024-11-24T15:44:06Z</dcterms:created>
  <dcterms:modified xsi:type="dcterms:W3CDTF">2026-06-09T19:45:03Z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0x01010069E79B5C7CD7BB4D99A2CD3C5BF25CC0</vt:lpwstr>
  </property>
  <property fmtid="{D5CDD505-2E9C-101B-9397-08002B2CF9AE}" pid="3" name="_dlc_DocIdItemGuid">
    <vt:lpwstr>6da18946-391f-4fcb-bce4-a12109aa52ab</vt:lpwstr>
  </property>
  <property fmtid="{D5CDD505-2E9C-101B-9397-08002B2CF9AE}" pid="4" name="MediaServiceImageTags">
    <vt:lpwstr/>
  </property>
</Properties>
</file>