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7.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trlProps/ctrlProp8.xml" ContentType="application/vnd.ms-excel.controlproperties+xml"/>
  <Override PartName="/xl/drawings/drawing6.xml" ContentType="application/vnd.openxmlformats-officedocument.drawing+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9.xml" ContentType="application/vnd.openxmlformats-officedocument.drawing+xml"/>
  <Override PartName="/xl/ctrlProps/ctrlProp11.xml" ContentType="application/vnd.ms-excel.controlpropertie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codeName="ThisWorkbook"/>
  <mc:AlternateContent xmlns:mc="http://schemas.openxmlformats.org/markup-compatibility/2006">
    <mc:Choice Requires="x15">
      <x15ac:absPath xmlns:x15ac="http://schemas.microsoft.com/office/spreadsheetml/2010/11/ac" url="C:\BradM\Economics\SHEEP\2026\"/>
    </mc:Choice>
  </mc:AlternateContent>
  <xr:revisionPtr revIDLastSave="0" documentId="8_{97DBD182-BCF8-4474-8F8A-304BB77C6637}" xr6:coauthVersionLast="47" xr6:coauthVersionMax="47" xr10:uidLastSave="{00000000-0000-0000-0000-000000000000}"/>
  <bookViews>
    <workbookView xWindow="25080" yWindow="-120" windowWidth="29040" windowHeight="17520" tabRatio="828" xr2:uid="{00000000-000D-0000-FFFF-FFFF00000000}"/>
  </bookViews>
  <sheets>
    <sheet name="Disclosure" sheetId="12" r:id="rId1"/>
    <sheet name="Intro" sheetId="13" r:id="rId2"/>
    <sheet name="COPCalculation" sheetId="7" r:id="rId3"/>
    <sheet name="Input" sheetId="3" r:id="rId4"/>
    <sheet name="Feed" sheetId="16" r:id="rId5"/>
    <sheet name="Monthly" sheetId="8" r:id="rId6"/>
    <sheet name="Income_Expense" sheetId="4" r:id="rId7"/>
    <sheet name="Sensitivity" sheetId="14" r:id="rId8"/>
    <sheet name="Balance_Sheet" sheetId="10" r:id="rId9"/>
    <sheet name="Investment" sheetId="18" r:id="rId10"/>
    <sheet name="Financing" sheetId="6" r:id="rId11"/>
    <sheet name="Depreciation" sheetId="5" r:id="rId12"/>
  </sheets>
  <definedNames>
    <definedName name="_xlnm.Print_Titles" localSheetId="5">Monthly!$C:$E,Monthly!$8:$8</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in" localSheetId="2" hidden="1">2</definedName>
    <definedName name="solver_neg" localSheetId="2" hidden="1">2</definedName>
    <definedName name="solver_num" localSheetId="2" hidden="1">0</definedName>
    <definedName name="solver_nwt" localSheetId="2" hidden="1">1</definedName>
    <definedName name="solver_opt" localSheetId="2" hidden="1">COPCalculation!$D$186</definedName>
    <definedName name="solver_pre" localSheetId="2" hidden="1">0.000001</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1</definedName>
    <definedName name="solver_val" localSheetId="2"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57" i="7" l="1"/>
  <c r="E157" i="7"/>
  <c r="I107" i="7"/>
  <c r="F107" i="7"/>
  <c r="I96" i="7"/>
  <c r="F96" i="7"/>
  <c r="I103" i="8" l="1"/>
  <c r="J103" i="8" s="1"/>
  <c r="E51" i="3"/>
  <c r="G25" i="3"/>
  <c r="F25" i="3"/>
  <c r="E25" i="3"/>
  <c r="E58" i="3"/>
  <c r="G329" i="3"/>
  <c r="H329" i="3" s="1"/>
  <c r="I329" i="3" s="1"/>
  <c r="F329" i="3"/>
  <c r="I325" i="3"/>
  <c r="G325" i="3"/>
  <c r="H325" i="3" s="1"/>
  <c r="F325" i="3"/>
  <c r="H321" i="3"/>
  <c r="I321" i="3" s="1"/>
  <c r="F321" i="3"/>
  <c r="F66" i="3"/>
  <c r="F16" i="3"/>
  <c r="F21" i="3"/>
  <c r="F331" i="3" l="1"/>
  <c r="G331" i="3" s="1"/>
  <c r="E54" i="16" l="1"/>
  <c r="F54" i="16"/>
  <c r="G54" i="16"/>
  <c r="H54" i="16"/>
  <c r="D54" i="16"/>
  <c r="E32" i="3" l="1"/>
  <c r="E33" i="3" s="1"/>
  <c r="J104" i="8"/>
  <c r="K104" i="8" s="1"/>
  <c r="K105" i="8" s="1"/>
  <c r="O112" i="8"/>
  <c r="N112" i="8"/>
  <c r="M112" i="8"/>
  <c r="L112" i="8"/>
  <c r="K112" i="8"/>
  <c r="O110" i="8"/>
  <c r="N110" i="8"/>
  <c r="M110" i="8"/>
  <c r="L110" i="8"/>
  <c r="K110" i="8"/>
  <c r="L105" i="8" l="1"/>
  <c r="H272" i="3"/>
  <c r="I272" i="3" s="1"/>
  <c r="G272" i="3"/>
  <c r="F272" i="3"/>
  <c r="M274" i="3"/>
  <c r="M276" i="3" s="1"/>
  <c r="M254" i="3"/>
  <c r="M272" i="3"/>
  <c r="M252" i="3"/>
  <c r="M235" i="3"/>
  <c r="M275" i="3" l="1"/>
  <c r="M255" i="3"/>
  <c r="K165" i="3"/>
  <c r="K164" i="3"/>
  <c r="K148" i="3"/>
  <c r="K147" i="3"/>
  <c r="M236" i="3"/>
  <c r="M237" i="3"/>
  <c r="C156" i="3"/>
  <c r="C138" i="3"/>
  <c r="J109" i="8"/>
  <c r="G108" i="8"/>
  <c r="G107" i="8"/>
  <c r="M105" i="8" l="1"/>
  <c r="N105" i="8" s="1"/>
  <c r="M256" i="3"/>
  <c r="H108" i="8"/>
  <c r="I108" i="8" s="1"/>
  <c r="I109" i="8" s="1"/>
  <c r="K109" i="8" s="1"/>
  <c r="P111" i="8"/>
  <c r="J108" i="8" l="1"/>
  <c r="Q111" i="8"/>
  <c r="F111" i="8" s="1"/>
  <c r="G111" i="8" l="1"/>
  <c r="H111" i="8"/>
  <c r="I111" i="8" l="1"/>
  <c r="J111" i="8" s="1"/>
  <c r="I199" i="7" l="1"/>
  <c r="F193" i="7"/>
  <c r="X31" i="14" l="1"/>
  <c r="W32" i="14"/>
  <c r="W31" i="14"/>
  <c r="V32" i="14"/>
  <c r="V31" i="14"/>
  <c r="X61" i="14"/>
  <c r="X60" i="14"/>
  <c r="W61" i="14"/>
  <c r="W60" i="14"/>
  <c r="V61" i="14"/>
  <c r="V60" i="14"/>
  <c r="H16" i="8" l="1"/>
  <c r="J16" i="8"/>
  <c r="K16" i="8"/>
  <c r="O16" i="8"/>
  <c r="Q16" i="8"/>
  <c r="G16" i="8"/>
  <c r="F16" i="8"/>
  <c r="F37" i="3" l="1"/>
  <c r="D6" i="4"/>
  <c r="D60" i="4" s="1"/>
  <c r="E6" i="4"/>
  <c r="E106" i="4" s="1"/>
  <c r="E60" i="4" l="1"/>
  <c r="D106" i="4"/>
  <c r="B76" i="14" l="1"/>
  <c r="B75" i="14" s="1"/>
  <c r="B77" i="14" l="1"/>
  <c r="B78" i="14" s="1"/>
  <c r="B79" i="14" s="1"/>
  <c r="B80" i="14" s="1"/>
  <c r="B81" i="14" s="1"/>
  <c r="B82" i="14" s="1"/>
  <c r="B83" i="14" s="1"/>
  <c r="B84" i="14" s="1"/>
  <c r="B74" i="14"/>
  <c r="B73" i="14" s="1"/>
  <c r="B72" i="14" s="1"/>
  <c r="B71" i="14" s="1"/>
  <c r="B70" i="14" s="1"/>
  <c r="B69" i="14" s="1"/>
  <c r="B68" i="14" s="1"/>
  <c r="B67" i="14" s="1"/>
  <c r="J130" i="8"/>
  <c r="R130" i="8" s="1"/>
  <c r="B19" i="14" l="1"/>
  <c r="B20" i="14" l="1"/>
  <c r="B21" i="14" s="1"/>
  <c r="B22" i="14" s="1"/>
  <c r="B23" i="14" s="1"/>
  <c r="B24" i="14" s="1"/>
  <c r="B25" i="14" s="1"/>
  <c r="B26" i="14" s="1"/>
  <c r="B27" i="14" s="1"/>
  <c r="B28" i="14" s="1"/>
  <c r="B29" i="14" s="1"/>
  <c r="B18" i="14"/>
  <c r="B17" i="14" s="1"/>
  <c r="B16" i="14" s="1"/>
  <c r="B15" i="14" s="1"/>
  <c r="B14" i="14" s="1"/>
  <c r="B13" i="14" s="1"/>
  <c r="B12" i="14" s="1"/>
  <c r="B11" i="14" s="1"/>
  <c r="B10" i="14" s="1"/>
  <c r="B9" i="14" s="1"/>
  <c r="F138" i="4" l="1"/>
  <c r="G138" i="4"/>
  <c r="H138" i="4"/>
  <c r="D151" i="4"/>
  <c r="D150" i="4"/>
  <c r="C151" i="4"/>
  <c r="C148" i="4"/>
  <c r="C147" i="4"/>
  <c r="C105" i="4"/>
  <c r="H92" i="4"/>
  <c r="G92" i="4"/>
  <c r="E340" i="3"/>
  <c r="H331" i="3"/>
  <c r="I331" i="3" s="1"/>
  <c r="E330" i="3"/>
  <c r="E332" i="3" s="1"/>
  <c r="E334" i="3" s="1"/>
  <c r="F42" i="8" l="1"/>
  <c r="O30" i="8" l="1"/>
  <c r="L30" i="8"/>
  <c r="I30" i="8"/>
  <c r="K26" i="8"/>
  <c r="L26" i="8"/>
  <c r="M26" i="8"/>
  <c r="J26" i="8"/>
  <c r="L25" i="8"/>
  <c r="K25" i="8"/>
  <c r="N25" i="8"/>
  <c r="O25" i="8"/>
  <c r="P25" i="8"/>
  <c r="Q25" i="8"/>
  <c r="M25" i="8"/>
  <c r="F25" i="8"/>
  <c r="H25" i="8"/>
  <c r="I25" i="8"/>
  <c r="J25" i="8"/>
  <c r="G25" i="8"/>
  <c r="F61" i="3"/>
  <c r="F50" i="3" l="1"/>
  <c r="F49" i="3"/>
  <c r="F333" i="3" l="1"/>
  <c r="F330" i="3" l="1"/>
  <c r="F332" i="3" s="1"/>
  <c r="F334" i="3" s="1"/>
  <c r="G330" i="3" l="1"/>
  <c r="G332" i="3" s="1"/>
  <c r="E148" i="3"/>
  <c r="E149" i="3" s="1"/>
  <c r="E151" i="3"/>
  <c r="D53" i="4"/>
  <c r="E53" i="4"/>
  <c r="H32" i="7"/>
  <c r="R101" i="8"/>
  <c r="M120" i="8"/>
  <c r="N120" i="8"/>
  <c r="O120" i="8"/>
  <c r="L120" i="8"/>
  <c r="Q119" i="8"/>
  <c r="P119" i="8"/>
  <c r="O119" i="8"/>
  <c r="N119" i="8"/>
  <c r="M119" i="8"/>
  <c r="M118" i="8"/>
  <c r="N118" i="8"/>
  <c r="E32" i="7"/>
  <c r="G129" i="8"/>
  <c r="H129" i="8"/>
  <c r="I129" i="8"/>
  <c r="Q129" i="8"/>
  <c r="F129" i="8"/>
  <c r="D12" i="16"/>
  <c r="D13" i="16"/>
  <c r="D50" i="4"/>
  <c r="C58" i="8"/>
  <c r="K122" i="8"/>
  <c r="L122" i="8"/>
  <c r="M122" i="8"/>
  <c r="J122" i="8"/>
  <c r="I126" i="3"/>
  <c r="H126" i="3"/>
  <c r="G126" i="3"/>
  <c r="F126" i="3"/>
  <c r="E126" i="3"/>
  <c r="E299" i="3"/>
  <c r="E300" i="3" s="1"/>
  <c r="D83" i="16" s="1"/>
  <c r="D88" i="16" s="1"/>
  <c r="F298" i="3"/>
  <c r="G298" i="3" s="1"/>
  <c r="H298" i="3" s="1"/>
  <c r="I298" i="3" s="1"/>
  <c r="F224" i="3"/>
  <c r="G224" i="3" s="1"/>
  <c r="H224" i="3" s="1"/>
  <c r="I224" i="3" s="1"/>
  <c r="F194" i="3"/>
  <c r="G194" i="3" s="1"/>
  <c r="H194" i="3" s="1"/>
  <c r="I194" i="3" s="1"/>
  <c r="B61" i="16"/>
  <c r="D59" i="16"/>
  <c r="D58" i="16"/>
  <c r="B56" i="16"/>
  <c r="D53" i="16"/>
  <c r="D52" i="16"/>
  <c r="B50" i="16"/>
  <c r="D40" i="16"/>
  <c r="D44" i="16" s="1"/>
  <c r="D47" i="16" s="1"/>
  <c r="D39" i="16"/>
  <c r="D43" i="16" s="1"/>
  <c r="D46" i="16" s="1"/>
  <c r="B37" i="16"/>
  <c r="D23" i="16"/>
  <c r="D18" i="16"/>
  <c r="D22" i="16"/>
  <c r="B20" i="16"/>
  <c r="D17" i="16"/>
  <c r="B15" i="16"/>
  <c r="B10" i="16"/>
  <c r="C59" i="4"/>
  <c r="F92" i="4"/>
  <c r="E288" i="3"/>
  <c r="E268" i="3"/>
  <c r="E269" i="3" s="1"/>
  <c r="E248" i="3"/>
  <c r="E249" i="3" s="1"/>
  <c r="E216" i="3"/>
  <c r="P121" i="8" s="1"/>
  <c r="E184" i="3"/>
  <c r="E185" i="3" s="1"/>
  <c r="E166" i="3"/>
  <c r="F278" i="3"/>
  <c r="G278" i="3" s="1"/>
  <c r="H278" i="3" s="1"/>
  <c r="I278" i="3" s="1"/>
  <c r="F258" i="3"/>
  <c r="G258" i="3" s="1"/>
  <c r="H258" i="3" s="1"/>
  <c r="I258" i="3" s="1"/>
  <c r="F238" i="3"/>
  <c r="G238" i="3" s="1"/>
  <c r="H238" i="3" s="1"/>
  <c r="I238" i="3" s="1"/>
  <c r="E221" i="3"/>
  <c r="F207" i="3"/>
  <c r="G207" i="3" s="1"/>
  <c r="H207" i="3" s="1"/>
  <c r="I207" i="3" s="1"/>
  <c r="F175" i="3"/>
  <c r="G175" i="3" s="1"/>
  <c r="H175" i="3" s="1"/>
  <c r="I175" i="3" s="1"/>
  <c r="C145" i="3"/>
  <c r="C146" i="3"/>
  <c r="C164" i="3" s="1"/>
  <c r="C147" i="3"/>
  <c r="C247" i="3" s="1"/>
  <c r="C144" i="3"/>
  <c r="F157" i="3"/>
  <c r="G157" i="3" s="1"/>
  <c r="H157" i="3" s="1"/>
  <c r="I157" i="3" s="1"/>
  <c r="F139" i="3"/>
  <c r="G139" i="3" s="1"/>
  <c r="H139" i="3" s="1"/>
  <c r="I139" i="3" s="1"/>
  <c r="E191" i="3"/>
  <c r="F111" i="3"/>
  <c r="G111" i="3" s="1"/>
  <c r="H111" i="3" s="1"/>
  <c r="I111" i="3" s="1"/>
  <c r="E23" i="3"/>
  <c r="E24" i="3" s="1"/>
  <c r="F31" i="3"/>
  <c r="G31" i="3" s="1"/>
  <c r="H31" i="3" s="1"/>
  <c r="I31" i="3" s="1"/>
  <c r="P13" i="8"/>
  <c r="K22" i="8"/>
  <c r="F47" i="8"/>
  <c r="F49" i="8"/>
  <c r="F115" i="8"/>
  <c r="F116" i="8"/>
  <c r="F117" i="8"/>
  <c r="F127" i="8"/>
  <c r="F118" i="8"/>
  <c r="F128" i="8"/>
  <c r="F22" i="8"/>
  <c r="E46" i="8"/>
  <c r="D6" i="5"/>
  <c r="E6" i="5" s="1"/>
  <c r="F6" i="5" s="1"/>
  <c r="D7" i="5"/>
  <c r="E7" i="5" s="1"/>
  <c r="D8" i="5"/>
  <c r="G49" i="8"/>
  <c r="G115" i="8"/>
  <c r="G116" i="8"/>
  <c r="G117" i="8"/>
  <c r="G127" i="8"/>
  <c r="G128" i="8"/>
  <c r="G22" i="8"/>
  <c r="H116" i="8"/>
  <c r="H117" i="8"/>
  <c r="H127" i="8"/>
  <c r="H128" i="8"/>
  <c r="H22" i="8"/>
  <c r="I116" i="8"/>
  <c r="I117" i="8"/>
  <c r="I127" i="8"/>
  <c r="I118" i="8"/>
  <c r="I128" i="8"/>
  <c r="I22" i="8"/>
  <c r="R30" i="8"/>
  <c r="D27" i="4" s="1"/>
  <c r="J117" i="8"/>
  <c r="J127" i="8"/>
  <c r="J118" i="8"/>
  <c r="J22" i="8"/>
  <c r="K115" i="8"/>
  <c r="K118" i="8"/>
  <c r="K119" i="8"/>
  <c r="K121" i="8"/>
  <c r="L22" i="8"/>
  <c r="L115" i="8"/>
  <c r="L116" i="8"/>
  <c r="L118" i="8"/>
  <c r="L119" i="8"/>
  <c r="L121" i="8"/>
  <c r="M22" i="8"/>
  <c r="M115" i="8"/>
  <c r="M116" i="8"/>
  <c r="M121" i="8"/>
  <c r="N22" i="8"/>
  <c r="N115" i="8"/>
  <c r="N116" i="8"/>
  <c r="N121" i="8"/>
  <c r="O22" i="8"/>
  <c r="O115" i="8"/>
  <c r="O116" i="8"/>
  <c r="P22" i="8"/>
  <c r="P115" i="8"/>
  <c r="P116" i="8"/>
  <c r="P117" i="8"/>
  <c r="P127" i="8"/>
  <c r="P128" i="8"/>
  <c r="Q22" i="8"/>
  <c r="D7" i="6"/>
  <c r="E7" i="6" s="1"/>
  <c r="J7" i="6"/>
  <c r="P6" i="6"/>
  <c r="R12" i="6" s="1"/>
  <c r="Q115" i="8"/>
  <c r="Q116" i="8"/>
  <c r="Q117" i="8"/>
  <c r="Q127" i="8"/>
  <c r="Q128" i="8"/>
  <c r="D99" i="4"/>
  <c r="B107" i="14"/>
  <c r="B108" i="14" s="1"/>
  <c r="B109" i="14" s="1"/>
  <c r="B110" i="14" s="1"/>
  <c r="B111" i="14" s="1"/>
  <c r="B112" i="14" s="1"/>
  <c r="B113" i="14" s="1"/>
  <c r="B114" i="14" s="1"/>
  <c r="B115" i="14" s="1"/>
  <c r="B103" i="14"/>
  <c r="B102" i="14" s="1"/>
  <c r="B101" i="14" s="1"/>
  <c r="B100" i="14" s="1"/>
  <c r="B99" i="14" s="1"/>
  <c r="B98" i="14" s="1"/>
  <c r="B97" i="14" s="1"/>
  <c r="B96" i="14" s="1"/>
  <c r="B95" i="14" s="1"/>
  <c r="B48" i="14"/>
  <c r="B49" i="14" s="1"/>
  <c r="B50" i="14" s="1"/>
  <c r="B51" i="14" s="1"/>
  <c r="B52" i="14" s="1"/>
  <c r="B53" i="14" s="1"/>
  <c r="B54" i="14" s="1"/>
  <c r="B55" i="14" s="1"/>
  <c r="B56" i="14" s="1"/>
  <c r="B57" i="14" s="1"/>
  <c r="AF90" i="14"/>
  <c r="AE90" i="14"/>
  <c r="AF89" i="14"/>
  <c r="AE89" i="14"/>
  <c r="E53" i="3"/>
  <c r="L10" i="8" s="1"/>
  <c r="L16" i="8" s="1"/>
  <c r="L49" i="8" s="1"/>
  <c r="F57" i="3"/>
  <c r="F52" i="3"/>
  <c r="G52" i="3" s="1"/>
  <c r="V89" i="14" s="1"/>
  <c r="C50" i="4"/>
  <c r="C46" i="4"/>
  <c r="C47" i="4"/>
  <c r="H82" i="8"/>
  <c r="I82" i="8"/>
  <c r="J82" i="8"/>
  <c r="K82" i="8"/>
  <c r="L82" i="8"/>
  <c r="M82" i="8"/>
  <c r="N82" i="8"/>
  <c r="O82" i="8"/>
  <c r="P82" i="8"/>
  <c r="Q82" i="8"/>
  <c r="G82" i="8"/>
  <c r="F82" i="8"/>
  <c r="H79" i="8"/>
  <c r="H83" i="8" s="1"/>
  <c r="I79" i="8"/>
  <c r="J79" i="8"/>
  <c r="K79" i="8"/>
  <c r="L79" i="8"/>
  <c r="M79" i="8"/>
  <c r="N79" i="8"/>
  <c r="O79" i="8"/>
  <c r="P79" i="8"/>
  <c r="Q79" i="8"/>
  <c r="G79" i="8"/>
  <c r="F79" i="8"/>
  <c r="D8" i="6"/>
  <c r="E8" i="6" s="1"/>
  <c r="J8" i="6"/>
  <c r="P8" i="6"/>
  <c r="V6" i="6"/>
  <c r="V8" i="6"/>
  <c r="X8" i="6" s="1"/>
  <c r="AB6" i="6"/>
  <c r="AD14" i="6" s="1"/>
  <c r="E35" i="10" s="1"/>
  <c r="AB8" i="6"/>
  <c r="AD8" i="6" s="1"/>
  <c r="AH6" i="6"/>
  <c r="AJ15" i="6" s="1"/>
  <c r="F36" i="10" s="1"/>
  <c r="AH8" i="6"/>
  <c r="AJ8" i="6" s="1"/>
  <c r="AN6" i="6"/>
  <c r="AN17" i="6" s="1"/>
  <c r="I191" i="7"/>
  <c r="I159" i="7" s="1"/>
  <c r="I192" i="7"/>
  <c r="I160" i="7" s="1"/>
  <c r="I193" i="7"/>
  <c r="I161" i="7" s="1"/>
  <c r="I194" i="7"/>
  <c r="I162" i="7" s="1"/>
  <c r="I195" i="7"/>
  <c r="I163" i="7" s="1"/>
  <c r="I196" i="7"/>
  <c r="I164" i="7" s="1"/>
  <c r="I197" i="7"/>
  <c r="I165" i="7" s="1"/>
  <c r="F191" i="7"/>
  <c r="F199" i="7" s="1"/>
  <c r="F192" i="7"/>
  <c r="F160" i="7" s="1"/>
  <c r="F161" i="7"/>
  <c r="F194" i="7"/>
  <c r="F162" i="7" s="1"/>
  <c r="F195" i="7"/>
  <c r="F163" i="7" s="1"/>
  <c r="F196" i="7"/>
  <c r="F197" i="7"/>
  <c r="F165" i="7"/>
  <c r="G159" i="7"/>
  <c r="G160" i="7"/>
  <c r="G161" i="7"/>
  <c r="G162" i="7"/>
  <c r="G163" i="7"/>
  <c r="G164" i="7"/>
  <c r="G165" i="7"/>
  <c r="G166" i="7"/>
  <c r="E190" i="7"/>
  <c r="D159" i="7"/>
  <c r="D160" i="7"/>
  <c r="D161" i="7"/>
  <c r="D162" i="7"/>
  <c r="D163" i="7"/>
  <c r="D164" i="7"/>
  <c r="D165" i="7"/>
  <c r="D166" i="7"/>
  <c r="C195" i="7"/>
  <c r="C196" i="7"/>
  <c r="C197" i="7"/>
  <c r="C192" i="7"/>
  <c r="C193" i="7"/>
  <c r="C194" i="7"/>
  <c r="C191" i="7"/>
  <c r="H190" i="7"/>
  <c r="H160" i="7" s="1"/>
  <c r="H28" i="7"/>
  <c r="E28" i="7"/>
  <c r="G177" i="7"/>
  <c r="D177" i="7"/>
  <c r="E20" i="3"/>
  <c r="E22" i="3"/>
  <c r="F356" i="3"/>
  <c r="G356" i="3" s="1"/>
  <c r="H356" i="3" s="1"/>
  <c r="I356" i="3" s="1"/>
  <c r="F357" i="3"/>
  <c r="G357" i="3" s="1"/>
  <c r="H357" i="3" s="1"/>
  <c r="I357" i="3" s="1"/>
  <c r="F19" i="3"/>
  <c r="G19" i="3" s="1"/>
  <c r="H19" i="3" s="1"/>
  <c r="I19" i="3" s="1"/>
  <c r="G21" i="3"/>
  <c r="H21" i="3" s="1"/>
  <c r="I21" i="3" s="1"/>
  <c r="F17" i="3"/>
  <c r="G17" i="3" s="1"/>
  <c r="G37" i="3"/>
  <c r="H37" i="3" s="1"/>
  <c r="I37" i="3" s="1"/>
  <c r="F39" i="3"/>
  <c r="G39" i="3" s="1"/>
  <c r="H39" i="3" s="1"/>
  <c r="I39" i="3" s="1"/>
  <c r="F43" i="3"/>
  <c r="G43" i="3" s="1"/>
  <c r="H43" i="3" s="1"/>
  <c r="I43" i="3" s="1"/>
  <c r="G61" i="3"/>
  <c r="F63" i="3"/>
  <c r="F65" i="3"/>
  <c r="G65" i="3" s="1"/>
  <c r="H65" i="3" s="1"/>
  <c r="I65" i="3" s="1"/>
  <c r="F89" i="3"/>
  <c r="F98" i="3"/>
  <c r="F100" i="3" s="1"/>
  <c r="F102" i="3" s="1"/>
  <c r="F369" i="3"/>
  <c r="G369" i="3" s="1"/>
  <c r="H369" i="3" s="1"/>
  <c r="I369" i="3" s="1"/>
  <c r="F361" i="3"/>
  <c r="G361" i="3" s="1"/>
  <c r="H361" i="3" s="1"/>
  <c r="I361" i="3" s="1"/>
  <c r="F362" i="3"/>
  <c r="G362" i="3" s="1"/>
  <c r="H362" i="3" s="1"/>
  <c r="I362" i="3" s="1"/>
  <c r="F366" i="3"/>
  <c r="F381" i="3"/>
  <c r="G333" i="3" s="1"/>
  <c r="F367" i="3"/>
  <c r="E38" i="3"/>
  <c r="I365" i="3"/>
  <c r="H365" i="3"/>
  <c r="G365" i="3"/>
  <c r="F365" i="3"/>
  <c r="E365" i="3"/>
  <c r="I360" i="3"/>
  <c r="H360" i="3"/>
  <c r="G360" i="3"/>
  <c r="F360" i="3"/>
  <c r="E360" i="3"/>
  <c r="F314" i="3"/>
  <c r="F315" i="3"/>
  <c r="F316" i="3"/>
  <c r="I68" i="3"/>
  <c r="H68" i="3"/>
  <c r="G68" i="3"/>
  <c r="F68" i="3"/>
  <c r="E68" i="3"/>
  <c r="F55" i="3"/>
  <c r="F26" i="3"/>
  <c r="F34" i="3"/>
  <c r="G34" i="3" s="1"/>
  <c r="H34" i="3" s="1"/>
  <c r="I34" i="3" s="1"/>
  <c r="L24" i="8"/>
  <c r="R24" i="8" s="1"/>
  <c r="D22" i="4" s="1"/>
  <c r="E377" i="3"/>
  <c r="E378" i="3"/>
  <c r="E380" i="3" s="1"/>
  <c r="H49" i="8"/>
  <c r="E79" i="3"/>
  <c r="E81" i="3"/>
  <c r="E83" i="3" s="1"/>
  <c r="I14" i="8" s="1"/>
  <c r="I16" i="8" s="1"/>
  <c r="E72" i="3"/>
  <c r="E76" i="3"/>
  <c r="E95" i="3"/>
  <c r="E104" i="3"/>
  <c r="E91" i="3"/>
  <c r="E93" i="3" s="1"/>
  <c r="E100" i="3"/>
  <c r="E102" i="3" s="1"/>
  <c r="C32" i="10"/>
  <c r="F124" i="3"/>
  <c r="G124" i="3" s="1"/>
  <c r="H124" i="3" s="1"/>
  <c r="I124" i="3" s="1"/>
  <c r="F125" i="3"/>
  <c r="G125" i="3" s="1"/>
  <c r="H125" i="3" s="1"/>
  <c r="I125" i="3" s="1"/>
  <c r="F123" i="3"/>
  <c r="G123" i="3" s="1"/>
  <c r="H123" i="3" s="1"/>
  <c r="I123" i="3" s="1"/>
  <c r="F134" i="3"/>
  <c r="G134" i="3" s="1"/>
  <c r="F136" i="3"/>
  <c r="G136" i="3" s="1"/>
  <c r="H136" i="3" s="1"/>
  <c r="I136" i="3" s="1"/>
  <c r="F108" i="3"/>
  <c r="F137" i="3"/>
  <c r="G137" i="3" s="1"/>
  <c r="H137" i="3" s="1"/>
  <c r="I137" i="3" s="1"/>
  <c r="F109" i="3"/>
  <c r="F138" i="3"/>
  <c r="G138" i="3" s="1"/>
  <c r="H138" i="3" s="1"/>
  <c r="I138" i="3" s="1"/>
  <c r="F110" i="3"/>
  <c r="G110" i="3" s="1"/>
  <c r="H110" i="3" s="1"/>
  <c r="I110" i="3" s="1"/>
  <c r="F140" i="3"/>
  <c r="G140" i="3" s="1"/>
  <c r="H140" i="3" s="1"/>
  <c r="I140" i="3" s="1"/>
  <c r="F112" i="3"/>
  <c r="G112" i="3" s="1"/>
  <c r="H112" i="3" s="1"/>
  <c r="I112" i="3" s="1"/>
  <c r="F141" i="3"/>
  <c r="G141" i="3" s="1"/>
  <c r="H141" i="3" s="1"/>
  <c r="I141" i="3" s="1"/>
  <c r="F113" i="3"/>
  <c r="G113" i="3" s="1"/>
  <c r="H113" i="3" s="1"/>
  <c r="I113" i="3" s="1"/>
  <c r="F142" i="3"/>
  <c r="G142" i="3" s="1"/>
  <c r="H142" i="3" s="1"/>
  <c r="I142" i="3" s="1"/>
  <c r="F114" i="3"/>
  <c r="G114" i="3" s="1"/>
  <c r="H114" i="3" s="1"/>
  <c r="I114" i="3" s="1"/>
  <c r="F143" i="3"/>
  <c r="G143" i="3" s="1"/>
  <c r="H143" i="3" s="1"/>
  <c r="I143" i="3" s="1"/>
  <c r="F115" i="3"/>
  <c r="G115" i="3" s="1"/>
  <c r="H115" i="3" s="1"/>
  <c r="I115" i="3" s="1"/>
  <c r="F144" i="3"/>
  <c r="G144" i="3" s="1"/>
  <c r="H144" i="3" s="1"/>
  <c r="I144" i="3" s="1"/>
  <c r="F117" i="3"/>
  <c r="G117" i="3" s="1"/>
  <c r="H117" i="3" s="1"/>
  <c r="I117" i="3" s="1"/>
  <c r="F145" i="3"/>
  <c r="G145" i="3" s="1"/>
  <c r="H145" i="3" s="1"/>
  <c r="I145" i="3" s="1"/>
  <c r="F118" i="3"/>
  <c r="G118" i="3" s="1"/>
  <c r="H118" i="3" s="1"/>
  <c r="I118" i="3" s="1"/>
  <c r="F146" i="3"/>
  <c r="G146" i="3" s="1"/>
  <c r="H146" i="3" s="1"/>
  <c r="I146" i="3" s="1"/>
  <c r="F147" i="3"/>
  <c r="G147" i="3" s="1"/>
  <c r="H147" i="3" s="1"/>
  <c r="I147" i="3" s="1"/>
  <c r="F120" i="3"/>
  <c r="G120" i="3" s="1"/>
  <c r="H120" i="3" s="1"/>
  <c r="I120" i="3" s="1"/>
  <c r="F152" i="3"/>
  <c r="G152" i="3" s="1"/>
  <c r="H152" i="3" s="1"/>
  <c r="I152" i="3" s="1"/>
  <c r="F154" i="3"/>
  <c r="G154" i="3" s="1"/>
  <c r="H154" i="3" s="1"/>
  <c r="I154" i="3" s="1"/>
  <c r="F155" i="3"/>
  <c r="G155" i="3" s="1"/>
  <c r="H155" i="3" s="1"/>
  <c r="F156" i="3"/>
  <c r="G156" i="3" s="1"/>
  <c r="H156" i="3" s="1"/>
  <c r="I156" i="3" s="1"/>
  <c r="F158" i="3"/>
  <c r="G158" i="3" s="1"/>
  <c r="H158" i="3" s="1"/>
  <c r="I158" i="3" s="1"/>
  <c r="F159" i="3"/>
  <c r="G159" i="3" s="1"/>
  <c r="H159" i="3" s="1"/>
  <c r="I159" i="3" s="1"/>
  <c r="F160" i="3"/>
  <c r="G160" i="3" s="1"/>
  <c r="H160" i="3" s="1"/>
  <c r="I160" i="3" s="1"/>
  <c r="F161" i="3"/>
  <c r="G161" i="3" s="1"/>
  <c r="H161" i="3" s="1"/>
  <c r="I161" i="3" s="1"/>
  <c r="F162" i="3"/>
  <c r="G162" i="3" s="1"/>
  <c r="H162" i="3" s="1"/>
  <c r="I162" i="3" s="1"/>
  <c r="F163" i="3"/>
  <c r="G163" i="3" s="1"/>
  <c r="H163" i="3" s="1"/>
  <c r="I163" i="3" s="1"/>
  <c r="F164" i="3"/>
  <c r="G164" i="3" s="1"/>
  <c r="H164" i="3" s="1"/>
  <c r="I164" i="3" s="1"/>
  <c r="F119" i="3"/>
  <c r="G119" i="3" s="1"/>
  <c r="H119" i="3" s="1"/>
  <c r="I119" i="3" s="1"/>
  <c r="F165" i="3"/>
  <c r="G165" i="3" s="1"/>
  <c r="H165" i="3" s="1"/>
  <c r="I165" i="3" s="1"/>
  <c r="F170" i="3"/>
  <c r="G170" i="3" s="1"/>
  <c r="F172" i="3"/>
  <c r="G172" i="3" s="1"/>
  <c r="H172" i="3" s="1"/>
  <c r="I172" i="3" s="1"/>
  <c r="F173" i="3"/>
  <c r="G173" i="3" s="1"/>
  <c r="H173" i="3" s="1"/>
  <c r="I173" i="3" s="1"/>
  <c r="F174" i="3"/>
  <c r="G174" i="3" s="1"/>
  <c r="H174" i="3" s="1"/>
  <c r="I174" i="3" s="1"/>
  <c r="F176" i="3"/>
  <c r="G176" i="3" s="1"/>
  <c r="H176" i="3" s="1"/>
  <c r="I176" i="3" s="1"/>
  <c r="F177" i="3"/>
  <c r="G177" i="3" s="1"/>
  <c r="H177" i="3" s="1"/>
  <c r="I177" i="3" s="1"/>
  <c r="F178" i="3"/>
  <c r="G178" i="3" s="1"/>
  <c r="H178" i="3" s="1"/>
  <c r="I178" i="3" s="1"/>
  <c r="F179" i="3"/>
  <c r="G179" i="3" s="1"/>
  <c r="H179" i="3" s="1"/>
  <c r="I179" i="3" s="1"/>
  <c r="F180" i="3"/>
  <c r="G180" i="3" s="1"/>
  <c r="H180" i="3" s="1"/>
  <c r="I180" i="3" s="1"/>
  <c r="F181" i="3"/>
  <c r="G181" i="3" s="1"/>
  <c r="H181" i="3" s="1"/>
  <c r="I181" i="3" s="1"/>
  <c r="F182" i="3"/>
  <c r="G182" i="3" s="1"/>
  <c r="H182" i="3" s="1"/>
  <c r="I182" i="3" s="1"/>
  <c r="F183" i="3"/>
  <c r="G183" i="3" s="1"/>
  <c r="H183" i="3" s="1"/>
  <c r="I183" i="3" s="1"/>
  <c r="F192" i="3"/>
  <c r="G192" i="3" s="1"/>
  <c r="E30" i="3"/>
  <c r="F29" i="3"/>
  <c r="G29" i="3" s="1"/>
  <c r="H29" i="3" s="1"/>
  <c r="I29" i="3" s="1"/>
  <c r="F202" i="3"/>
  <c r="F221" i="3" s="1"/>
  <c r="F204" i="3"/>
  <c r="G204" i="3" s="1"/>
  <c r="H204" i="3" s="1"/>
  <c r="I204" i="3" s="1"/>
  <c r="F205" i="3"/>
  <c r="G205" i="3" s="1"/>
  <c r="H205" i="3" s="1"/>
  <c r="I205" i="3" s="1"/>
  <c r="F206" i="3"/>
  <c r="F208" i="3"/>
  <c r="G208" i="3" s="1"/>
  <c r="H208" i="3" s="1"/>
  <c r="I208" i="3" s="1"/>
  <c r="F209" i="3"/>
  <c r="G209" i="3" s="1"/>
  <c r="H209" i="3" s="1"/>
  <c r="I209" i="3" s="1"/>
  <c r="F210" i="3"/>
  <c r="G210" i="3" s="1"/>
  <c r="H210" i="3" s="1"/>
  <c r="I210" i="3" s="1"/>
  <c r="F211" i="3"/>
  <c r="G211" i="3" s="1"/>
  <c r="H211" i="3" s="1"/>
  <c r="I211" i="3" s="1"/>
  <c r="F212" i="3"/>
  <c r="G212" i="3" s="1"/>
  <c r="H212" i="3" s="1"/>
  <c r="I212" i="3" s="1"/>
  <c r="F213" i="3"/>
  <c r="G213" i="3" s="1"/>
  <c r="H213" i="3" s="1"/>
  <c r="I213" i="3" s="1"/>
  <c r="F214" i="3"/>
  <c r="G214" i="3" s="1"/>
  <c r="H214" i="3" s="1"/>
  <c r="I214" i="3" s="1"/>
  <c r="F215" i="3"/>
  <c r="G215" i="3" s="1"/>
  <c r="H215" i="3" s="1"/>
  <c r="I215" i="3" s="1"/>
  <c r="F222" i="3"/>
  <c r="G222" i="3" s="1"/>
  <c r="F232" i="3"/>
  <c r="G232" i="3" s="1"/>
  <c r="F235" i="3"/>
  <c r="F236" i="3"/>
  <c r="F237" i="3"/>
  <c r="G237" i="3" s="1"/>
  <c r="H237" i="3" s="1"/>
  <c r="I237" i="3" s="1"/>
  <c r="F239" i="3"/>
  <c r="G239" i="3" s="1"/>
  <c r="H239" i="3" s="1"/>
  <c r="I239" i="3" s="1"/>
  <c r="F240" i="3"/>
  <c r="G240" i="3" s="1"/>
  <c r="H240" i="3" s="1"/>
  <c r="I240" i="3" s="1"/>
  <c r="F241" i="3"/>
  <c r="G241" i="3" s="1"/>
  <c r="H241" i="3" s="1"/>
  <c r="I241" i="3" s="1"/>
  <c r="F242" i="3"/>
  <c r="G242" i="3" s="1"/>
  <c r="H242" i="3" s="1"/>
  <c r="I242" i="3" s="1"/>
  <c r="F243" i="3"/>
  <c r="G243" i="3" s="1"/>
  <c r="H243" i="3" s="1"/>
  <c r="I243" i="3" s="1"/>
  <c r="F116" i="3"/>
  <c r="G116" i="3" s="1"/>
  <c r="H116" i="3" s="1"/>
  <c r="I116" i="3" s="1"/>
  <c r="F244" i="3"/>
  <c r="G244" i="3" s="1"/>
  <c r="H244" i="3" s="1"/>
  <c r="I244" i="3" s="1"/>
  <c r="F245" i="3"/>
  <c r="G245" i="3" s="1"/>
  <c r="H245" i="3" s="1"/>
  <c r="I245" i="3" s="1"/>
  <c r="F246" i="3"/>
  <c r="G246" i="3" s="1"/>
  <c r="H246" i="3" s="1"/>
  <c r="I246" i="3" s="1"/>
  <c r="F247" i="3"/>
  <c r="G247" i="3" s="1"/>
  <c r="H247" i="3" s="1"/>
  <c r="I247" i="3" s="1"/>
  <c r="F252" i="3"/>
  <c r="G252" i="3" s="1"/>
  <c r="H252" i="3" s="1"/>
  <c r="I252" i="3" s="1"/>
  <c r="F255" i="3"/>
  <c r="F256" i="3"/>
  <c r="G256" i="3" s="1"/>
  <c r="F257" i="3"/>
  <c r="G257" i="3" s="1"/>
  <c r="H257" i="3" s="1"/>
  <c r="I257" i="3" s="1"/>
  <c r="F259" i="3"/>
  <c r="G259" i="3" s="1"/>
  <c r="H259" i="3" s="1"/>
  <c r="I259" i="3" s="1"/>
  <c r="F260" i="3"/>
  <c r="G260" i="3" s="1"/>
  <c r="H260" i="3" s="1"/>
  <c r="I260" i="3" s="1"/>
  <c r="F261" i="3"/>
  <c r="G261" i="3" s="1"/>
  <c r="H261" i="3" s="1"/>
  <c r="I261" i="3" s="1"/>
  <c r="F262" i="3"/>
  <c r="G262" i="3" s="1"/>
  <c r="H262" i="3" s="1"/>
  <c r="I262" i="3" s="1"/>
  <c r="F263" i="3"/>
  <c r="G263" i="3" s="1"/>
  <c r="H263" i="3" s="1"/>
  <c r="I263" i="3" s="1"/>
  <c r="F264" i="3"/>
  <c r="G264" i="3" s="1"/>
  <c r="H264" i="3" s="1"/>
  <c r="I264" i="3" s="1"/>
  <c r="F265" i="3"/>
  <c r="G265" i="3" s="1"/>
  <c r="H265" i="3" s="1"/>
  <c r="I265" i="3" s="1"/>
  <c r="F266" i="3"/>
  <c r="G266" i="3" s="1"/>
  <c r="H266" i="3" s="1"/>
  <c r="I266" i="3" s="1"/>
  <c r="F267" i="3"/>
  <c r="G267" i="3" s="1"/>
  <c r="H267" i="3" s="1"/>
  <c r="I267" i="3" s="1"/>
  <c r="F275" i="3"/>
  <c r="G275" i="3" s="1"/>
  <c r="H275" i="3" s="1"/>
  <c r="F276" i="3"/>
  <c r="G276" i="3" s="1"/>
  <c r="H276" i="3" s="1"/>
  <c r="I276" i="3" s="1"/>
  <c r="F277" i="3"/>
  <c r="G277" i="3" s="1"/>
  <c r="H277" i="3" s="1"/>
  <c r="I277" i="3" s="1"/>
  <c r="F279" i="3"/>
  <c r="G279" i="3" s="1"/>
  <c r="H279" i="3" s="1"/>
  <c r="I279" i="3" s="1"/>
  <c r="F280" i="3"/>
  <c r="G280" i="3" s="1"/>
  <c r="H280" i="3" s="1"/>
  <c r="I280" i="3" s="1"/>
  <c r="F281" i="3"/>
  <c r="G281" i="3" s="1"/>
  <c r="H281" i="3" s="1"/>
  <c r="I281" i="3" s="1"/>
  <c r="F282" i="3"/>
  <c r="G282" i="3" s="1"/>
  <c r="H282" i="3" s="1"/>
  <c r="I282" i="3" s="1"/>
  <c r="F283" i="3"/>
  <c r="G283" i="3" s="1"/>
  <c r="H283" i="3" s="1"/>
  <c r="I283" i="3" s="1"/>
  <c r="F284" i="3"/>
  <c r="G284" i="3" s="1"/>
  <c r="H284" i="3" s="1"/>
  <c r="I284" i="3" s="1"/>
  <c r="F285" i="3"/>
  <c r="G285" i="3" s="1"/>
  <c r="H285" i="3" s="1"/>
  <c r="I285" i="3" s="1"/>
  <c r="F286" i="3"/>
  <c r="G286" i="3" s="1"/>
  <c r="H286" i="3" s="1"/>
  <c r="I286" i="3" s="1"/>
  <c r="F287" i="3"/>
  <c r="G287" i="3" s="1"/>
  <c r="H287" i="3" s="1"/>
  <c r="I287" i="3" s="1"/>
  <c r="F296" i="3"/>
  <c r="G296" i="3" s="1"/>
  <c r="F308" i="3"/>
  <c r="G321" i="3"/>
  <c r="F322" i="3"/>
  <c r="F326" i="3"/>
  <c r="F337" i="3"/>
  <c r="F339" i="3"/>
  <c r="F343" i="3"/>
  <c r="F345" i="3"/>
  <c r="F349" i="3"/>
  <c r="F351" i="3"/>
  <c r="F80" i="3"/>
  <c r="G80" i="3" s="1"/>
  <c r="H80" i="3" s="1"/>
  <c r="I80" i="3" s="1"/>
  <c r="F84" i="3"/>
  <c r="G84" i="3" s="1"/>
  <c r="H84" i="3" s="1"/>
  <c r="I84" i="3" s="1"/>
  <c r="F85" i="3"/>
  <c r="G85" i="3" s="1"/>
  <c r="H85" i="3" s="1"/>
  <c r="I85" i="3" s="1"/>
  <c r="F374" i="3"/>
  <c r="C69" i="8"/>
  <c r="C70" i="8"/>
  <c r="C71" i="8"/>
  <c r="C72" i="8"/>
  <c r="C73" i="8"/>
  <c r="C74" i="8"/>
  <c r="C75" i="8"/>
  <c r="C76" i="8"/>
  <c r="C66" i="8"/>
  <c r="C65" i="8"/>
  <c r="G185" i="7"/>
  <c r="D185" i="7"/>
  <c r="G184" i="7"/>
  <c r="D184" i="7"/>
  <c r="G181" i="7"/>
  <c r="D181" i="7"/>
  <c r="G182" i="7"/>
  <c r="D182" i="7"/>
  <c r="G180" i="7"/>
  <c r="D180" i="7"/>
  <c r="G179" i="7"/>
  <c r="D179" i="7"/>
  <c r="G178" i="7"/>
  <c r="D178" i="7"/>
  <c r="G176" i="7"/>
  <c r="D176" i="7"/>
  <c r="G175" i="7"/>
  <c r="D175" i="7"/>
  <c r="G174" i="7"/>
  <c r="D174" i="7"/>
  <c r="G173" i="7"/>
  <c r="D173" i="7"/>
  <c r="G172" i="7"/>
  <c r="D172" i="7"/>
  <c r="G171" i="7"/>
  <c r="D171" i="7"/>
  <c r="G170" i="7"/>
  <c r="D170" i="7"/>
  <c r="G169" i="7"/>
  <c r="D169" i="7"/>
  <c r="H166" i="7"/>
  <c r="H169" i="7"/>
  <c r="H34" i="7"/>
  <c r="E34" i="7"/>
  <c r="H33" i="7"/>
  <c r="E33" i="7"/>
  <c r="H31" i="7"/>
  <c r="E31" i="7"/>
  <c r="P7" i="6"/>
  <c r="D41" i="4"/>
  <c r="F70" i="3"/>
  <c r="G70" i="3" s="1"/>
  <c r="F71" i="3"/>
  <c r="G71" i="3" s="1"/>
  <c r="H71" i="3" s="1"/>
  <c r="I71" i="3" s="1"/>
  <c r="F74" i="3"/>
  <c r="F75" i="3"/>
  <c r="G75" i="3" s="1"/>
  <c r="H75" i="3" s="1"/>
  <c r="I75" i="3" s="1"/>
  <c r="F62" i="3"/>
  <c r="F64" i="3"/>
  <c r="G64" i="3" s="1"/>
  <c r="H64" i="3" s="1"/>
  <c r="I64" i="3" s="1"/>
  <c r="G66" i="3"/>
  <c r="H66" i="3" s="1"/>
  <c r="I66" i="3" s="1"/>
  <c r="F82" i="3"/>
  <c r="G82" i="3" s="1"/>
  <c r="H82" i="3" s="1"/>
  <c r="I82" i="3" s="1"/>
  <c r="F407" i="3"/>
  <c r="G407" i="3" s="1"/>
  <c r="H407" i="3" s="1"/>
  <c r="I407" i="3" s="1"/>
  <c r="F376" i="3"/>
  <c r="G376" i="3" s="1"/>
  <c r="H376" i="3" s="1"/>
  <c r="I376" i="3" s="1"/>
  <c r="F379" i="3"/>
  <c r="G379" i="3" s="1"/>
  <c r="H379" i="3" s="1"/>
  <c r="I379" i="3" s="1"/>
  <c r="V7" i="6"/>
  <c r="E41" i="4"/>
  <c r="G41" i="4"/>
  <c r="E297" i="3"/>
  <c r="E138" i="4"/>
  <c r="F390" i="3"/>
  <c r="F391" i="3"/>
  <c r="D13" i="10" s="1"/>
  <c r="F387" i="3"/>
  <c r="D11" i="10" s="1"/>
  <c r="F389" i="3"/>
  <c r="D17" i="10" s="1"/>
  <c r="F400" i="3"/>
  <c r="D26" i="10" s="1"/>
  <c r="D53" i="10" s="1"/>
  <c r="F386" i="3"/>
  <c r="D138" i="4"/>
  <c r="C11" i="10"/>
  <c r="C12" i="10"/>
  <c r="C13" i="10"/>
  <c r="E388" i="3"/>
  <c r="C16" i="10" s="1"/>
  <c r="E389" i="3"/>
  <c r="C26" i="10"/>
  <c r="C53" i="10" s="1"/>
  <c r="C10" i="10"/>
  <c r="C52" i="10" s="1"/>
  <c r="E186" i="3"/>
  <c r="AN8" i="6"/>
  <c r="AP8" i="6" s="1"/>
  <c r="F63" i="8"/>
  <c r="F87" i="8"/>
  <c r="G63" i="8"/>
  <c r="G87" i="8"/>
  <c r="H63" i="8"/>
  <c r="H87" i="8"/>
  <c r="I63" i="8"/>
  <c r="I87" i="8"/>
  <c r="J63" i="8"/>
  <c r="J87" i="8"/>
  <c r="K63" i="8"/>
  <c r="K87" i="8"/>
  <c r="L63" i="8"/>
  <c r="L87" i="8"/>
  <c r="M63" i="8"/>
  <c r="M87" i="8"/>
  <c r="N63" i="8"/>
  <c r="N87" i="8"/>
  <c r="O63" i="8"/>
  <c r="O87" i="8"/>
  <c r="P63" i="8"/>
  <c r="P87" i="8"/>
  <c r="Q63" i="8"/>
  <c r="Q87" i="8"/>
  <c r="R88" i="8"/>
  <c r="R89" i="8"/>
  <c r="R81" i="8"/>
  <c r="R80" i="8"/>
  <c r="R77" i="8"/>
  <c r="R78" i="8"/>
  <c r="R65" i="8"/>
  <c r="R57" i="8"/>
  <c r="R58" i="8"/>
  <c r="R59" i="8"/>
  <c r="R60" i="8"/>
  <c r="R61" i="8"/>
  <c r="R62" i="8"/>
  <c r="R66" i="8"/>
  <c r="R67" i="8"/>
  <c r="R68" i="8"/>
  <c r="R69" i="8"/>
  <c r="R70" i="8"/>
  <c r="R71" i="8"/>
  <c r="R72" i="8"/>
  <c r="R73" i="8"/>
  <c r="R74" i="8"/>
  <c r="R75" i="8"/>
  <c r="R76" i="8"/>
  <c r="G56" i="8"/>
  <c r="G85" i="8" s="1"/>
  <c r="H56" i="8"/>
  <c r="H85" i="8" s="1"/>
  <c r="I56" i="8"/>
  <c r="I85" i="8" s="1"/>
  <c r="J56" i="8"/>
  <c r="J85" i="8" s="1"/>
  <c r="K56" i="8"/>
  <c r="K85" i="8" s="1"/>
  <c r="L56" i="8"/>
  <c r="L85" i="8" s="1"/>
  <c r="M56" i="8"/>
  <c r="M85" i="8" s="1"/>
  <c r="N56" i="8"/>
  <c r="N85" i="8" s="1"/>
  <c r="O56" i="8"/>
  <c r="O85" i="8" s="1"/>
  <c r="P56" i="8"/>
  <c r="P85" i="8" s="1"/>
  <c r="Q56" i="8"/>
  <c r="Q85" i="8" s="1"/>
  <c r="R56" i="8"/>
  <c r="R85" i="8" s="1"/>
  <c r="F56" i="8"/>
  <c r="F85" i="8" s="1"/>
  <c r="C91" i="8"/>
  <c r="C90" i="8"/>
  <c r="C88" i="8"/>
  <c r="C89" i="8"/>
  <c r="C87" i="8"/>
  <c r="D85" i="8"/>
  <c r="D82" i="8"/>
  <c r="D84" i="8"/>
  <c r="D83" i="8"/>
  <c r="C78" i="8"/>
  <c r="D79" i="8"/>
  <c r="C77" i="8"/>
  <c r="C80" i="8"/>
  <c r="C81" i="8"/>
  <c r="D63" i="8"/>
  <c r="C57" i="8"/>
  <c r="C59" i="8"/>
  <c r="C60" i="8"/>
  <c r="C61" i="8"/>
  <c r="C62" i="8"/>
  <c r="C64" i="8"/>
  <c r="C67" i="8"/>
  <c r="C68" i="8"/>
  <c r="C56" i="8"/>
  <c r="C8" i="8"/>
  <c r="C55" i="8" s="1"/>
  <c r="AN7" i="6"/>
  <c r="AL13" i="6"/>
  <c r="AL14" i="6" s="1"/>
  <c r="AL15" i="6" s="1"/>
  <c r="AL16" i="6" s="1"/>
  <c r="AH7" i="6"/>
  <c r="AF13" i="6"/>
  <c r="AF14" i="6" s="1"/>
  <c r="AF15" i="6" s="1"/>
  <c r="AF16" i="6" s="1"/>
  <c r="AF17" i="6" s="1"/>
  <c r="AF18" i="6" s="1"/>
  <c r="AB7" i="6"/>
  <c r="Z13" i="6"/>
  <c r="Z14" i="6" s="1"/>
  <c r="Z15" i="6" s="1"/>
  <c r="T13" i="6"/>
  <c r="T14" i="6" s="1"/>
  <c r="T15" i="6" s="1"/>
  <c r="T16" i="6" s="1"/>
  <c r="T17" i="6" s="1"/>
  <c r="T18" i="6" s="1"/>
  <c r="N13" i="6"/>
  <c r="N14" i="6" s="1"/>
  <c r="H13" i="6"/>
  <c r="H14" i="6" s="1"/>
  <c r="H15" i="6" s="1"/>
  <c r="H16" i="6" s="1"/>
  <c r="H17" i="6" s="1"/>
  <c r="H18" i="6" s="1"/>
  <c r="H19" i="6" s="1"/>
  <c r="H20" i="6" s="1"/>
  <c r="B13" i="6"/>
  <c r="B14" i="6" s="1"/>
  <c r="B15" i="6" s="1"/>
  <c r="B16" i="6" s="1"/>
  <c r="B17" i="6" s="1"/>
  <c r="B18" i="6" s="1"/>
  <c r="B19" i="6" s="1"/>
  <c r="B20" i="6" s="1"/>
  <c r="B21" i="6" s="1"/>
  <c r="F295" i="3"/>
  <c r="F299" i="3" s="1"/>
  <c r="H41" i="4"/>
  <c r="H26" i="10"/>
  <c r="H53" i="10" s="1"/>
  <c r="D50" i="10"/>
  <c r="E50" i="10"/>
  <c r="F50" i="10"/>
  <c r="G50" i="10"/>
  <c r="H50" i="10"/>
  <c r="C50" i="10"/>
  <c r="H6" i="4"/>
  <c r="G6" i="4"/>
  <c r="F6" i="4"/>
  <c r="C283" i="3"/>
  <c r="C263" i="3"/>
  <c r="F94" i="3"/>
  <c r="G94" i="3" s="1"/>
  <c r="H94" i="3" s="1"/>
  <c r="I94" i="3" s="1"/>
  <c r="F103" i="3"/>
  <c r="G103" i="3" s="1"/>
  <c r="H103" i="3" s="1"/>
  <c r="I103" i="3" s="1"/>
  <c r="F90" i="3"/>
  <c r="G90" i="3" s="1"/>
  <c r="H90" i="3" s="1"/>
  <c r="I90" i="3" s="1"/>
  <c r="F92" i="3"/>
  <c r="G92" i="3" s="1"/>
  <c r="H92" i="3" s="1"/>
  <c r="I92" i="3" s="1"/>
  <c r="F99" i="3"/>
  <c r="G99" i="3" s="1"/>
  <c r="H99" i="3" s="1"/>
  <c r="I99" i="3" s="1"/>
  <c r="F101" i="3"/>
  <c r="G101" i="3" s="1"/>
  <c r="H101" i="3" s="1"/>
  <c r="I101" i="3" s="1"/>
  <c r="D33" i="10"/>
  <c r="B37" i="10"/>
  <c r="B36" i="10"/>
  <c r="B35" i="10"/>
  <c r="B34" i="10"/>
  <c r="B33" i="10"/>
  <c r="B32" i="10"/>
  <c r="B31" i="10"/>
  <c r="F401" i="3"/>
  <c r="H27" i="10"/>
  <c r="C27" i="10"/>
  <c r="C25" i="10"/>
  <c r="D5" i="5"/>
  <c r="F5" i="5" s="1"/>
  <c r="F392" i="3" s="1"/>
  <c r="D20" i="10" s="1"/>
  <c r="B8" i="5"/>
  <c r="B7" i="5"/>
  <c r="B6" i="5"/>
  <c r="B5" i="5"/>
  <c r="C21" i="10"/>
  <c r="C20" i="10"/>
  <c r="C19" i="10"/>
  <c r="C18" i="10"/>
  <c r="B17" i="10"/>
  <c r="B16" i="10"/>
  <c r="B6" i="10"/>
  <c r="C9" i="10"/>
  <c r="B13" i="10"/>
  <c r="B12" i="10"/>
  <c r="B10" i="10"/>
  <c r="B11" i="10"/>
  <c r="B9" i="10"/>
  <c r="I398" i="3"/>
  <c r="H398" i="3"/>
  <c r="G398" i="3"/>
  <c r="F398" i="3"/>
  <c r="E398" i="3"/>
  <c r="I384" i="3"/>
  <c r="H384" i="3"/>
  <c r="G384" i="3"/>
  <c r="F384" i="3"/>
  <c r="E384" i="3"/>
  <c r="D119" i="8"/>
  <c r="C155" i="3"/>
  <c r="C158" i="3"/>
  <c r="C159" i="3"/>
  <c r="C160" i="3"/>
  <c r="C161" i="3"/>
  <c r="C154" i="3"/>
  <c r="I151" i="3"/>
  <c r="H151" i="3"/>
  <c r="G151" i="3"/>
  <c r="F151" i="3"/>
  <c r="D121" i="8"/>
  <c r="D116" i="8"/>
  <c r="D117" i="8"/>
  <c r="D118" i="8"/>
  <c r="D120" i="8"/>
  <c r="D115" i="8"/>
  <c r="G114" i="8"/>
  <c r="G126" i="8" s="1"/>
  <c r="H114" i="8"/>
  <c r="H126" i="8" s="1"/>
  <c r="I114" i="8"/>
  <c r="I126" i="8" s="1"/>
  <c r="J114" i="8"/>
  <c r="J126" i="8" s="1"/>
  <c r="K114" i="8"/>
  <c r="K126" i="8" s="1"/>
  <c r="L114" i="8"/>
  <c r="L126" i="8" s="1"/>
  <c r="M114" i="8"/>
  <c r="M126" i="8" s="1"/>
  <c r="N114" i="8"/>
  <c r="N126" i="8" s="1"/>
  <c r="O114" i="8"/>
  <c r="O126" i="8" s="1"/>
  <c r="P114" i="8"/>
  <c r="P126" i="8" s="1"/>
  <c r="Q114" i="8"/>
  <c r="Q126" i="8" s="1"/>
  <c r="F114" i="8"/>
  <c r="F126" i="8" s="1"/>
  <c r="G102" i="8"/>
  <c r="H102" i="8"/>
  <c r="I102" i="8"/>
  <c r="J102" i="8"/>
  <c r="K102" i="8"/>
  <c r="L102" i="8"/>
  <c r="M102" i="8"/>
  <c r="N102" i="8"/>
  <c r="O102" i="8"/>
  <c r="P102" i="8"/>
  <c r="Q102" i="8"/>
  <c r="F102" i="8"/>
  <c r="C276" i="3"/>
  <c r="C277" i="3"/>
  <c r="C279" i="3"/>
  <c r="C280" i="3"/>
  <c r="C281" i="3"/>
  <c r="C282" i="3"/>
  <c r="C275" i="3"/>
  <c r="I271" i="3"/>
  <c r="H271" i="3"/>
  <c r="G271" i="3"/>
  <c r="F271" i="3"/>
  <c r="E271" i="3"/>
  <c r="C256" i="3"/>
  <c r="C257" i="3"/>
  <c r="C259" i="3"/>
  <c r="C260" i="3"/>
  <c r="C261" i="3"/>
  <c r="C262" i="3"/>
  <c r="C255" i="3"/>
  <c r="I251" i="3"/>
  <c r="H251" i="3"/>
  <c r="G251" i="3"/>
  <c r="F251" i="3"/>
  <c r="E251" i="3"/>
  <c r="C236" i="3"/>
  <c r="C237" i="3"/>
  <c r="C239" i="3"/>
  <c r="C240" i="3"/>
  <c r="C241" i="3"/>
  <c r="C242" i="3"/>
  <c r="C235" i="3"/>
  <c r="I231" i="3"/>
  <c r="H231" i="3"/>
  <c r="G231" i="3"/>
  <c r="F231" i="3"/>
  <c r="E231" i="3"/>
  <c r="E92" i="4"/>
  <c r="E91" i="4"/>
  <c r="D92" i="4"/>
  <c r="D91" i="4"/>
  <c r="B5" i="4"/>
  <c r="AL4" i="6"/>
  <c r="AF4" i="6"/>
  <c r="Z4" i="6"/>
  <c r="T4" i="6"/>
  <c r="N4" i="6"/>
  <c r="I122" i="3"/>
  <c r="H122" i="3"/>
  <c r="G122" i="3"/>
  <c r="F122" i="3"/>
  <c r="E122" i="3"/>
  <c r="F39" i="8"/>
  <c r="G39" i="8"/>
  <c r="H39" i="8"/>
  <c r="I39" i="8"/>
  <c r="J39" i="8"/>
  <c r="K39" i="8"/>
  <c r="L39" i="8"/>
  <c r="M39" i="8"/>
  <c r="N39" i="8"/>
  <c r="O39" i="8"/>
  <c r="P39" i="8"/>
  <c r="Q39" i="8"/>
  <c r="D37" i="4"/>
  <c r="I328" i="3"/>
  <c r="H328" i="3"/>
  <c r="G328" i="3"/>
  <c r="F328" i="3"/>
  <c r="E328" i="3"/>
  <c r="I336" i="3"/>
  <c r="H336" i="3"/>
  <c r="G336" i="3"/>
  <c r="F336" i="3"/>
  <c r="E336" i="3"/>
  <c r="I201" i="3"/>
  <c r="H201" i="3"/>
  <c r="G201" i="3"/>
  <c r="F201" i="3"/>
  <c r="E201" i="3"/>
  <c r="I169" i="3"/>
  <c r="H169" i="3"/>
  <c r="G169" i="3"/>
  <c r="F169" i="3"/>
  <c r="E169" i="3"/>
  <c r="C205" i="3"/>
  <c r="C206" i="3"/>
  <c r="C208" i="3"/>
  <c r="C209" i="3"/>
  <c r="C210" i="3"/>
  <c r="C211" i="3"/>
  <c r="C204" i="3"/>
  <c r="C173" i="3"/>
  <c r="C174" i="3"/>
  <c r="C176" i="3"/>
  <c r="C177" i="3"/>
  <c r="C178" i="3"/>
  <c r="C179" i="3"/>
  <c r="C172" i="3"/>
  <c r="F133" i="3"/>
  <c r="G133" i="3"/>
  <c r="H133" i="3"/>
  <c r="I133" i="3"/>
  <c r="E133" i="3"/>
  <c r="E307" i="3"/>
  <c r="F307" i="3"/>
  <c r="G307" i="3"/>
  <c r="H307" i="3"/>
  <c r="I307" i="3"/>
  <c r="H4" i="6"/>
  <c r="B4" i="6"/>
  <c r="E37" i="4"/>
  <c r="F37" i="4"/>
  <c r="G37" i="4"/>
  <c r="H37" i="4"/>
  <c r="M4" i="5"/>
  <c r="K4" i="5"/>
  <c r="I4" i="5"/>
  <c r="G4" i="5"/>
  <c r="E4" i="5"/>
  <c r="I404" i="3"/>
  <c r="H404" i="3"/>
  <c r="G404" i="3"/>
  <c r="F404" i="3"/>
  <c r="E404" i="3"/>
  <c r="I355" i="3"/>
  <c r="H355" i="3"/>
  <c r="G355" i="3"/>
  <c r="F355" i="3"/>
  <c r="E355" i="3"/>
  <c r="I107" i="3"/>
  <c r="H107" i="3"/>
  <c r="G107" i="3"/>
  <c r="F107" i="3"/>
  <c r="E107" i="3"/>
  <c r="I49" i="3"/>
  <c r="H49" i="3"/>
  <c r="G49" i="3"/>
  <c r="E49" i="3"/>
  <c r="J49" i="8"/>
  <c r="O49" i="8"/>
  <c r="K49" i="8"/>
  <c r="J6" i="6"/>
  <c r="C215" i="3"/>
  <c r="C165" i="3"/>
  <c r="G391" i="3"/>
  <c r="E225" i="3"/>
  <c r="E226" i="3" s="1"/>
  <c r="E223" i="3"/>
  <c r="E445" i="3"/>
  <c r="C31" i="10"/>
  <c r="D6" i="6"/>
  <c r="E6" i="6" s="1"/>
  <c r="H165" i="7"/>
  <c r="H162" i="7"/>
  <c r="H170" i="7"/>
  <c r="H185" i="7"/>
  <c r="H171" i="7"/>
  <c r="H178" i="7"/>
  <c r="O83" i="8"/>
  <c r="F83" i="8"/>
  <c r="C183" i="3"/>
  <c r="C267" i="3"/>
  <c r="F119" i="8"/>
  <c r="C287" i="3"/>
  <c r="H120" i="8"/>
  <c r="K127" i="8"/>
  <c r="O127" i="8"/>
  <c r="AN9" i="6"/>
  <c r="E451" i="3"/>
  <c r="Z16" i="6"/>
  <c r="Z17" i="6"/>
  <c r="Z18" i="6" s="1"/>
  <c r="Z19" i="6" s="1"/>
  <c r="H115" i="8"/>
  <c r="K83" i="8"/>
  <c r="H399" i="3"/>
  <c r="F25" i="10" s="1"/>
  <c r="I399" i="3"/>
  <c r="G25" i="10" s="1"/>
  <c r="H25" i="10"/>
  <c r="F164" i="7" l="1"/>
  <c r="G109" i="3"/>
  <c r="H109" i="3" s="1"/>
  <c r="I109" i="3" s="1"/>
  <c r="F166" i="3"/>
  <c r="F167" i="3" s="1"/>
  <c r="F248" i="3"/>
  <c r="F249" i="3" s="1"/>
  <c r="I120" i="8"/>
  <c r="G26" i="3"/>
  <c r="H26" i="3" s="1"/>
  <c r="I26" i="3" s="1"/>
  <c r="P9" i="6"/>
  <c r="E427" i="3" s="1"/>
  <c r="V9" i="6"/>
  <c r="E433" i="3" s="1"/>
  <c r="K120" i="8"/>
  <c r="J120" i="8"/>
  <c r="E167" i="3"/>
  <c r="E187" i="3" s="1"/>
  <c r="E188" i="3" s="1"/>
  <c r="G119" i="8"/>
  <c r="E184" i="7"/>
  <c r="D186" i="7"/>
  <c r="F159" i="7"/>
  <c r="X13" i="6"/>
  <c r="E34" i="10" s="1"/>
  <c r="D152" i="4"/>
  <c r="F297" i="3"/>
  <c r="Q83" i="8"/>
  <c r="I83" i="8"/>
  <c r="E193" i="3"/>
  <c r="E24" i="4"/>
  <c r="AP16" i="6"/>
  <c r="G37" i="10" s="1"/>
  <c r="H172" i="7"/>
  <c r="H177" i="7"/>
  <c r="F225" i="3"/>
  <c r="D51" i="4"/>
  <c r="H161" i="7"/>
  <c r="H164" i="7"/>
  <c r="H180" i="7"/>
  <c r="H176" i="7"/>
  <c r="E40" i="3"/>
  <c r="E41" i="3" s="1"/>
  <c r="E42" i="3" s="1"/>
  <c r="E233" i="3"/>
  <c r="D73" i="16" s="1"/>
  <c r="D77" i="16" s="1"/>
  <c r="H163" i="7"/>
  <c r="H181" i="7"/>
  <c r="H173" i="7"/>
  <c r="H159" i="7"/>
  <c r="H184" i="7"/>
  <c r="H186" i="7" s="1"/>
  <c r="H182" i="7"/>
  <c r="E178" i="7"/>
  <c r="H175" i="7"/>
  <c r="H174" i="7"/>
  <c r="H183" i="7" s="1"/>
  <c r="H187" i="7" s="1"/>
  <c r="H179" i="7"/>
  <c r="E69" i="3"/>
  <c r="F17" i="16"/>
  <c r="AL17" i="6"/>
  <c r="AL18" i="6" s="1"/>
  <c r="AL19" i="6" s="1"/>
  <c r="AL20" i="6" s="1"/>
  <c r="AM17" i="6"/>
  <c r="AO17" i="6" s="1"/>
  <c r="AP17" i="6" s="1"/>
  <c r="F18" i="16"/>
  <c r="D183" i="7"/>
  <c r="D187" i="7" s="1"/>
  <c r="L83" i="8"/>
  <c r="L84" i="8" s="1"/>
  <c r="C266" i="3"/>
  <c r="G83" i="8"/>
  <c r="G84" i="8" s="1"/>
  <c r="J83" i="8"/>
  <c r="J84" i="8" s="1"/>
  <c r="N15" i="6"/>
  <c r="N16" i="6" s="1"/>
  <c r="N17" i="6" s="1"/>
  <c r="O15" i="6"/>
  <c r="F182" i="7"/>
  <c r="E159" i="7"/>
  <c r="E172" i="7"/>
  <c r="H53" i="4"/>
  <c r="H106" i="4"/>
  <c r="H60" i="4"/>
  <c r="H91" i="4" s="1"/>
  <c r="F91" i="3"/>
  <c r="F93" i="3" s="1"/>
  <c r="E13" i="4" s="1"/>
  <c r="E151" i="4"/>
  <c r="H131" i="8"/>
  <c r="H19" i="8" s="1"/>
  <c r="G98" i="3"/>
  <c r="I174" i="7"/>
  <c r="E181" i="7"/>
  <c r="H17" i="16"/>
  <c r="E166" i="7"/>
  <c r="E160" i="7"/>
  <c r="E176" i="7"/>
  <c r="E165" i="7"/>
  <c r="E171" i="7"/>
  <c r="F186" i="3"/>
  <c r="G53" i="4"/>
  <c r="G106" i="4"/>
  <c r="G60" i="4"/>
  <c r="G91" i="4" s="1"/>
  <c r="F104" i="3"/>
  <c r="AB15" i="6"/>
  <c r="E163" i="7"/>
  <c r="E185" i="7"/>
  <c r="E174" i="7"/>
  <c r="E175" i="7"/>
  <c r="D49" i="4"/>
  <c r="E150" i="4"/>
  <c r="E177" i="7"/>
  <c r="H61" i="3"/>
  <c r="G49" i="4" s="1"/>
  <c r="N83" i="8"/>
  <c r="N84" i="8" s="1"/>
  <c r="E161" i="7"/>
  <c r="AM18" i="6"/>
  <c r="E180" i="7"/>
  <c r="G186" i="7"/>
  <c r="AG17" i="6"/>
  <c r="I18" i="6"/>
  <c r="M83" i="8"/>
  <c r="X24" i="14"/>
  <c r="X16" i="14"/>
  <c r="X15" i="14"/>
  <c r="X14" i="14"/>
  <c r="X21" i="14"/>
  <c r="X20" i="14"/>
  <c r="X12" i="14"/>
  <c r="X19" i="14"/>
  <c r="X10" i="14"/>
  <c r="X29" i="14"/>
  <c r="X26" i="14"/>
  <c r="X18" i="14"/>
  <c r="X25" i="14"/>
  <c r="X17" i="14"/>
  <c r="X9" i="14"/>
  <c r="X23" i="14"/>
  <c r="X22" i="14"/>
  <c r="X13" i="14"/>
  <c r="X28" i="14"/>
  <c r="X27" i="14"/>
  <c r="X11" i="14"/>
  <c r="D149" i="4"/>
  <c r="E173" i="7"/>
  <c r="AB9" i="6"/>
  <c r="E439" i="3" s="1"/>
  <c r="M84" i="8"/>
  <c r="M90" i="8" s="1"/>
  <c r="E169" i="7"/>
  <c r="G183" i="7"/>
  <c r="G187" i="7" s="1"/>
  <c r="R82" i="8"/>
  <c r="H17" i="3"/>
  <c r="I17" i="3" s="1"/>
  <c r="D146" i="4"/>
  <c r="E164" i="7"/>
  <c r="E162" i="7"/>
  <c r="E179" i="7"/>
  <c r="E182" i="7"/>
  <c r="F53" i="4"/>
  <c r="F106" i="4"/>
  <c r="F60" i="4"/>
  <c r="F91" i="4" s="1"/>
  <c r="E170" i="7"/>
  <c r="E12" i="16"/>
  <c r="G131" i="8"/>
  <c r="G19" i="8" s="1"/>
  <c r="F131" i="8"/>
  <c r="F19" i="8" s="1"/>
  <c r="Q131" i="8"/>
  <c r="Q19" i="8" s="1"/>
  <c r="I131" i="8"/>
  <c r="I19" i="8" s="1"/>
  <c r="E58" i="16"/>
  <c r="G57" i="3"/>
  <c r="F53" i="3"/>
  <c r="E53" i="16"/>
  <c r="F300" i="3"/>
  <c r="F301" i="3" s="1"/>
  <c r="F340" i="3"/>
  <c r="E22" i="4" s="1"/>
  <c r="M15" i="8"/>
  <c r="R15" i="8" s="1"/>
  <c r="D13" i="4" s="1"/>
  <c r="AM19" i="6"/>
  <c r="G295" i="3"/>
  <c r="G63" i="3"/>
  <c r="H63" i="3" s="1"/>
  <c r="I63" i="3" s="1"/>
  <c r="G236" i="3"/>
  <c r="H236" i="3" s="1"/>
  <c r="I236" i="3" s="1"/>
  <c r="E23" i="4"/>
  <c r="H119" i="8"/>
  <c r="D26" i="16"/>
  <c r="D30" i="16" s="1"/>
  <c r="D33" i="16" s="1"/>
  <c r="R122" i="8"/>
  <c r="G334" i="3"/>
  <c r="F373" i="3"/>
  <c r="AM20" i="6"/>
  <c r="V14" i="6"/>
  <c r="P13" i="6"/>
  <c r="E20" i="4"/>
  <c r="E18" i="16"/>
  <c r="F58" i="3"/>
  <c r="H118" i="8"/>
  <c r="I330" i="3"/>
  <c r="I332" i="3" s="1"/>
  <c r="H330" i="3"/>
  <c r="H332" i="3" s="1"/>
  <c r="G17" i="16"/>
  <c r="F95" i="3"/>
  <c r="F76" i="3"/>
  <c r="I19" i="6"/>
  <c r="G89" i="3"/>
  <c r="G74" i="3"/>
  <c r="H74" i="3" s="1"/>
  <c r="E50" i="4"/>
  <c r="D12" i="6"/>
  <c r="G55" i="3"/>
  <c r="W90" i="14" s="1"/>
  <c r="AG16" i="6"/>
  <c r="AG18" i="6"/>
  <c r="E17" i="16"/>
  <c r="I17" i="6"/>
  <c r="C14" i="10"/>
  <c r="I31" i="8"/>
  <c r="M31" i="8"/>
  <c r="Q31" i="8"/>
  <c r="L31" i="8"/>
  <c r="J31" i="8"/>
  <c r="N31" i="8"/>
  <c r="F31" i="8"/>
  <c r="P31" i="8"/>
  <c r="G31" i="8"/>
  <c r="K31" i="8"/>
  <c r="O31" i="8"/>
  <c r="H31" i="8"/>
  <c r="J23" i="8"/>
  <c r="P23" i="8"/>
  <c r="G23" i="8"/>
  <c r="I23" i="8"/>
  <c r="K23" i="8"/>
  <c r="H23" i="8"/>
  <c r="O23" i="8"/>
  <c r="Q23" i="8"/>
  <c r="L23" i="8"/>
  <c r="F23" i="8"/>
  <c r="N23" i="8"/>
  <c r="M23" i="8"/>
  <c r="F84" i="8"/>
  <c r="F86" i="8" s="1"/>
  <c r="R42" i="8"/>
  <c r="K84" i="8"/>
  <c r="K86" i="8" s="1"/>
  <c r="Q84" i="8"/>
  <c r="Q86" i="8" s="1"/>
  <c r="I84" i="8"/>
  <c r="I90" i="8" s="1"/>
  <c r="O84" i="8"/>
  <c r="O90" i="8" s="1"/>
  <c r="R26" i="8"/>
  <c r="D24" i="4" s="1"/>
  <c r="D95" i="4"/>
  <c r="R25" i="8"/>
  <c r="D23" i="4" s="1"/>
  <c r="H84" i="8"/>
  <c r="P83" i="8"/>
  <c r="P84" i="8" s="1"/>
  <c r="H52" i="3"/>
  <c r="I52" i="3" s="1"/>
  <c r="F49" i="4"/>
  <c r="G50" i="3"/>
  <c r="V90" i="14" s="1"/>
  <c r="G6" i="5"/>
  <c r="F393" i="3"/>
  <c r="D18" i="10" s="1"/>
  <c r="H296" i="3"/>
  <c r="G297" i="3"/>
  <c r="F59" i="16"/>
  <c r="H256" i="3"/>
  <c r="G72" i="3"/>
  <c r="H70" i="3"/>
  <c r="R14" i="8"/>
  <c r="D12" i="4" s="1"/>
  <c r="I49" i="8"/>
  <c r="E9" i="6"/>
  <c r="R22" i="8"/>
  <c r="D20" i="4" s="1"/>
  <c r="C286" i="3"/>
  <c r="C214" i="3"/>
  <c r="D9" i="6"/>
  <c r="E415" i="3" s="1"/>
  <c r="G326" i="3"/>
  <c r="D100" i="4"/>
  <c r="E73" i="3"/>
  <c r="E310" i="3" s="1"/>
  <c r="G202" i="3"/>
  <c r="F40" i="16" s="1"/>
  <c r="E195" i="3"/>
  <c r="E196" i="3" s="1"/>
  <c r="E127" i="3" s="1"/>
  <c r="E128" i="3" s="1"/>
  <c r="Q121" i="8"/>
  <c r="G186" i="3"/>
  <c r="G315" i="3"/>
  <c r="V91" i="14"/>
  <c r="J119" i="8"/>
  <c r="I119" i="8"/>
  <c r="M20" i="8"/>
  <c r="C182" i="3"/>
  <c r="E49" i="4"/>
  <c r="F72" i="3"/>
  <c r="G343" i="3"/>
  <c r="E39" i="16"/>
  <c r="E40" i="16"/>
  <c r="C38" i="10"/>
  <c r="G314" i="3"/>
  <c r="C246" i="3"/>
  <c r="D9" i="5"/>
  <c r="B47" i="14"/>
  <c r="B46" i="14" s="1"/>
  <c r="B45" i="14" s="1"/>
  <c r="B44" i="14" s="1"/>
  <c r="B43" i="14" s="1"/>
  <c r="B42" i="14" s="1"/>
  <c r="B41" i="14" s="1"/>
  <c r="B40" i="14" s="1"/>
  <c r="B39" i="14" s="1"/>
  <c r="B38" i="14" s="1"/>
  <c r="D45" i="4"/>
  <c r="H222" i="3"/>
  <c r="F223" i="3"/>
  <c r="E59" i="16"/>
  <c r="F375" i="3"/>
  <c r="F377" i="3" s="1"/>
  <c r="E86" i="3"/>
  <c r="I28" i="8" s="1"/>
  <c r="R28" i="8" s="1"/>
  <c r="D26" i="4" s="1"/>
  <c r="G345" i="3"/>
  <c r="I121" i="8"/>
  <c r="U15" i="6"/>
  <c r="U14" i="6"/>
  <c r="U16" i="6"/>
  <c r="O16" i="6"/>
  <c r="D76" i="4"/>
  <c r="H5" i="5"/>
  <c r="G392" i="3" s="1"/>
  <c r="E20" i="10" s="1"/>
  <c r="O13" i="6"/>
  <c r="AH9" i="6"/>
  <c r="AH16" i="6"/>
  <c r="D27" i="16"/>
  <c r="D31" i="16" s="1"/>
  <c r="D34" i="16" s="1"/>
  <c r="E21" i="4"/>
  <c r="R79" i="8"/>
  <c r="E301" i="3"/>
  <c r="H121" i="8"/>
  <c r="F121" i="8"/>
  <c r="O121" i="8"/>
  <c r="J121" i="8"/>
  <c r="G120" i="8"/>
  <c r="F120" i="8"/>
  <c r="E13" i="16"/>
  <c r="H192" i="3"/>
  <c r="AL21" i="6"/>
  <c r="AM21" i="6"/>
  <c r="D81" i="4"/>
  <c r="C264" i="3"/>
  <c r="C162" i="3"/>
  <c r="C244" i="3"/>
  <c r="C212" i="3"/>
  <c r="C180" i="3"/>
  <c r="C284" i="3"/>
  <c r="C181" i="3"/>
  <c r="C245" i="3"/>
  <c r="C163" i="3"/>
  <c r="C265" i="3"/>
  <c r="C285" i="3"/>
  <c r="C213" i="3"/>
  <c r="AF19" i="6"/>
  <c r="AG19" i="6"/>
  <c r="Z20" i="6"/>
  <c r="T19" i="6"/>
  <c r="U19" i="6"/>
  <c r="G206" i="3"/>
  <c r="H206" i="3" s="1"/>
  <c r="I206" i="3" s="1"/>
  <c r="F216" i="3"/>
  <c r="F217" i="3" s="1"/>
  <c r="B58" i="14"/>
  <c r="F288" i="3"/>
  <c r="I169" i="7"/>
  <c r="I176" i="7"/>
  <c r="H21" i="6"/>
  <c r="I20" i="6"/>
  <c r="F7" i="5"/>
  <c r="F23" i="16"/>
  <c r="H170" i="3"/>
  <c r="F22" i="16"/>
  <c r="E13" i="10"/>
  <c r="H391" i="3"/>
  <c r="J12" i="6"/>
  <c r="J9" i="6"/>
  <c r="B22" i="6"/>
  <c r="D82" i="16"/>
  <c r="D87" i="16" s="1"/>
  <c r="I155" i="3"/>
  <c r="H18" i="16" s="1"/>
  <c r="G18" i="16"/>
  <c r="H134" i="3"/>
  <c r="F12" i="16"/>
  <c r="G191" i="3"/>
  <c r="G195" i="3" s="1"/>
  <c r="F13" i="16"/>
  <c r="G400" i="3"/>
  <c r="G401" i="3"/>
  <c r="D27" i="10"/>
  <c r="R63" i="8"/>
  <c r="H232" i="3"/>
  <c r="G62" i="3"/>
  <c r="E10" i="4"/>
  <c r="I275" i="3"/>
  <c r="E22" i="16"/>
  <c r="F191" i="3"/>
  <c r="F195" i="3" s="1"/>
  <c r="E23" i="16"/>
  <c r="G387" i="3"/>
  <c r="E11" i="10" s="1"/>
  <c r="C17" i="10"/>
  <c r="C22" i="10" s="1"/>
  <c r="E396" i="3"/>
  <c r="G386" i="3"/>
  <c r="D10" i="10"/>
  <c r="D52" i="10" s="1"/>
  <c r="D12" i="10"/>
  <c r="G390" i="3"/>
  <c r="G255" i="3"/>
  <c r="F268" i="3"/>
  <c r="F269" i="3" s="1"/>
  <c r="G235" i="3"/>
  <c r="E52" i="16"/>
  <c r="F148" i="3"/>
  <c r="F149" i="3" s="1"/>
  <c r="G108" i="3"/>
  <c r="F184" i="3"/>
  <c r="F185" i="3" s="1"/>
  <c r="R87" i="8"/>
  <c r="G316" i="3"/>
  <c r="G322" i="3"/>
  <c r="G374" i="3"/>
  <c r="G308" i="3"/>
  <c r="G337" i="3"/>
  <c r="G366" i="3"/>
  <c r="G351" i="3"/>
  <c r="G339" i="3"/>
  <c r="F372" i="3"/>
  <c r="G381" i="3"/>
  <c r="G349" i="3"/>
  <c r="D167" i="7"/>
  <c r="E8" i="5"/>
  <c r="E9" i="5" s="1"/>
  <c r="P29" i="8"/>
  <c r="R29" i="8" s="1"/>
  <c r="G167" i="7"/>
  <c r="E217" i="3"/>
  <c r="E218" i="3" s="1"/>
  <c r="G121" i="8"/>
  <c r="G367" i="3"/>
  <c r="E186" i="7" l="1"/>
  <c r="E44" i="3"/>
  <c r="E45" i="3" s="1"/>
  <c r="E56" i="3" s="1"/>
  <c r="E273" i="3" s="1"/>
  <c r="G184" i="3"/>
  <c r="G185" i="3" s="1"/>
  <c r="O14" i="6"/>
  <c r="H57" i="3"/>
  <c r="I57" i="3" s="1"/>
  <c r="W89" i="14"/>
  <c r="W91" i="14" s="1"/>
  <c r="AA19" i="6"/>
  <c r="AA20" i="6"/>
  <c r="AA16" i="6"/>
  <c r="E110" i="4"/>
  <c r="O17" i="6"/>
  <c r="U18" i="6"/>
  <c r="U17" i="6"/>
  <c r="AA17" i="6"/>
  <c r="AA15" i="6"/>
  <c r="AC15" i="6" s="1"/>
  <c r="AD15" i="6" s="1"/>
  <c r="F35" i="10" s="1"/>
  <c r="AA18" i="6"/>
  <c r="G389" i="3"/>
  <c r="E17" i="10" s="1"/>
  <c r="F32" i="3"/>
  <c r="F73" i="3" s="1"/>
  <c r="F218" i="3"/>
  <c r="E26" i="16"/>
  <c r="F180" i="7"/>
  <c r="F173" i="7"/>
  <c r="F170" i="7"/>
  <c r="F169" i="7"/>
  <c r="F166" i="7"/>
  <c r="J35" i="8"/>
  <c r="E130" i="3"/>
  <c r="E303" i="3" s="1"/>
  <c r="AI16" i="6"/>
  <c r="AJ16" i="6" s="1"/>
  <c r="E198" i="3"/>
  <c r="E199" i="3" s="1"/>
  <c r="F151" i="4"/>
  <c r="K90" i="8"/>
  <c r="F226" i="3"/>
  <c r="E82" i="16" s="1"/>
  <c r="E87" i="16" s="1"/>
  <c r="G375" i="3"/>
  <c r="G377" i="3" s="1"/>
  <c r="E253" i="3"/>
  <c r="K116" i="8" s="1"/>
  <c r="F179" i="7"/>
  <c r="F177" i="7"/>
  <c r="W14" i="6"/>
  <c r="X14" i="6" s="1"/>
  <c r="V15" i="6" s="1"/>
  <c r="W15" i="6" s="1"/>
  <c r="X15" i="6" s="1"/>
  <c r="I115" i="8"/>
  <c r="F176" i="7"/>
  <c r="F175" i="7"/>
  <c r="M86" i="8"/>
  <c r="G76" i="3"/>
  <c r="I184" i="7"/>
  <c r="F185" i="7"/>
  <c r="F178" i="7"/>
  <c r="R83" i="8"/>
  <c r="L90" i="8"/>
  <c r="L86" i="8"/>
  <c r="G90" i="8"/>
  <c r="G86" i="8"/>
  <c r="J86" i="8"/>
  <c r="J90" i="8"/>
  <c r="H387" i="3"/>
  <c r="F11" i="10" s="1"/>
  <c r="E183" i="7"/>
  <c r="E187" i="7" s="1"/>
  <c r="I86" i="8"/>
  <c r="G91" i="3"/>
  <c r="G93" i="3" s="1"/>
  <c r="H55" i="3"/>
  <c r="F150" i="4"/>
  <c r="I180" i="7"/>
  <c r="I177" i="7"/>
  <c r="I185" i="7"/>
  <c r="I171" i="7"/>
  <c r="I181" i="7"/>
  <c r="I175" i="7"/>
  <c r="I178" i="7"/>
  <c r="I182" i="7"/>
  <c r="I179" i="7"/>
  <c r="I173" i="7"/>
  <c r="I172" i="7"/>
  <c r="I170" i="7"/>
  <c r="F174" i="7"/>
  <c r="I166" i="7"/>
  <c r="F181" i="7"/>
  <c r="F172" i="7"/>
  <c r="F171" i="7"/>
  <c r="F184" i="7"/>
  <c r="Q13" i="6"/>
  <c r="R13" i="6" s="1"/>
  <c r="P14" i="6" s="1"/>
  <c r="Q14" i="6" s="1"/>
  <c r="R14" i="6" s="1"/>
  <c r="F33" i="10" s="1"/>
  <c r="F30" i="3"/>
  <c r="I61" i="3"/>
  <c r="G150" i="4"/>
  <c r="G100" i="3"/>
  <c r="G102" i="3" s="1"/>
  <c r="G104" i="3"/>
  <c r="H98" i="3"/>
  <c r="I186" i="7"/>
  <c r="E44" i="16"/>
  <c r="E47" i="16" s="1"/>
  <c r="X32" i="14"/>
  <c r="E43" i="16"/>
  <c r="E46" i="16" s="1"/>
  <c r="N18" i="6"/>
  <c r="O18" i="6"/>
  <c r="H50" i="3"/>
  <c r="E83" i="16"/>
  <c r="E88" i="16" s="1"/>
  <c r="F123" i="8"/>
  <c r="F18" i="8" s="1"/>
  <c r="O86" i="8"/>
  <c r="F90" i="8"/>
  <c r="F91" i="8" s="1"/>
  <c r="H123" i="8"/>
  <c r="H18" i="8" s="1"/>
  <c r="D67" i="4"/>
  <c r="D113" i="4"/>
  <c r="D80" i="4"/>
  <c r="D66" i="4"/>
  <c r="D74" i="4"/>
  <c r="D78" i="4"/>
  <c r="E67" i="4"/>
  <c r="E113" i="4"/>
  <c r="D77" i="4"/>
  <c r="G58" i="3"/>
  <c r="G340" i="3"/>
  <c r="F22" i="4" s="1"/>
  <c r="F53" i="16"/>
  <c r="C23" i="10"/>
  <c r="C5" i="18" s="1"/>
  <c r="H202" i="3"/>
  <c r="G40" i="16" s="1"/>
  <c r="R119" i="8"/>
  <c r="G299" i="3"/>
  <c r="H295" i="3"/>
  <c r="H89" i="3"/>
  <c r="F50" i="4"/>
  <c r="G95" i="3"/>
  <c r="D40" i="6"/>
  <c r="C13" i="6"/>
  <c r="F8" i="5"/>
  <c r="F395" i="3" s="1"/>
  <c r="D21" i="10" s="1"/>
  <c r="J5" i="5"/>
  <c r="H392" i="3" s="1"/>
  <c r="G53" i="3"/>
  <c r="G193" i="3"/>
  <c r="C18" i="6"/>
  <c r="F193" i="3"/>
  <c r="L35" i="8"/>
  <c r="P35" i="8"/>
  <c r="K35" i="8"/>
  <c r="Q35" i="8"/>
  <c r="F35" i="8"/>
  <c r="H35" i="8"/>
  <c r="M35" i="8"/>
  <c r="G35" i="8"/>
  <c r="N35" i="8"/>
  <c r="E27" i="16"/>
  <c r="G34" i="8"/>
  <c r="G41" i="8" s="1"/>
  <c r="K34" i="8"/>
  <c r="K41" i="8" s="1"/>
  <c r="O34" i="8"/>
  <c r="O41" i="8" s="1"/>
  <c r="H34" i="8"/>
  <c r="H41" i="8" s="1"/>
  <c r="L34" i="8"/>
  <c r="L41" i="8" s="1"/>
  <c r="P34" i="8"/>
  <c r="P41" i="8" s="1"/>
  <c r="I34" i="8"/>
  <c r="I41" i="8" s="1"/>
  <c r="M34" i="8"/>
  <c r="M41" i="8" s="1"/>
  <c r="Q34" i="8"/>
  <c r="Q41" i="8" s="1"/>
  <c r="J34" i="8"/>
  <c r="J41" i="8" s="1"/>
  <c r="N34" i="8"/>
  <c r="N41" i="8" s="1"/>
  <c r="F34" i="8"/>
  <c r="H6" i="5"/>
  <c r="I6" i="5" s="1"/>
  <c r="C21" i="6"/>
  <c r="I35" i="8"/>
  <c r="O35" i="8"/>
  <c r="Q90" i="8"/>
  <c r="P90" i="8"/>
  <c r="P86" i="8"/>
  <c r="R84" i="8"/>
  <c r="H86" i="8"/>
  <c r="H90" i="8"/>
  <c r="R31" i="8"/>
  <c r="D28" i="4" s="1"/>
  <c r="N90" i="8"/>
  <c r="N86" i="8"/>
  <c r="Q49" i="8"/>
  <c r="R13" i="8"/>
  <c r="D10" i="4" s="1"/>
  <c r="C14" i="6"/>
  <c r="C17" i="6"/>
  <c r="C16" i="6"/>
  <c r="I222" i="3"/>
  <c r="G221" i="3"/>
  <c r="F39" i="16"/>
  <c r="D81" i="16"/>
  <c r="D84" i="16" s="1"/>
  <c r="C19" i="6"/>
  <c r="C15" i="6"/>
  <c r="M12" i="8"/>
  <c r="I70" i="3"/>
  <c r="I72" i="3" s="1"/>
  <c r="H72" i="3"/>
  <c r="I296" i="3"/>
  <c r="I297" i="3" s="1"/>
  <c r="H297" i="3"/>
  <c r="C12" i="6"/>
  <c r="E12" i="6" s="1"/>
  <c r="F12" i="6" s="1"/>
  <c r="D13" i="6" s="1"/>
  <c r="C20" i="6"/>
  <c r="F23" i="4"/>
  <c r="H333" i="3"/>
  <c r="G59" i="16"/>
  <c r="I256" i="3"/>
  <c r="H59" i="16" s="1"/>
  <c r="G36" i="10"/>
  <c r="AH17" i="6"/>
  <c r="AI17" i="6" s="1"/>
  <c r="AJ17" i="6" s="1"/>
  <c r="H36" i="10" s="1"/>
  <c r="H37" i="10"/>
  <c r="AN18" i="6"/>
  <c r="AO18" i="6" s="1"/>
  <c r="AP18" i="6" s="1"/>
  <c r="AN19" i="6" s="1"/>
  <c r="AO19" i="6" s="1"/>
  <c r="AP19" i="6" s="1"/>
  <c r="G148" i="3"/>
  <c r="G149" i="3" s="1"/>
  <c r="D52" i="4"/>
  <c r="H322" i="3"/>
  <c r="F20" i="4"/>
  <c r="E12" i="10"/>
  <c r="H390" i="3"/>
  <c r="AM22" i="6"/>
  <c r="AL22" i="6"/>
  <c r="H367" i="3"/>
  <c r="I167" i="7"/>
  <c r="H167" i="7"/>
  <c r="H188" i="7" s="1"/>
  <c r="G188" i="7"/>
  <c r="F21" i="4"/>
  <c r="G372" i="3"/>
  <c r="E27" i="4"/>
  <c r="H337" i="3"/>
  <c r="H316" i="3"/>
  <c r="H255" i="3"/>
  <c r="F58" i="16"/>
  <c r="G268" i="3"/>
  <c r="G269" i="3" s="1"/>
  <c r="E27" i="10"/>
  <c r="H401" i="3"/>
  <c r="F26" i="16"/>
  <c r="B23" i="6"/>
  <c r="C22" i="6"/>
  <c r="I170" i="3"/>
  <c r="G23" i="16"/>
  <c r="G22" i="16"/>
  <c r="I387" i="3"/>
  <c r="G11" i="10" s="1"/>
  <c r="I21" i="6"/>
  <c r="H22" i="6"/>
  <c r="H314" i="3"/>
  <c r="D188" i="7"/>
  <c r="F167" i="7"/>
  <c r="E167" i="7"/>
  <c r="H366" i="3"/>
  <c r="H315" i="3"/>
  <c r="I12" i="6"/>
  <c r="K12" i="6" s="1"/>
  <c r="I14" i="6"/>
  <c r="E421" i="3"/>
  <c r="I16" i="6"/>
  <c r="I15" i="6"/>
  <c r="I13" i="6"/>
  <c r="F394" i="3"/>
  <c r="G7" i="5"/>
  <c r="J115" i="8"/>
  <c r="T20" i="6"/>
  <c r="U20" i="6"/>
  <c r="AF20" i="6"/>
  <c r="AG20" i="6"/>
  <c r="H343" i="3"/>
  <c r="H381" i="3"/>
  <c r="I381" i="3" s="1"/>
  <c r="F187" i="3"/>
  <c r="G53" i="16"/>
  <c r="I232" i="3"/>
  <c r="F13" i="10"/>
  <c r="I391" i="3"/>
  <c r="G13" i="10" s="1"/>
  <c r="H13" i="10" s="1"/>
  <c r="I74" i="3"/>
  <c r="I76" i="3" s="1"/>
  <c r="H76" i="3"/>
  <c r="H339" i="3"/>
  <c r="H308" i="3"/>
  <c r="H326" i="3"/>
  <c r="I134" i="3"/>
  <c r="G12" i="16"/>
  <c r="H186" i="3"/>
  <c r="H191" i="3"/>
  <c r="H195" i="3" s="1"/>
  <c r="G13" i="16"/>
  <c r="H349" i="3"/>
  <c r="F24" i="4"/>
  <c r="H351" i="3"/>
  <c r="H374" i="3"/>
  <c r="H345" i="3"/>
  <c r="E129" i="3"/>
  <c r="E228" i="3" s="1"/>
  <c r="G288" i="3"/>
  <c r="H108" i="3"/>
  <c r="G166" i="3"/>
  <c r="G167" i="3" s="1"/>
  <c r="G216" i="3"/>
  <c r="G217" i="3" s="1"/>
  <c r="H235" i="3"/>
  <c r="G248" i="3"/>
  <c r="G249" i="3" s="1"/>
  <c r="G373" i="3"/>
  <c r="R121" i="8"/>
  <c r="E10" i="10"/>
  <c r="E52" i="10" s="1"/>
  <c r="H386" i="3"/>
  <c r="H62" i="3"/>
  <c r="F10" i="4"/>
  <c r="F52" i="16"/>
  <c r="H400" i="3"/>
  <c r="E26" i="10"/>
  <c r="E53" i="10" s="1"/>
  <c r="F27" i="16"/>
  <c r="C51" i="10"/>
  <c r="Z21" i="6"/>
  <c r="AA21" i="6"/>
  <c r="I192" i="3"/>
  <c r="E46" i="3" l="1"/>
  <c r="D153" i="4"/>
  <c r="E47" i="3"/>
  <c r="H58" i="3"/>
  <c r="AB16" i="6"/>
  <c r="AC16" i="6" s="1"/>
  <c r="AD16" i="6" s="1"/>
  <c r="AB17" i="6" s="1"/>
  <c r="AC17" i="6" s="1"/>
  <c r="AD17" i="6" s="1"/>
  <c r="F110" i="4"/>
  <c r="F33" i="3"/>
  <c r="J116" i="8"/>
  <c r="J123" i="8" s="1"/>
  <c r="J18" i="8" s="1"/>
  <c r="F186" i="7"/>
  <c r="F183" i="7"/>
  <c r="E197" i="3"/>
  <c r="L128" i="8" s="1"/>
  <c r="E304" i="3"/>
  <c r="E302" i="3"/>
  <c r="E33" i="10"/>
  <c r="R115" i="8"/>
  <c r="I123" i="8"/>
  <c r="I18" i="8" s="1"/>
  <c r="I374" i="3"/>
  <c r="F13" i="4"/>
  <c r="F113" i="4" s="1"/>
  <c r="I183" i="7"/>
  <c r="I187" i="7" s="1"/>
  <c r="I202" i="3"/>
  <c r="H40" i="16" s="1"/>
  <c r="G393" i="3"/>
  <c r="J6" i="5" s="1"/>
  <c r="F34" i="10"/>
  <c r="G91" i="8"/>
  <c r="R12" i="8"/>
  <c r="D11" i="4" s="1"/>
  <c r="M16" i="8"/>
  <c r="I55" i="3"/>
  <c r="I58" i="3" s="1"/>
  <c r="I50" i="3"/>
  <c r="E188" i="7"/>
  <c r="G39" i="16"/>
  <c r="P15" i="6"/>
  <c r="Q15" i="6" s="1"/>
  <c r="R15" i="6" s="1"/>
  <c r="P16" i="6" s="1"/>
  <c r="Q16" i="6" s="1"/>
  <c r="R16" i="6" s="1"/>
  <c r="H91" i="8"/>
  <c r="I91" i="8" s="1"/>
  <c r="J91" i="8" s="1"/>
  <c r="K91" i="8" s="1"/>
  <c r="L91" i="8" s="1"/>
  <c r="M91" i="8" s="1"/>
  <c r="N91" i="8" s="1"/>
  <c r="O91" i="8" s="1"/>
  <c r="P91" i="8" s="1"/>
  <c r="Q91" i="8" s="1"/>
  <c r="G151" i="4"/>
  <c r="G26" i="16"/>
  <c r="I98" i="3"/>
  <c r="H104" i="3"/>
  <c r="H100" i="3"/>
  <c r="H102" i="3" s="1"/>
  <c r="N19" i="6"/>
  <c r="O19" i="6"/>
  <c r="H150" i="4"/>
  <c r="H49" i="4"/>
  <c r="H53" i="3"/>
  <c r="D127" i="4"/>
  <c r="D122" i="4"/>
  <c r="D141" i="4"/>
  <c r="D124" i="4"/>
  <c r="D112" i="4"/>
  <c r="D123" i="4"/>
  <c r="D120" i="4"/>
  <c r="D126" i="4"/>
  <c r="R90" i="8"/>
  <c r="O36" i="8"/>
  <c r="R86" i="8"/>
  <c r="K36" i="8"/>
  <c r="J36" i="8"/>
  <c r="D86" i="16"/>
  <c r="D89" i="16" s="1"/>
  <c r="D110" i="4"/>
  <c r="D82" i="4"/>
  <c r="D128" i="4"/>
  <c r="H299" i="3"/>
  <c r="I295" i="3"/>
  <c r="D31" i="10"/>
  <c r="F9" i="5"/>
  <c r="I333" i="3"/>
  <c r="I334" i="3" s="1"/>
  <c r="H21" i="4" s="1"/>
  <c r="G225" i="3"/>
  <c r="G223" i="3"/>
  <c r="G300" i="3"/>
  <c r="H193" i="3"/>
  <c r="G8" i="5"/>
  <c r="H8" i="5" s="1"/>
  <c r="G395" i="3" s="1"/>
  <c r="E21" i="10" s="1"/>
  <c r="N36" i="8"/>
  <c r="H221" i="3"/>
  <c r="H334" i="3"/>
  <c r="G21" i="4" s="1"/>
  <c r="I339" i="3"/>
  <c r="H373" i="3"/>
  <c r="I373" i="3" s="1"/>
  <c r="I326" i="3"/>
  <c r="H340" i="3"/>
  <c r="G22" i="4" s="1"/>
  <c r="P36" i="8"/>
  <c r="I89" i="3"/>
  <c r="G50" i="4"/>
  <c r="H95" i="3"/>
  <c r="H91" i="3"/>
  <c r="H93" i="3" s="1"/>
  <c r="H36" i="8"/>
  <c r="I36" i="8"/>
  <c r="M36" i="8"/>
  <c r="R35" i="8"/>
  <c r="D32" i="4" s="1"/>
  <c r="G36" i="8"/>
  <c r="L36" i="8"/>
  <c r="F41" i="8"/>
  <c r="F36" i="8"/>
  <c r="Q36" i="8"/>
  <c r="I315" i="3"/>
  <c r="AH18" i="6"/>
  <c r="AI18" i="6" s="1"/>
  <c r="AJ18" i="6" s="1"/>
  <c r="AH19" i="6" s="1"/>
  <c r="AI19" i="6" s="1"/>
  <c r="AJ19" i="6" s="1"/>
  <c r="D64" i="4"/>
  <c r="G187" i="3"/>
  <c r="I367" i="3"/>
  <c r="V16" i="6"/>
  <c r="W16" i="6" s="1"/>
  <c r="X16" i="6" s="1"/>
  <c r="G34" i="10"/>
  <c r="AN20" i="6"/>
  <c r="AO20" i="6" s="1"/>
  <c r="AP20" i="6" s="1"/>
  <c r="F27" i="10"/>
  <c r="I401" i="3"/>
  <c r="G27" i="10" s="1"/>
  <c r="AA22" i="6"/>
  <c r="Z22" i="6"/>
  <c r="I62" i="3"/>
  <c r="H10" i="4" s="1"/>
  <c r="G10" i="4"/>
  <c r="I345" i="3"/>
  <c r="G27" i="16"/>
  <c r="H13" i="16"/>
  <c r="H12" i="16"/>
  <c r="I191" i="3"/>
  <c r="I195" i="3" s="1"/>
  <c r="I186" i="3"/>
  <c r="H11" i="10"/>
  <c r="H22" i="16"/>
  <c r="H23" i="16"/>
  <c r="I316" i="3"/>
  <c r="R34" i="8"/>
  <c r="D31" i="4" s="1"/>
  <c r="D131" i="4" s="1"/>
  <c r="I351" i="3"/>
  <c r="I308" i="3"/>
  <c r="H53" i="16"/>
  <c r="AF21" i="6"/>
  <c r="AG21" i="6"/>
  <c r="I400" i="3"/>
  <c r="F26" i="10"/>
  <c r="F10" i="10"/>
  <c r="F52" i="10" s="1"/>
  <c r="I386" i="3"/>
  <c r="G10" i="10" s="1"/>
  <c r="H216" i="3"/>
  <c r="H217" i="3" s="1"/>
  <c r="I108" i="3"/>
  <c r="H166" i="3"/>
  <c r="H167" i="3" s="1"/>
  <c r="H148" i="3"/>
  <c r="H149" i="3" s="1"/>
  <c r="H184" i="3"/>
  <c r="H185" i="3" s="1"/>
  <c r="H288" i="3"/>
  <c r="G23" i="4"/>
  <c r="I343" i="3"/>
  <c r="T21" i="6"/>
  <c r="U21" i="6"/>
  <c r="B24" i="6"/>
  <c r="C23" i="6"/>
  <c r="G58" i="16"/>
  <c r="I255" i="3"/>
  <c r="H268" i="3"/>
  <c r="H269" i="3" s="1"/>
  <c r="H372" i="3"/>
  <c r="F27" i="4"/>
  <c r="E227" i="3"/>
  <c r="E229" i="3"/>
  <c r="D19" i="10"/>
  <c r="H7" i="5"/>
  <c r="I314" i="3"/>
  <c r="I337" i="3"/>
  <c r="AM23" i="6"/>
  <c r="AL23" i="6"/>
  <c r="I322" i="3"/>
  <c r="G20" i="4"/>
  <c r="J128" i="8"/>
  <c r="E13" i="6"/>
  <c r="R116" i="8"/>
  <c r="H248" i="3"/>
  <c r="H249" i="3" s="1"/>
  <c r="I235" i="3"/>
  <c r="I349" i="3"/>
  <c r="G24" i="4"/>
  <c r="F20" i="10"/>
  <c r="L5" i="5"/>
  <c r="G52" i="16"/>
  <c r="L12" i="6"/>
  <c r="E40" i="6"/>
  <c r="I366" i="3"/>
  <c r="I22" i="6"/>
  <c r="H23" i="6"/>
  <c r="I188" i="7"/>
  <c r="I390" i="3"/>
  <c r="G12" i="10" s="1"/>
  <c r="H12" i="10" s="1"/>
  <c r="F12" i="10"/>
  <c r="H375" i="3"/>
  <c r="O128" i="8" l="1"/>
  <c r="M128" i="8"/>
  <c r="G35" i="10"/>
  <c r="F310" i="3"/>
  <c r="N128" i="8"/>
  <c r="K128" i="8"/>
  <c r="F187" i="7"/>
  <c r="F188" i="7" s="1"/>
  <c r="M127" i="8"/>
  <c r="N127" i="8"/>
  <c r="L127" i="8"/>
  <c r="G13" i="4"/>
  <c r="G113" i="4" s="1"/>
  <c r="I8" i="5"/>
  <c r="J8" i="5" s="1"/>
  <c r="H395" i="3" s="1"/>
  <c r="F21" i="10" s="1"/>
  <c r="G33" i="10"/>
  <c r="G16" i="3"/>
  <c r="G32" i="3" s="1"/>
  <c r="V19" i="14"/>
  <c r="V22" i="14"/>
  <c r="V25" i="14"/>
  <c r="V11" i="14"/>
  <c r="V26" i="14"/>
  <c r="V15" i="14"/>
  <c r="V29" i="14"/>
  <c r="V17" i="14"/>
  <c r="V21" i="14"/>
  <c r="V23" i="14"/>
  <c r="V24" i="14"/>
  <c r="V9" i="14"/>
  <c r="V28" i="14"/>
  <c r="V27" i="14"/>
  <c r="V13" i="14"/>
  <c r="V14" i="14"/>
  <c r="V16" i="14"/>
  <c r="V10" i="14"/>
  <c r="V20" i="14"/>
  <c r="V12" i="14"/>
  <c r="V18" i="14"/>
  <c r="D147" i="4"/>
  <c r="D46" i="4"/>
  <c r="V86" i="14"/>
  <c r="M27" i="8"/>
  <c r="D65" i="4"/>
  <c r="D111" i="4"/>
  <c r="H151" i="4"/>
  <c r="I221" i="3"/>
  <c r="I225" i="3" s="1"/>
  <c r="H39" i="16"/>
  <c r="E18" i="10"/>
  <c r="H20" i="4"/>
  <c r="I53" i="3"/>
  <c r="N20" i="6"/>
  <c r="O20" i="6"/>
  <c r="I100" i="3"/>
  <c r="I102" i="3" s="1"/>
  <c r="I104" i="3"/>
  <c r="D64" i="16"/>
  <c r="E290" i="3"/>
  <c r="D63" i="16"/>
  <c r="E289" i="3"/>
  <c r="E291" i="3" s="1"/>
  <c r="R91" i="8"/>
  <c r="G110" i="4"/>
  <c r="H110" i="4"/>
  <c r="D86" i="4"/>
  <c r="D132" i="4"/>
  <c r="D133" i="4" s="1"/>
  <c r="I340" i="3"/>
  <c r="H22" i="4" s="1"/>
  <c r="I299" i="3"/>
  <c r="G9" i="5"/>
  <c r="E31" i="4" s="1"/>
  <c r="H225" i="3"/>
  <c r="H223" i="3"/>
  <c r="H300" i="3"/>
  <c r="F83" i="16"/>
  <c r="F88" i="16" s="1"/>
  <c r="G301" i="3"/>
  <c r="H50" i="4"/>
  <c r="I95" i="3"/>
  <c r="I91" i="3"/>
  <c r="I93" i="3" s="1"/>
  <c r="I248" i="3"/>
  <c r="I249" i="3" s="1"/>
  <c r="I193" i="3"/>
  <c r="G226" i="3"/>
  <c r="H34" i="10"/>
  <c r="V17" i="6"/>
  <c r="W17" i="6" s="1"/>
  <c r="X17" i="6" s="1"/>
  <c r="V18" i="6" s="1"/>
  <c r="W18" i="6" s="1"/>
  <c r="X18" i="6" s="1"/>
  <c r="V19" i="6" s="1"/>
  <c r="W19" i="6" s="1"/>
  <c r="X19" i="6" s="1"/>
  <c r="H187" i="3"/>
  <c r="H26" i="16"/>
  <c r="AH20" i="6"/>
  <c r="AI20" i="6" s="1"/>
  <c r="AJ20" i="6" s="1"/>
  <c r="AN21" i="6"/>
  <c r="AO21" i="6" s="1"/>
  <c r="AP21" i="6" s="1"/>
  <c r="H33" i="10"/>
  <c r="P17" i="6"/>
  <c r="Q17" i="6" s="1"/>
  <c r="R17" i="6" s="1"/>
  <c r="H35" i="10"/>
  <c r="AB18" i="6"/>
  <c r="AC18" i="6" s="1"/>
  <c r="AD18" i="6" s="1"/>
  <c r="H24" i="6"/>
  <c r="I23" i="6"/>
  <c r="G394" i="3"/>
  <c r="I7" i="5"/>
  <c r="H9" i="5"/>
  <c r="T22" i="6"/>
  <c r="U22" i="6"/>
  <c r="AA23" i="6"/>
  <c r="Z23" i="6"/>
  <c r="H58" i="16"/>
  <c r="I268" i="3"/>
  <c r="I269" i="3" s="1"/>
  <c r="G26" i="10"/>
  <c r="AG22" i="6"/>
  <c r="AF22" i="6"/>
  <c r="B25" i="6"/>
  <c r="C24" i="6"/>
  <c r="H23" i="4"/>
  <c r="I216" i="3"/>
  <c r="I217" i="3" s="1"/>
  <c r="I166" i="3"/>
  <c r="I167" i="3" s="1"/>
  <c r="I184" i="3"/>
  <c r="I185" i="3" s="1"/>
  <c r="I148" i="3"/>
  <c r="I149" i="3" s="1"/>
  <c r="I288" i="3"/>
  <c r="D33" i="4"/>
  <c r="D40" i="4"/>
  <c r="D140" i="4" s="1"/>
  <c r="D85" i="4"/>
  <c r="H27" i="16"/>
  <c r="I375" i="3"/>
  <c r="I377" i="3" s="1"/>
  <c r="H377" i="3"/>
  <c r="D32" i="10"/>
  <c r="D38" i="10" s="1"/>
  <c r="J13" i="6"/>
  <c r="F53" i="10"/>
  <c r="H24" i="4"/>
  <c r="J129" i="8"/>
  <c r="J131" i="8" s="1"/>
  <c r="O129" i="8"/>
  <c r="M129" i="8"/>
  <c r="P129" i="8"/>
  <c r="L129" i="8"/>
  <c r="K129" i="8"/>
  <c r="N129" i="8"/>
  <c r="I372" i="3"/>
  <c r="H27" i="4" s="1"/>
  <c r="G27" i="4"/>
  <c r="H10" i="10"/>
  <c r="H52" i="10" s="1"/>
  <c r="G52" i="10"/>
  <c r="K6" i="5"/>
  <c r="H393" i="3"/>
  <c r="R41" i="8"/>
  <c r="E402" i="3"/>
  <c r="Q43" i="8"/>
  <c r="R43" i="8" s="1"/>
  <c r="I392" i="3"/>
  <c r="F13" i="6"/>
  <c r="AL24" i="6"/>
  <c r="AM24" i="6"/>
  <c r="H52" i="16"/>
  <c r="R36" i="8"/>
  <c r="G73" i="3" l="1"/>
  <c r="G218" i="3"/>
  <c r="R128" i="8"/>
  <c r="I9" i="5"/>
  <c r="F31" i="4" s="1"/>
  <c r="F40" i="4" s="1"/>
  <c r="K8" i="5"/>
  <c r="L8" i="5" s="1"/>
  <c r="I395" i="3" s="1"/>
  <c r="G21" i="10" s="1"/>
  <c r="N131" i="8"/>
  <c r="N19" i="8" s="1"/>
  <c r="M131" i="8"/>
  <c r="M19" i="8" s="1"/>
  <c r="R127" i="8"/>
  <c r="K117" i="8"/>
  <c r="K123" i="8" s="1"/>
  <c r="K18" i="8" s="1"/>
  <c r="H13" i="4"/>
  <c r="H113" i="4" s="1"/>
  <c r="I223" i="3"/>
  <c r="F43" i="16"/>
  <c r="F46" i="16" s="1"/>
  <c r="F44" i="16"/>
  <c r="F47" i="16" s="1"/>
  <c r="G30" i="3"/>
  <c r="G33" i="3" s="1"/>
  <c r="H389" i="3"/>
  <c r="F17" i="10" s="1"/>
  <c r="R10" i="8"/>
  <c r="D8" i="4" s="1"/>
  <c r="AA16" i="14"/>
  <c r="AA21" i="14"/>
  <c r="AA19" i="14"/>
  <c r="AA14" i="14"/>
  <c r="AA17" i="14"/>
  <c r="AA13" i="14"/>
  <c r="AA27" i="14"/>
  <c r="AA15" i="14"/>
  <c r="AA18" i="14"/>
  <c r="AA28" i="14"/>
  <c r="AA26" i="14"/>
  <c r="AA12" i="14"/>
  <c r="AA9" i="14"/>
  <c r="AA11" i="14"/>
  <c r="AA29" i="14"/>
  <c r="AA20" i="14"/>
  <c r="AA24" i="14"/>
  <c r="AA25" i="14"/>
  <c r="W23" i="14"/>
  <c r="W22" i="14"/>
  <c r="W29" i="14"/>
  <c r="W9" i="14"/>
  <c r="W18" i="14"/>
  <c r="W15" i="14"/>
  <c r="W16" i="14"/>
  <c r="W25" i="14"/>
  <c r="W12" i="14"/>
  <c r="W26" i="14"/>
  <c r="W11" i="14"/>
  <c r="W19" i="14"/>
  <c r="AJ30" i="14" s="1"/>
  <c r="AJ31" i="14" s="1"/>
  <c r="W17" i="14"/>
  <c r="W24" i="14"/>
  <c r="D148" i="4"/>
  <c r="D154" i="4" s="1"/>
  <c r="W28" i="14"/>
  <c r="W21" i="14"/>
  <c r="W14" i="14"/>
  <c r="W20" i="14"/>
  <c r="W10" i="14"/>
  <c r="W27" i="14"/>
  <c r="W13" i="14"/>
  <c r="AA10" i="14"/>
  <c r="AA23" i="14"/>
  <c r="AA22" i="14"/>
  <c r="N21" i="6"/>
  <c r="O21" i="6"/>
  <c r="D68" i="16"/>
  <c r="D67" i="16"/>
  <c r="P131" i="8"/>
  <c r="P19" i="8" s="1"/>
  <c r="K131" i="8"/>
  <c r="K19" i="8" s="1"/>
  <c r="O131" i="8"/>
  <c r="O19" i="8" s="1"/>
  <c r="L131" i="8"/>
  <c r="L19" i="8" s="1"/>
  <c r="D87" i="4"/>
  <c r="E40" i="4"/>
  <c r="I300" i="3"/>
  <c r="H301" i="3"/>
  <c r="G83" i="16"/>
  <c r="G88" i="16" s="1"/>
  <c r="F82" i="16"/>
  <c r="F87" i="16" s="1"/>
  <c r="P18" i="6"/>
  <c r="Q18" i="6" s="1"/>
  <c r="R18" i="6" s="1"/>
  <c r="AN22" i="6"/>
  <c r="AO22" i="6" s="1"/>
  <c r="AP22" i="6" s="1"/>
  <c r="V20" i="6"/>
  <c r="W20" i="6" s="1"/>
  <c r="X20" i="6" s="1"/>
  <c r="AH21" i="6"/>
  <c r="AI21" i="6" s="1"/>
  <c r="AJ21" i="6" s="1"/>
  <c r="G20" i="10"/>
  <c r="N5" i="5"/>
  <c r="F18" i="10"/>
  <c r="L6" i="5"/>
  <c r="AF23" i="6"/>
  <c r="AG23" i="6"/>
  <c r="T23" i="6"/>
  <c r="U23" i="6"/>
  <c r="J7" i="5"/>
  <c r="E19" i="10"/>
  <c r="D42" i="4"/>
  <c r="E31" i="10"/>
  <c r="D14" i="6"/>
  <c r="E403" i="3"/>
  <c r="C28" i="10"/>
  <c r="C29" i="10" s="1"/>
  <c r="C39" i="10" s="1"/>
  <c r="R129" i="8"/>
  <c r="K13" i="6"/>
  <c r="D41" i="6"/>
  <c r="E32" i="4" s="1"/>
  <c r="D94" i="4"/>
  <c r="B26" i="6"/>
  <c r="C25" i="6"/>
  <c r="AA24" i="6"/>
  <c r="Z24" i="6"/>
  <c r="J19" i="8"/>
  <c r="AB19" i="6"/>
  <c r="AC19" i="6" s="1"/>
  <c r="AD19" i="6" s="1"/>
  <c r="AM25" i="6"/>
  <c r="AL25" i="6"/>
  <c r="I187" i="3"/>
  <c r="R23" i="8"/>
  <c r="D21" i="4" s="1"/>
  <c r="D121" i="4" s="1"/>
  <c r="G53" i="10"/>
  <c r="H25" i="6"/>
  <c r="I24" i="6"/>
  <c r="E292" i="3" l="1"/>
  <c r="G310" i="3"/>
  <c r="D71" i="16"/>
  <c r="D75" i="16" s="1"/>
  <c r="D6" i="16" s="1"/>
  <c r="D72" i="16"/>
  <c r="D76" i="16" s="1"/>
  <c r="D7" i="16" s="1"/>
  <c r="M8" i="5"/>
  <c r="N8" i="5" s="1"/>
  <c r="H21" i="10" s="1"/>
  <c r="R131" i="8"/>
  <c r="N117" i="8"/>
  <c r="N123" i="8" s="1"/>
  <c r="N18" i="8" s="1"/>
  <c r="L117" i="8"/>
  <c r="L123" i="8" s="1"/>
  <c r="L18" i="8" s="1"/>
  <c r="L50" i="8" s="1"/>
  <c r="L51" i="8" s="1"/>
  <c r="M117" i="8"/>
  <c r="O117" i="8"/>
  <c r="J50" i="8"/>
  <c r="J51" i="8" s="1"/>
  <c r="F50" i="8"/>
  <c r="F51" i="8" s="1"/>
  <c r="F52" i="8" s="1"/>
  <c r="F32" i="8" s="1"/>
  <c r="F33" i="8" s="1"/>
  <c r="F37" i="8" s="1"/>
  <c r="F38" i="8" s="1"/>
  <c r="F40" i="8" s="1"/>
  <c r="D108" i="4"/>
  <c r="D62" i="4"/>
  <c r="D142" i="4"/>
  <c r="N22" i="6"/>
  <c r="O22" i="6"/>
  <c r="I301" i="3"/>
  <c r="H83" i="16"/>
  <c r="H88" i="16" s="1"/>
  <c r="H226" i="3"/>
  <c r="V21" i="6"/>
  <c r="W21" i="6" s="1"/>
  <c r="X21" i="6" s="1"/>
  <c r="R19" i="8"/>
  <c r="D17" i="4" s="1"/>
  <c r="E14" i="6"/>
  <c r="K7" i="5"/>
  <c r="K9" i="5" s="1"/>
  <c r="G31" i="4" s="1"/>
  <c r="H394" i="3"/>
  <c r="J9" i="5"/>
  <c r="AF24" i="6"/>
  <c r="AG24" i="6"/>
  <c r="I393" i="3"/>
  <c r="M6" i="5"/>
  <c r="P19" i="6"/>
  <c r="Q19" i="6" s="1"/>
  <c r="R19" i="6" s="1"/>
  <c r="H26" i="6"/>
  <c r="I25" i="6"/>
  <c r="AB20" i="6"/>
  <c r="AC20" i="6" s="1"/>
  <c r="AD20" i="6" s="1"/>
  <c r="AA25" i="6"/>
  <c r="Z25" i="6"/>
  <c r="AH22" i="6"/>
  <c r="AI22" i="6" s="1"/>
  <c r="AJ22" i="6" s="1"/>
  <c r="B27" i="6"/>
  <c r="C26" i="6"/>
  <c r="E33" i="4"/>
  <c r="C6" i="18"/>
  <c r="C40" i="10"/>
  <c r="D96" i="4"/>
  <c r="T24" i="6"/>
  <c r="U24" i="6"/>
  <c r="H20" i="10"/>
  <c r="AN23" i="6"/>
  <c r="AO23" i="6" s="1"/>
  <c r="AP23" i="6" s="1"/>
  <c r="D75" i="4"/>
  <c r="AM26" i="6"/>
  <c r="AL26" i="6"/>
  <c r="L13" i="6"/>
  <c r="E41" i="6"/>
  <c r="H16" i="3" l="1"/>
  <c r="H32" i="3" s="1"/>
  <c r="H73" i="3" s="1"/>
  <c r="D117" i="4"/>
  <c r="R117" i="8"/>
  <c r="T118" i="8" s="1"/>
  <c r="M123" i="8"/>
  <c r="M18" i="8" s="1"/>
  <c r="I50" i="8"/>
  <c r="I51" i="8" s="1"/>
  <c r="AK14" i="14"/>
  <c r="AK15" i="14"/>
  <c r="AK12" i="14"/>
  <c r="AK20" i="14"/>
  <c r="AK27" i="14"/>
  <c r="AK10" i="14"/>
  <c r="AK23" i="14"/>
  <c r="AK26" i="14"/>
  <c r="AK16" i="14"/>
  <c r="AK17" i="14"/>
  <c r="AK18" i="14"/>
  <c r="AK9" i="14"/>
  <c r="AK24" i="14"/>
  <c r="AK29" i="14"/>
  <c r="AK21" i="14"/>
  <c r="AK13" i="14"/>
  <c r="AK28" i="14"/>
  <c r="AK11" i="14"/>
  <c r="AK25" i="14"/>
  <c r="AK22" i="14"/>
  <c r="AK19" i="14"/>
  <c r="N23" i="6"/>
  <c r="O23" i="6"/>
  <c r="G82" i="16"/>
  <c r="G87" i="16" s="1"/>
  <c r="AN24" i="6"/>
  <c r="AO24" i="6" s="1"/>
  <c r="AP24" i="6" s="1"/>
  <c r="P20" i="6"/>
  <c r="Q20" i="6" s="1"/>
  <c r="R20" i="6" s="1"/>
  <c r="D71" i="4"/>
  <c r="J14" i="6"/>
  <c r="E32" i="10"/>
  <c r="E38" i="10" s="1"/>
  <c r="Z26" i="6"/>
  <c r="AA26" i="6"/>
  <c r="N6" i="5"/>
  <c r="G18" i="10"/>
  <c r="L7" i="5"/>
  <c r="F19" i="10"/>
  <c r="V22" i="6"/>
  <c r="W22" i="6" s="1"/>
  <c r="X22" i="6" s="1"/>
  <c r="U25" i="6"/>
  <c r="T25" i="6"/>
  <c r="B28" i="6"/>
  <c r="C27" i="6"/>
  <c r="AH23" i="6"/>
  <c r="AI23" i="6" s="1"/>
  <c r="AJ23" i="6" s="1"/>
  <c r="AB21" i="6"/>
  <c r="AC21" i="6" s="1"/>
  <c r="AD21" i="6" s="1"/>
  <c r="H27" i="6"/>
  <c r="I26" i="6"/>
  <c r="AF25" i="6"/>
  <c r="AG25" i="6"/>
  <c r="F402" i="3"/>
  <c r="D28" i="10" s="1"/>
  <c r="E42" i="4"/>
  <c r="AL27" i="6"/>
  <c r="AM27" i="6"/>
  <c r="C7" i="18"/>
  <c r="F44" i="8"/>
  <c r="G40" i="4"/>
  <c r="F14" i="6"/>
  <c r="G44" i="16" l="1"/>
  <c r="G47" i="16" s="1"/>
  <c r="I389" i="3"/>
  <c r="G17" i="10" s="1"/>
  <c r="H17" i="10" s="1"/>
  <c r="G43" i="16"/>
  <c r="G46" i="16" s="1"/>
  <c r="H218" i="3"/>
  <c r="H30" i="3"/>
  <c r="O24" i="6"/>
  <c r="N24" i="6"/>
  <c r="AN25" i="6"/>
  <c r="AO25" i="6" s="1"/>
  <c r="AP25" i="6" s="1"/>
  <c r="AB22" i="6"/>
  <c r="AC22" i="6" s="1"/>
  <c r="AD22" i="6" s="1"/>
  <c r="P21" i="6"/>
  <c r="Q21" i="6" s="1"/>
  <c r="R21" i="6" s="1"/>
  <c r="H28" i="6"/>
  <c r="I27" i="6"/>
  <c r="Z27" i="6"/>
  <c r="AA27" i="6"/>
  <c r="F45" i="8"/>
  <c r="M7" i="5"/>
  <c r="M9" i="5" s="1"/>
  <c r="H31" i="4" s="1"/>
  <c r="I394" i="3"/>
  <c r="L9" i="5"/>
  <c r="K14" i="6"/>
  <c r="D42" i="6"/>
  <c r="F32" i="4" s="1"/>
  <c r="B29" i="6"/>
  <c r="C28" i="6"/>
  <c r="AH24" i="6"/>
  <c r="AI24" i="6" s="1"/>
  <c r="AJ24" i="6" s="1"/>
  <c r="T26" i="6"/>
  <c r="U26" i="6"/>
  <c r="V23" i="6"/>
  <c r="W23" i="6" s="1"/>
  <c r="X23" i="6" s="1"/>
  <c r="AL28" i="6"/>
  <c r="AM28" i="6"/>
  <c r="AG26" i="6"/>
  <c r="AF26" i="6"/>
  <c r="F31" i="10"/>
  <c r="D15" i="6"/>
  <c r="H18" i="10"/>
  <c r="H33" i="3" l="1"/>
  <c r="I16" i="3" s="1"/>
  <c r="O25" i="6"/>
  <c r="N25" i="6"/>
  <c r="I226" i="3"/>
  <c r="AB23" i="6"/>
  <c r="AC23" i="6" s="1"/>
  <c r="AD23" i="6" s="1"/>
  <c r="V24" i="6"/>
  <c r="W24" i="6" s="1"/>
  <c r="X24" i="6" s="1"/>
  <c r="AN26" i="6"/>
  <c r="AO26" i="6" s="1"/>
  <c r="AP26" i="6" s="1"/>
  <c r="AH25" i="6"/>
  <c r="AI25" i="6" s="1"/>
  <c r="AJ25" i="6" s="1"/>
  <c r="P22" i="6"/>
  <c r="Q22" i="6" s="1"/>
  <c r="R22" i="6" s="1"/>
  <c r="AA28" i="6"/>
  <c r="Z28" i="6"/>
  <c r="E15" i="6"/>
  <c r="AM29" i="6"/>
  <c r="AL29" i="6"/>
  <c r="T27" i="6"/>
  <c r="U27" i="6"/>
  <c r="G19" i="10"/>
  <c r="N7" i="5"/>
  <c r="L14" i="6"/>
  <c r="E42" i="6"/>
  <c r="AG27" i="6"/>
  <c r="AF27" i="6"/>
  <c r="B30" i="6"/>
  <c r="C29" i="6"/>
  <c r="F33" i="4"/>
  <c r="H40" i="4"/>
  <c r="I28" i="6"/>
  <c r="H29" i="6"/>
  <c r="H44" i="16" l="1"/>
  <c r="H47" i="16" s="1"/>
  <c r="I30" i="3"/>
  <c r="H43" i="16"/>
  <c r="H46" i="16" s="1"/>
  <c r="H310" i="3"/>
  <c r="AF18" i="14"/>
  <c r="AF28" i="14"/>
  <c r="AC109" i="14"/>
  <c r="AF29" i="14"/>
  <c r="AC110" i="14"/>
  <c r="AF21" i="14"/>
  <c r="AC111" i="14"/>
  <c r="AF20" i="14"/>
  <c r="AC112" i="14"/>
  <c r="AF19" i="14"/>
  <c r="AC113" i="14"/>
  <c r="AF11" i="14"/>
  <c r="AC114" i="14"/>
  <c r="AF12" i="14"/>
  <c r="AC115" i="14"/>
  <c r="AF13" i="14"/>
  <c r="AC106" i="14"/>
  <c r="AF14" i="14"/>
  <c r="AC105" i="14"/>
  <c r="AF15" i="14"/>
  <c r="AC97" i="14"/>
  <c r="AF16" i="14"/>
  <c r="AC98" i="14"/>
  <c r="AF17" i="14"/>
  <c r="AC99" i="14"/>
  <c r="AC100" i="14"/>
  <c r="AF10" i="14"/>
  <c r="AC101" i="14"/>
  <c r="AF22" i="14"/>
  <c r="AF9" i="14"/>
  <c r="AC102" i="14"/>
  <c r="AF23" i="14"/>
  <c r="AC103" i="14"/>
  <c r="AF24" i="14"/>
  <c r="AC104" i="14"/>
  <c r="AF25" i="14"/>
  <c r="AC96" i="14"/>
  <c r="AF26" i="14"/>
  <c r="AC107" i="14"/>
  <c r="AC95" i="14"/>
  <c r="AF27" i="14"/>
  <c r="AC108" i="14"/>
  <c r="AP78" i="14"/>
  <c r="AP72" i="14"/>
  <c r="AP79" i="14"/>
  <c r="AP73" i="14"/>
  <c r="AP80" i="14"/>
  <c r="AP75" i="14"/>
  <c r="AP68" i="14"/>
  <c r="AP67" i="14"/>
  <c r="AP76" i="14"/>
  <c r="AP81" i="14"/>
  <c r="AP82" i="14"/>
  <c r="AP69" i="14"/>
  <c r="AP70" i="14"/>
  <c r="AP71" i="14"/>
  <c r="AP74" i="14"/>
  <c r="AP83" i="14"/>
  <c r="AP84" i="14"/>
  <c r="AP77" i="14"/>
  <c r="AF53" i="14"/>
  <c r="AF45" i="14"/>
  <c r="AF54" i="14"/>
  <c r="AF46" i="14"/>
  <c r="AF55" i="14"/>
  <c r="AF47" i="14"/>
  <c r="AF56" i="14"/>
  <c r="AF39" i="14"/>
  <c r="AF57" i="14"/>
  <c r="AF38" i="14"/>
  <c r="AF58" i="14"/>
  <c r="AF48" i="14"/>
  <c r="AF49" i="14"/>
  <c r="AF40" i="14"/>
  <c r="AF41" i="14"/>
  <c r="AF50" i="14"/>
  <c r="AF42" i="14"/>
  <c r="AF51" i="14"/>
  <c r="AF43" i="14"/>
  <c r="AF52" i="14"/>
  <c r="AF44" i="14"/>
  <c r="I218" i="3"/>
  <c r="I32" i="3"/>
  <c r="I73" i="3" s="1"/>
  <c r="N26" i="6"/>
  <c r="O26" i="6"/>
  <c r="H82" i="16"/>
  <c r="H87" i="16" s="1"/>
  <c r="V25" i="6"/>
  <c r="W25" i="6" s="1"/>
  <c r="X25" i="6" s="1"/>
  <c r="AH26" i="6"/>
  <c r="AI26" i="6" s="1"/>
  <c r="AJ26" i="6" s="1"/>
  <c r="AN27" i="6"/>
  <c r="AO27" i="6" s="1"/>
  <c r="AP27" i="6" s="1"/>
  <c r="AB24" i="6"/>
  <c r="AC24" i="6" s="1"/>
  <c r="AD24" i="6" s="1"/>
  <c r="F42" i="4"/>
  <c r="G402" i="3"/>
  <c r="E28" i="10" s="1"/>
  <c r="H30" i="6"/>
  <c r="I29" i="6"/>
  <c r="T28" i="6"/>
  <c r="U28" i="6"/>
  <c r="Z29" i="6"/>
  <c r="AA29" i="6"/>
  <c r="H19" i="10"/>
  <c r="N9" i="5"/>
  <c r="P23" i="6"/>
  <c r="Q23" i="6" s="1"/>
  <c r="R23" i="6" s="1"/>
  <c r="AF28" i="6"/>
  <c r="AG28" i="6"/>
  <c r="F32" i="10"/>
  <c r="F38" i="10" s="1"/>
  <c r="J15" i="6"/>
  <c r="F15" i="6"/>
  <c r="B31" i="6"/>
  <c r="C30" i="6"/>
  <c r="AL30" i="6"/>
  <c r="AM30" i="6"/>
  <c r="AK35" i="14" l="1"/>
  <c r="AK6" i="14"/>
  <c r="AH90" i="14"/>
  <c r="AW62" i="14"/>
  <c r="I33" i="3"/>
  <c r="I310" i="3"/>
  <c r="O27" i="6"/>
  <c r="N27" i="6"/>
  <c r="AN28" i="6"/>
  <c r="AO28" i="6" s="1"/>
  <c r="AP28" i="6" s="1"/>
  <c r="AH27" i="6"/>
  <c r="AI27" i="6" s="1"/>
  <c r="AJ27" i="6" s="1"/>
  <c r="P24" i="6"/>
  <c r="Q24" i="6" s="1"/>
  <c r="R24" i="6" s="1"/>
  <c r="AB25" i="6"/>
  <c r="AC25" i="6" s="1"/>
  <c r="AD25" i="6" s="1"/>
  <c r="K15" i="6"/>
  <c r="D43" i="6"/>
  <c r="G32" i="4" s="1"/>
  <c r="Z30" i="6"/>
  <c r="AA30" i="6"/>
  <c r="H31" i="6"/>
  <c r="I30" i="6"/>
  <c r="AM31" i="6"/>
  <c r="AL31" i="6"/>
  <c r="B32" i="6"/>
  <c r="C31" i="6"/>
  <c r="D16" i="6"/>
  <c r="G31" i="10"/>
  <c r="T29" i="6"/>
  <c r="U29" i="6"/>
  <c r="V26" i="6"/>
  <c r="W26" i="6" s="1"/>
  <c r="X26" i="6" s="1"/>
  <c r="AF29" i="6"/>
  <c r="AG29" i="6"/>
  <c r="N28" i="6" l="1"/>
  <c r="O28" i="6"/>
  <c r="G33" i="4"/>
  <c r="V27" i="6"/>
  <c r="W27" i="6" s="1"/>
  <c r="X27" i="6" s="1"/>
  <c r="AH28" i="6"/>
  <c r="AI28" i="6" s="1"/>
  <c r="AJ28" i="6" s="1"/>
  <c r="P25" i="6"/>
  <c r="Q25" i="6" s="1"/>
  <c r="R25" i="6" s="1"/>
  <c r="AN29" i="6"/>
  <c r="AO29" i="6" s="1"/>
  <c r="AP29" i="6" s="1"/>
  <c r="T30" i="6"/>
  <c r="U30" i="6"/>
  <c r="E16" i="6"/>
  <c r="AM32" i="6"/>
  <c r="AL32" i="6"/>
  <c r="I31" i="6"/>
  <c r="H32" i="6"/>
  <c r="L15" i="6"/>
  <c r="E43" i="6"/>
  <c r="AF30" i="6"/>
  <c r="AG30" i="6"/>
  <c r="AA31" i="6"/>
  <c r="Z31" i="6"/>
  <c r="AB26" i="6"/>
  <c r="AC26" i="6" s="1"/>
  <c r="AD26" i="6" s="1"/>
  <c r="B33" i="6"/>
  <c r="C32" i="6"/>
  <c r="N29" i="6" l="1"/>
  <c r="O29" i="6"/>
  <c r="AH29" i="6"/>
  <c r="AI29" i="6" s="1"/>
  <c r="AJ29" i="6" s="1"/>
  <c r="P26" i="6"/>
  <c r="Q26" i="6" s="1"/>
  <c r="R26" i="6" s="1"/>
  <c r="V28" i="6"/>
  <c r="W28" i="6" s="1"/>
  <c r="X28" i="6" s="1"/>
  <c r="Z32" i="6"/>
  <c r="AA32" i="6"/>
  <c r="I32" i="6"/>
  <c r="H33" i="6"/>
  <c r="F16" i="6"/>
  <c r="G42" i="4"/>
  <c r="H402" i="3"/>
  <c r="AL33" i="6"/>
  <c r="AM33" i="6"/>
  <c r="AN30" i="6"/>
  <c r="AO30" i="6" s="1"/>
  <c r="AP30" i="6" s="1"/>
  <c r="AB27" i="6"/>
  <c r="AC27" i="6" s="1"/>
  <c r="AD27" i="6" s="1"/>
  <c r="G32" i="10"/>
  <c r="G38" i="10" s="1"/>
  <c r="J16" i="6"/>
  <c r="B34" i="6"/>
  <c r="C33" i="6"/>
  <c r="AG31" i="6"/>
  <c r="AF31" i="6"/>
  <c r="T31" i="6"/>
  <c r="U31" i="6"/>
  <c r="N30" i="6" l="1"/>
  <c r="O30" i="6"/>
  <c r="V29" i="6"/>
  <c r="W29" i="6" s="1"/>
  <c r="X29" i="6" s="1"/>
  <c r="P27" i="6"/>
  <c r="Q27" i="6" s="1"/>
  <c r="R27" i="6" s="1"/>
  <c r="AB28" i="6"/>
  <c r="AC28" i="6" s="1"/>
  <c r="AD28" i="6" s="1"/>
  <c r="AN31" i="6"/>
  <c r="AO31" i="6" s="1"/>
  <c r="AP31" i="6" s="1"/>
  <c r="AH30" i="6"/>
  <c r="AI30" i="6" s="1"/>
  <c r="AJ30" i="6" s="1"/>
  <c r="K16" i="6"/>
  <c r="D44" i="6"/>
  <c r="H32" i="4" s="1"/>
  <c r="AM34" i="6"/>
  <c r="AL34" i="6"/>
  <c r="T32" i="6"/>
  <c r="U32" i="6"/>
  <c r="B35" i="6"/>
  <c r="C34" i="6"/>
  <c r="Z33" i="6"/>
  <c r="AA33" i="6"/>
  <c r="AF32" i="6"/>
  <c r="AG32" i="6"/>
  <c r="F28" i="10"/>
  <c r="F29" i="10" s="1"/>
  <c r="F39" i="10" s="1"/>
  <c r="F6" i="18" s="1"/>
  <c r="H403" i="3"/>
  <c r="I33" i="6"/>
  <c r="H34" i="6"/>
  <c r="D17" i="6"/>
  <c r="H31" i="10"/>
  <c r="N31" i="6" l="1"/>
  <c r="O31" i="6"/>
  <c r="H33" i="4"/>
  <c r="P28" i="6"/>
  <c r="Q28" i="6" s="1"/>
  <c r="R28" i="6" s="1"/>
  <c r="AN32" i="6"/>
  <c r="AO32" i="6" s="1"/>
  <c r="AP32" i="6" s="1"/>
  <c r="I34" i="6"/>
  <c r="H35" i="6"/>
  <c r="L16" i="6"/>
  <c r="E44" i="6"/>
  <c r="AH31" i="6"/>
  <c r="AI31" i="6" s="1"/>
  <c r="AJ31" i="6" s="1"/>
  <c r="AB29" i="6"/>
  <c r="AC29" i="6" s="1"/>
  <c r="AD29" i="6" s="1"/>
  <c r="AG33" i="6"/>
  <c r="AF33" i="6"/>
  <c r="B36" i="6"/>
  <c r="C36" i="6" s="1"/>
  <c r="C35" i="6"/>
  <c r="U33" i="6"/>
  <c r="T33" i="6"/>
  <c r="AM35" i="6"/>
  <c r="AL35" i="6"/>
  <c r="V30" i="6"/>
  <c r="W30" i="6" s="1"/>
  <c r="X30" i="6" s="1"/>
  <c r="E17" i="6"/>
  <c r="Z34" i="6"/>
  <c r="AA34" i="6"/>
  <c r="N32" i="6" l="1"/>
  <c r="O32" i="6"/>
  <c r="V31" i="6"/>
  <c r="W31" i="6" s="1"/>
  <c r="X31" i="6" s="1"/>
  <c r="P29" i="6"/>
  <c r="Q29" i="6" s="1"/>
  <c r="R29" i="6" s="1"/>
  <c r="AL36" i="6"/>
  <c r="AM36" i="6"/>
  <c r="AB30" i="6"/>
  <c r="AC30" i="6" s="1"/>
  <c r="AD30" i="6" s="1"/>
  <c r="J17" i="6"/>
  <c r="H32" i="10"/>
  <c r="H38" i="10" s="1"/>
  <c r="H36" i="6"/>
  <c r="I36" i="6" s="1"/>
  <c r="I35" i="6"/>
  <c r="AN33" i="6"/>
  <c r="AO33" i="6" s="1"/>
  <c r="AP33" i="6" s="1"/>
  <c r="Z35" i="6"/>
  <c r="AA35" i="6"/>
  <c r="F17" i="6"/>
  <c r="AH32" i="6"/>
  <c r="AI32" i="6" s="1"/>
  <c r="AJ32" i="6" s="1"/>
  <c r="T34" i="6"/>
  <c r="U34" i="6"/>
  <c r="AF34" i="6"/>
  <c r="AG34" i="6"/>
  <c r="H42" i="4"/>
  <c r="I402" i="3"/>
  <c r="O33" i="6" l="1"/>
  <c r="N33" i="6"/>
  <c r="AH33" i="6"/>
  <c r="AI33" i="6" s="1"/>
  <c r="AJ33" i="6" s="1"/>
  <c r="AN34" i="6"/>
  <c r="AO34" i="6" s="1"/>
  <c r="AP34" i="6" s="1"/>
  <c r="P30" i="6"/>
  <c r="Q30" i="6" s="1"/>
  <c r="R30" i="6" s="1"/>
  <c r="AB31" i="6"/>
  <c r="AC31" i="6" s="1"/>
  <c r="AD31" i="6" s="1"/>
  <c r="AF35" i="6"/>
  <c r="AG35" i="6"/>
  <c r="T35" i="6"/>
  <c r="U35" i="6"/>
  <c r="V32" i="6"/>
  <c r="W32" i="6" s="1"/>
  <c r="X32" i="6" s="1"/>
  <c r="G28" i="10"/>
  <c r="G29" i="10" s="1"/>
  <c r="G39" i="10" s="1"/>
  <c r="G6" i="18" s="1"/>
  <c r="I403" i="3"/>
  <c r="D18" i="6"/>
  <c r="AA36" i="6"/>
  <c r="Z36" i="6"/>
  <c r="K17" i="6"/>
  <c r="D45" i="6"/>
  <c r="O34" i="6" l="1"/>
  <c r="N34" i="6"/>
  <c r="V33" i="6"/>
  <c r="W33" i="6" s="1"/>
  <c r="X33" i="6" s="1"/>
  <c r="AN35" i="6"/>
  <c r="AO35" i="6" s="1"/>
  <c r="AP35" i="6" s="1"/>
  <c r="AB32" i="6"/>
  <c r="AC32" i="6" s="1"/>
  <c r="AD32" i="6" s="1"/>
  <c r="AH34" i="6"/>
  <c r="AI34" i="6" s="1"/>
  <c r="AJ34" i="6" s="1"/>
  <c r="E18" i="6"/>
  <c r="P31" i="6"/>
  <c r="Q31" i="6" s="1"/>
  <c r="R31" i="6" s="1"/>
  <c r="E45" i="6"/>
  <c r="H28" i="10" s="1"/>
  <c r="H29" i="10" s="1"/>
  <c r="H39" i="10" s="1"/>
  <c r="L17" i="6"/>
  <c r="T36" i="6"/>
  <c r="U36" i="6"/>
  <c r="AF36" i="6"/>
  <c r="AG36" i="6"/>
  <c r="N35" i="6" l="1"/>
  <c r="O35" i="6"/>
  <c r="AH35" i="6"/>
  <c r="AI35" i="6" s="1"/>
  <c r="AJ35" i="6" s="1"/>
  <c r="AB33" i="6"/>
  <c r="AC33" i="6" s="1"/>
  <c r="AD33" i="6" s="1"/>
  <c r="P32" i="6"/>
  <c r="Q32" i="6" s="1"/>
  <c r="R32" i="6" s="1"/>
  <c r="F18" i="6"/>
  <c r="AN36" i="6"/>
  <c r="AO36" i="6" s="1"/>
  <c r="AP36" i="6" s="1"/>
  <c r="J18" i="6"/>
  <c r="V34" i="6"/>
  <c r="W34" i="6" s="1"/>
  <c r="X34" i="6" s="1"/>
  <c r="N36" i="6" l="1"/>
  <c r="O36" i="6"/>
  <c r="P33" i="6"/>
  <c r="Q33" i="6" s="1"/>
  <c r="R33" i="6" s="1"/>
  <c r="AB34" i="6"/>
  <c r="AC34" i="6" s="1"/>
  <c r="AD34" i="6" s="1"/>
  <c r="V35" i="6"/>
  <c r="W35" i="6" s="1"/>
  <c r="X35" i="6" s="1"/>
  <c r="K18" i="6"/>
  <c r="D46" i="6"/>
  <c r="D19" i="6"/>
  <c r="AH36" i="6"/>
  <c r="AI36" i="6" s="1"/>
  <c r="AJ36" i="6" s="1"/>
  <c r="V36" i="6" l="1"/>
  <c r="W36" i="6" s="1"/>
  <c r="X36" i="6" s="1"/>
  <c r="AB35" i="6"/>
  <c r="AC35" i="6" s="1"/>
  <c r="AD35" i="6" s="1"/>
  <c r="E46" i="6"/>
  <c r="L18" i="6"/>
  <c r="P34" i="6"/>
  <c r="Q34" i="6" s="1"/>
  <c r="R34" i="6" s="1"/>
  <c r="E19" i="6"/>
  <c r="P35" i="6" l="1"/>
  <c r="Q35" i="6" s="1"/>
  <c r="R35" i="6" s="1"/>
  <c r="AB36" i="6"/>
  <c r="AC36" i="6" s="1"/>
  <c r="AD36" i="6" s="1"/>
  <c r="F19" i="6"/>
  <c r="J19" i="6"/>
  <c r="D20" i="6" l="1"/>
  <c r="P36" i="6"/>
  <c r="Q36" i="6" s="1"/>
  <c r="R36" i="6" s="1"/>
  <c r="K19" i="6"/>
  <c r="D47" i="6"/>
  <c r="E47" i="6" l="1"/>
  <c r="L19" i="6"/>
  <c r="E20" i="6"/>
  <c r="F20" i="6" l="1"/>
  <c r="J20" i="6"/>
  <c r="K20" i="6" l="1"/>
  <c r="D48" i="6"/>
  <c r="D21" i="6"/>
  <c r="E21" i="6" l="1"/>
  <c r="E48" i="6"/>
  <c r="L20" i="6"/>
  <c r="J21" i="6" l="1"/>
  <c r="F21" i="6"/>
  <c r="K21" i="6" l="1"/>
  <c r="D49" i="6"/>
  <c r="D22" i="6"/>
  <c r="E22" i="6" s="1"/>
  <c r="F22" i="6" s="1"/>
  <c r="D23" i="6" l="1"/>
  <c r="E49" i="6"/>
  <c r="L21" i="6"/>
  <c r="J22" i="6" l="1"/>
  <c r="K22" i="6" s="1"/>
  <c r="L22" i="6" s="1"/>
  <c r="E23" i="6"/>
  <c r="F23" i="6" s="1"/>
  <c r="J23" i="6" l="1"/>
  <c r="D24" i="6"/>
  <c r="E24" i="6" s="1"/>
  <c r="F24" i="6" s="1"/>
  <c r="D25" i="6" l="1"/>
  <c r="E25" i="6" s="1"/>
  <c r="F25" i="6" s="1"/>
  <c r="K23" i="6"/>
  <c r="L23" i="6" s="1"/>
  <c r="D26" i="6" l="1"/>
  <c r="E26" i="6" s="1"/>
  <c r="F26" i="6" s="1"/>
  <c r="J24" i="6"/>
  <c r="K24" i="6" s="1"/>
  <c r="L24" i="6" s="1"/>
  <c r="J25" i="6" l="1"/>
  <c r="K25" i="6" s="1"/>
  <c r="L25" i="6" s="1"/>
  <c r="D27" i="6"/>
  <c r="E27" i="6" s="1"/>
  <c r="F27" i="6" s="1"/>
  <c r="D28" i="6" l="1"/>
  <c r="E28" i="6" s="1"/>
  <c r="F28" i="6" s="1"/>
  <c r="J26" i="6"/>
  <c r="K26" i="6" s="1"/>
  <c r="L26" i="6" s="1"/>
  <c r="J27" i="6" l="1"/>
  <c r="K27" i="6" s="1"/>
  <c r="L27" i="6" s="1"/>
  <c r="D29" i="6"/>
  <c r="E29" i="6" s="1"/>
  <c r="F29" i="6" s="1"/>
  <c r="D30" i="6" l="1"/>
  <c r="E30" i="6" s="1"/>
  <c r="F30" i="6" s="1"/>
  <c r="J28" i="6"/>
  <c r="K28" i="6" s="1"/>
  <c r="L28" i="6" s="1"/>
  <c r="D31" i="6" l="1"/>
  <c r="E31" i="6" s="1"/>
  <c r="F31" i="6" s="1"/>
  <c r="J29" i="6"/>
  <c r="K29" i="6" s="1"/>
  <c r="L29" i="6" s="1"/>
  <c r="J30" i="6" l="1"/>
  <c r="K30" i="6" s="1"/>
  <c r="L30" i="6" s="1"/>
  <c r="D32" i="6"/>
  <c r="E32" i="6" s="1"/>
  <c r="F32" i="6" s="1"/>
  <c r="D33" i="6" l="1"/>
  <c r="E33" i="6" s="1"/>
  <c r="F33" i="6" s="1"/>
  <c r="J31" i="6"/>
  <c r="K31" i="6" s="1"/>
  <c r="L31" i="6" s="1"/>
  <c r="J32" i="6" l="1"/>
  <c r="K32" i="6" s="1"/>
  <c r="L32" i="6" s="1"/>
  <c r="D34" i="6"/>
  <c r="E34" i="6" s="1"/>
  <c r="F34" i="6" s="1"/>
  <c r="D35" i="6" l="1"/>
  <c r="E35" i="6" s="1"/>
  <c r="F35" i="6" s="1"/>
  <c r="J33" i="6"/>
  <c r="K33" i="6" s="1"/>
  <c r="L33" i="6" s="1"/>
  <c r="J34" i="6" l="1"/>
  <c r="K34" i="6" s="1"/>
  <c r="L34" i="6" s="1"/>
  <c r="D36" i="6"/>
  <c r="E36" i="6" s="1"/>
  <c r="F36" i="6" s="1"/>
  <c r="J35" i="6" l="1"/>
  <c r="K35" i="6" s="1"/>
  <c r="L35" i="6" s="1"/>
  <c r="J36" i="6" l="1"/>
  <c r="K36" i="6" s="1"/>
  <c r="L36" i="6" s="1"/>
  <c r="E317" i="3" l="1"/>
  <c r="E318" i="3" s="1"/>
  <c r="E27" i="3"/>
  <c r="F15" i="3" s="1"/>
  <c r="E309" i="3"/>
  <c r="E311" i="3" s="1"/>
  <c r="O20" i="8" l="1"/>
  <c r="H20" i="8"/>
  <c r="M50" i="8"/>
  <c r="K21" i="8"/>
  <c r="K50" i="8" s="1"/>
  <c r="H21" i="8"/>
  <c r="H50" i="8" s="1"/>
  <c r="H51" i="8" s="1"/>
  <c r="N21" i="8"/>
  <c r="N50" i="8" s="1"/>
  <c r="O118" i="8"/>
  <c r="O123" i="8" s="1"/>
  <c r="O18" i="8" s="1"/>
  <c r="P120" i="8"/>
  <c r="Q120" i="8"/>
  <c r="F388" i="3"/>
  <c r="D16" i="10" s="1"/>
  <c r="P118" i="8"/>
  <c r="Q118" i="8"/>
  <c r="D48" i="4"/>
  <c r="E338" i="3"/>
  <c r="E350" i="3"/>
  <c r="E344" i="3"/>
  <c r="E352" i="3"/>
  <c r="E346" i="3"/>
  <c r="E146" i="4" l="1"/>
  <c r="O50" i="8"/>
  <c r="O51" i="8" s="1"/>
  <c r="Q123" i="8"/>
  <c r="Q18" i="8" s="1"/>
  <c r="R120" i="8"/>
  <c r="R20" i="8"/>
  <c r="D18" i="4" s="1"/>
  <c r="D118" i="4" s="1"/>
  <c r="P123" i="8"/>
  <c r="P18" i="8" s="1"/>
  <c r="D22" i="10"/>
  <c r="D51" i="10"/>
  <c r="D54" i="10" s="1"/>
  <c r="K51" i="8"/>
  <c r="R21" i="8"/>
  <c r="D19" i="4" s="1"/>
  <c r="D119" i="4" s="1"/>
  <c r="E363" i="3"/>
  <c r="D47" i="4"/>
  <c r="E368" i="3"/>
  <c r="E358" i="3"/>
  <c r="P27" i="8"/>
  <c r="N11" i="8"/>
  <c r="W86" i="14"/>
  <c r="E45" i="4"/>
  <c r="E31" i="16"/>
  <c r="E34" i="16" s="1"/>
  <c r="F20" i="3"/>
  <c r="F23" i="3"/>
  <c r="F24" i="3" s="1"/>
  <c r="E99" i="4"/>
  <c r="E64" i="4" s="1"/>
  <c r="F378" i="3"/>
  <c r="F380" i="3" s="1"/>
  <c r="E28" i="4" s="1"/>
  <c r="E30" i="16"/>
  <c r="E33" i="16" s="1"/>
  <c r="F79" i="3"/>
  <c r="F38" i="3"/>
  <c r="F233" i="3" s="1"/>
  <c r="E73" i="16" s="1"/>
  <c r="E77" i="16" s="1"/>
  <c r="F22" i="3"/>
  <c r="E152" i="4" s="1"/>
  <c r="F188" i="3"/>
  <c r="F196" i="3"/>
  <c r="P16" i="8" l="1"/>
  <c r="N16" i="8"/>
  <c r="N49" i="8" s="1"/>
  <c r="N51" i="8" s="1"/>
  <c r="E149" i="4"/>
  <c r="Q50" i="8"/>
  <c r="Q51" i="8" s="1"/>
  <c r="P50" i="8"/>
  <c r="R27" i="8"/>
  <c r="D25" i="4" s="1"/>
  <c r="D72" i="4"/>
  <c r="E81" i="16"/>
  <c r="F127" i="3"/>
  <c r="F130" i="3" s="1"/>
  <c r="F303" i="3" s="1"/>
  <c r="E82" i="4"/>
  <c r="E48" i="4"/>
  <c r="F81" i="3"/>
  <c r="F83" i="3" s="1"/>
  <c r="E12" i="4" s="1"/>
  <c r="E86" i="4"/>
  <c r="E96" i="4"/>
  <c r="E78" i="4"/>
  <c r="E77" i="4"/>
  <c r="E81" i="4"/>
  <c r="E95" i="4"/>
  <c r="E74" i="4"/>
  <c r="E75" i="4"/>
  <c r="E76" i="4"/>
  <c r="E94" i="4"/>
  <c r="E85" i="4"/>
  <c r="F40" i="3"/>
  <c r="F41" i="3" s="1"/>
  <c r="X86" i="14"/>
  <c r="E100" i="4"/>
  <c r="E51" i="4"/>
  <c r="F69" i="3"/>
  <c r="E11" i="4" s="1"/>
  <c r="F309" i="3"/>
  <c r="D73" i="4"/>
  <c r="M49" i="8"/>
  <c r="M51" i="8" s="1"/>
  <c r="F302" i="3" l="1"/>
  <c r="F304" i="3"/>
  <c r="E63" i="16"/>
  <c r="E67" i="16" s="1"/>
  <c r="E64" i="16"/>
  <c r="E68" i="16" s="1"/>
  <c r="F289" i="3"/>
  <c r="F290" i="3"/>
  <c r="F317" i="3"/>
  <c r="F318" i="3" s="1"/>
  <c r="U118" i="8"/>
  <c r="F253" i="3"/>
  <c r="D125" i="4"/>
  <c r="E66" i="4"/>
  <c r="E87" i="4"/>
  <c r="F27" i="3"/>
  <c r="F44" i="3"/>
  <c r="F45" i="3" s="1"/>
  <c r="E153" i="4" s="1"/>
  <c r="E112" i="4" s="1"/>
  <c r="F42" i="3"/>
  <c r="F350" i="3"/>
  <c r="F344" i="3"/>
  <c r="F352" i="3"/>
  <c r="F346" i="3"/>
  <c r="F338" i="3"/>
  <c r="F311" i="3"/>
  <c r="E19" i="4" s="1"/>
  <c r="F128" i="3"/>
  <c r="F198" i="3" s="1"/>
  <c r="F129" i="3"/>
  <c r="F228" i="3" s="1"/>
  <c r="E65" i="4"/>
  <c r="F86" i="3"/>
  <c r="E26" i="4" s="1"/>
  <c r="E84" i="16"/>
  <c r="E86" i="16"/>
  <c r="E89" i="16" s="1"/>
  <c r="D79" i="4"/>
  <c r="R11" i="8"/>
  <c r="D9" i="4" s="1"/>
  <c r="F291" i="3" l="1"/>
  <c r="G388" i="3"/>
  <c r="E16" i="10" s="1"/>
  <c r="E51" i="10" s="1"/>
  <c r="E54" i="10" s="1"/>
  <c r="G15" i="3"/>
  <c r="E18" i="4"/>
  <c r="E72" i="4" s="1"/>
  <c r="E111" i="4"/>
  <c r="E141" i="4"/>
  <c r="E124" i="4"/>
  <c r="E120" i="4"/>
  <c r="E121" i="4"/>
  <c r="E123" i="4"/>
  <c r="E122" i="4"/>
  <c r="E127" i="4"/>
  <c r="E131" i="4"/>
  <c r="E132" i="4"/>
  <c r="E140" i="4"/>
  <c r="E142" i="4"/>
  <c r="E128" i="4"/>
  <c r="E126" i="4"/>
  <c r="E119" i="4"/>
  <c r="D109" i="4"/>
  <c r="G20" i="3"/>
  <c r="F46" i="3"/>
  <c r="F47" i="3"/>
  <c r="F51" i="3" s="1"/>
  <c r="P49" i="8"/>
  <c r="P51" i="8" s="1"/>
  <c r="R16" i="8"/>
  <c r="F197" i="3"/>
  <c r="F199" i="3"/>
  <c r="G196" i="3"/>
  <c r="E80" i="4"/>
  <c r="E52" i="4"/>
  <c r="D63" i="4"/>
  <c r="D14" i="4"/>
  <c r="D114" i="4" s="1"/>
  <c r="F227" i="3"/>
  <c r="F229" i="3"/>
  <c r="E73" i="4"/>
  <c r="E22" i="10" l="1"/>
  <c r="E118" i="4"/>
  <c r="Y70" i="14"/>
  <c r="Y78" i="14"/>
  <c r="Y71" i="14"/>
  <c r="Y79" i="14"/>
  <c r="Y72" i="14"/>
  <c r="Y80" i="14"/>
  <c r="Y73" i="14"/>
  <c r="Y81" i="14"/>
  <c r="Y74" i="14"/>
  <c r="Y82" i="14"/>
  <c r="Y75" i="14"/>
  <c r="AS88" i="14"/>
  <c r="Y83" i="14"/>
  <c r="Y67" i="14"/>
  <c r="Y84" i="14"/>
  <c r="Y77" i="14"/>
  <c r="Y76" i="14"/>
  <c r="Y68" i="14"/>
  <c r="Y69" i="14"/>
  <c r="G79" i="3"/>
  <c r="G81" i="3" s="1"/>
  <c r="G83" i="3" s="1"/>
  <c r="F12" i="4" s="1"/>
  <c r="G22" i="3"/>
  <c r="F152" i="4" s="1"/>
  <c r="F31" i="16"/>
  <c r="F34" i="16" s="1"/>
  <c r="F30" i="16"/>
  <c r="F33" i="16" s="1"/>
  <c r="F99" i="4"/>
  <c r="F75" i="4" s="1"/>
  <c r="F45" i="4"/>
  <c r="G188" i="3"/>
  <c r="G38" i="3"/>
  <c r="G233" i="3" s="1"/>
  <c r="G378" i="3"/>
  <c r="G380" i="3" s="1"/>
  <c r="F28" i="4" s="1"/>
  <c r="G23" i="3"/>
  <c r="G24" i="3" s="1"/>
  <c r="F146" i="4"/>
  <c r="E8" i="4"/>
  <c r="E147" i="4"/>
  <c r="E46" i="4"/>
  <c r="F56" i="3"/>
  <c r="F273" i="3" s="1"/>
  <c r="E16" i="4" s="1"/>
  <c r="D68" i="4"/>
  <c r="F81" i="16"/>
  <c r="G127" i="3"/>
  <c r="G130" i="3" s="1"/>
  <c r="G303" i="3" s="1"/>
  <c r="Z75" i="14" l="1"/>
  <c r="AA75" i="14" s="1"/>
  <c r="Z82" i="14"/>
  <c r="AA82" i="14" s="1"/>
  <c r="Z74" i="14"/>
  <c r="AA74" i="14"/>
  <c r="Z81" i="14"/>
  <c r="AA81" i="14"/>
  <c r="Z69" i="14"/>
  <c r="AA69" i="14" s="1"/>
  <c r="Z73" i="14"/>
  <c r="AA73" i="14" s="1"/>
  <c r="AB73" i="14" s="1"/>
  <c r="AC73" i="14" s="1"/>
  <c r="U73" i="14" s="1"/>
  <c r="V73" i="14" s="1"/>
  <c r="Z68" i="14"/>
  <c r="AA68" i="14" s="1"/>
  <c r="Z80" i="14"/>
  <c r="AA80" i="14" s="1"/>
  <c r="Z76" i="14"/>
  <c r="AA76" i="14" s="1"/>
  <c r="AB76" i="14" s="1"/>
  <c r="AC76" i="14" s="1"/>
  <c r="U76" i="14" s="1"/>
  <c r="V76" i="14" s="1"/>
  <c r="Z72" i="14"/>
  <c r="AA72" i="14" s="1"/>
  <c r="Z77" i="14"/>
  <c r="AA77" i="14" s="1"/>
  <c r="Z79" i="14"/>
  <c r="AA79" i="14" s="1"/>
  <c r="G69" i="3"/>
  <c r="F11" i="4" s="1"/>
  <c r="AK84" i="14" s="1"/>
  <c r="Z84" i="14"/>
  <c r="AA84" i="14" s="1"/>
  <c r="Z71" i="14"/>
  <c r="AA71" i="14" s="1"/>
  <c r="F100" i="4"/>
  <c r="Z67" i="14"/>
  <c r="AA67" i="14" s="1"/>
  <c r="Z78" i="14"/>
  <c r="AA78" i="14" s="1"/>
  <c r="F51" i="4"/>
  <c r="Z83" i="14"/>
  <c r="AA83" i="14" s="1"/>
  <c r="Z70" i="14"/>
  <c r="AA70" i="14"/>
  <c r="F48" i="4"/>
  <c r="AD84" i="14"/>
  <c r="X73" i="14"/>
  <c r="AD76" i="14"/>
  <c r="X74" i="14"/>
  <c r="AD70" i="14"/>
  <c r="X78" i="14"/>
  <c r="AD72" i="14"/>
  <c r="X79" i="14"/>
  <c r="X82" i="14"/>
  <c r="AD81" i="14"/>
  <c r="X70" i="14"/>
  <c r="AD83" i="14"/>
  <c r="X72" i="14"/>
  <c r="AD77" i="14"/>
  <c r="X75" i="14"/>
  <c r="AD68" i="14"/>
  <c r="X67" i="14"/>
  <c r="AD69" i="14"/>
  <c r="AD71" i="14"/>
  <c r="AD79" i="14"/>
  <c r="X68" i="14"/>
  <c r="X69" i="14"/>
  <c r="AD73" i="14"/>
  <c r="X80" i="14"/>
  <c r="AD74" i="14"/>
  <c r="X81" i="14"/>
  <c r="AD75" i="14"/>
  <c r="AD67" i="14"/>
  <c r="X83" i="14"/>
  <c r="X84" i="14"/>
  <c r="X77" i="14"/>
  <c r="AD78" i="14"/>
  <c r="X76" i="14"/>
  <c r="AD80" i="14"/>
  <c r="AD82" i="14"/>
  <c r="X71" i="14"/>
  <c r="X57" i="14"/>
  <c r="X58" i="14"/>
  <c r="X40" i="14"/>
  <c r="X41" i="14"/>
  <c r="X43" i="14"/>
  <c r="X44" i="14"/>
  <c r="X45" i="14"/>
  <c r="X38" i="14"/>
  <c r="X51" i="14"/>
  <c r="X52" i="14"/>
  <c r="X53" i="14"/>
  <c r="X55" i="14"/>
  <c r="X49" i="14"/>
  <c r="X39" i="14"/>
  <c r="X48" i="14"/>
  <c r="X42" i="14"/>
  <c r="X46" i="14"/>
  <c r="X47" i="14"/>
  <c r="X50" i="14"/>
  <c r="X54" i="14"/>
  <c r="X56" i="14"/>
  <c r="F73" i="16"/>
  <c r="F77" i="16" s="1"/>
  <c r="F76" i="4"/>
  <c r="F67" i="4"/>
  <c r="AF116" i="14"/>
  <c r="AI30" i="14"/>
  <c r="AI59" i="14"/>
  <c r="F86" i="4"/>
  <c r="E17" i="4"/>
  <c r="F85" i="4"/>
  <c r="F81" i="4"/>
  <c r="F74" i="4"/>
  <c r="F95" i="4"/>
  <c r="F77" i="4"/>
  <c r="F78" i="4"/>
  <c r="F96" i="4"/>
  <c r="F94" i="4"/>
  <c r="F64" i="4"/>
  <c r="G302" i="3"/>
  <c r="G304" i="3"/>
  <c r="F149" i="4"/>
  <c r="G40" i="3"/>
  <c r="G41" i="3" s="1"/>
  <c r="G253" i="3" s="1"/>
  <c r="F292" i="3"/>
  <c r="F82" i="4"/>
  <c r="G317" i="3"/>
  <c r="G318" i="3" s="1"/>
  <c r="F18" i="4" s="1"/>
  <c r="E47" i="4"/>
  <c r="F368" i="3"/>
  <c r="F363" i="3"/>
  <c r="E148" i="4"/>
  <c r="E154" i="4" s="1"/>
  <c r="E62" i="4"/>
  <c r="E108" i="4"/>
  <c r="E9" i="4"/>
  <c r="F358" i="3"/>
  <c r="E72" i="16"/>
  <c r="E76" i="16" s="1"/>
  <c r="E7" i="16" s="1"/>
  <c r="E71" i="16"/>
  <c r="E75" i="16" s="1"/>
  <c r="E6" i="16" s="1"/>
  <c r="F66" i="4"/>
  <c r="E133" i="4"/>
  <c r="G128" i="3"/>
  <c r="G198" i="3" s="1"/>
  <c r="G129" i="3"/>
  <c r="G228" i="3" s="1"/>
  <c r="F84" i="16"/>
  <c r="F86" i="16"/>
  <c r="F89" i="16" s="1"/>
  <c r="G86" i="3"/>
  <c r="F26" i="4" s="1"/>
  <c r="AK73" i="14" l="1"/>
  <c r="AK72" i="14"/>
  <c r="AK83" i="14"/>
  <c r="AK78" i="14"/>
  <c r="AK75" i="14"/>
  <c r="AK70" i="14"/>
  <c r="AK74" i="14"/>
  <c r="AK69" i="14"/>
  <c r="AK81" i="14"/>
  <c r="AK68" i="14"/>
  <c r="AK80" i="14"/>
  <c r="AK76" i="14"/>
  <c r="AK82" i="14"/>
  <c r="F65" i="4"/>
  <c r="AK79" i="14"/>
  <c r="AK77" i="14"/>
  <c r="AK71" i="14"/>
  <c r="AK67" i="14"/>
  <c r="AB83" i="14"/>
  <c r="AC83" i="14"/>
  <c r="U83" i="14" s="1"/>
  <c r="V83" i="14" s="1"/>
  <c r="AB79" i="14"/>
  <c r="AC79" i="14" s="1"/>
  <c r="U79" i="14" s="1"/>
  <c r="V79" i="14" s="1"/>
  <c r="AJ73" i="14"/>
  <c r="AF73" i="14"/>
  <c r="AB78" i="14"/>
  <c r="AC78" i="14" s="1"/>
  <c r="U78" i="14" s="1"/>
  <c r="V78" i="14" s="1"/>
  <c r="AB77" i="14"/>
  <c r="AC77" i="14" s="1"/>
  <c r="U77" i="14" s="1"/>
  <c r="AB69" i="14"/>
  <c r="AC69" i="14" s="1"/>
  <c r="U69" i="14" s="1"/>
  <c r="AB67" i="14"/>
  <c r="AC67" i="14" s="1"/>
  <c r="U67" i="14" s="1"/>
  <c r="V67" i="14" s="1"/>
  <c r="AB72" i="14"/>
  <c r="AC72" i="14" s="1"/>
  <c r="U72" i="14" s="1"/>
  <c r="V72" i="14" s="1"/>
  <c r="AB81" i="14"/>
  <c r="AC81" i="14" s="1"/>
  <c r="U81" i="14" s="1"/>
  <c r="V81" i="14" s="1"/>
  <c r="W73" i="14"/>
  <c r="AE73" i="14" s="1"/>
  <c r="AF76" i="14"/>
  <c r="AJ76" i="14"/>
  <c r="AB74" i="14"/>
  <c r="AC74" i="14"/>
  <c r="U74" i="14" s="1"/>
  <c r="V74" i="14" s="1"/>
  <c r="AB71" i="14"/>
  <c r="AC71" i="14" s="1"/>
  <c r="U71" i="14" s="1"/>
  <c r="V71" i="14" s="1"/>
  <c r="AB80" i="14"/>
  <c r="AC80" i="14" s="1"/>
  <c r="U80" i="14" s="1"/>
  <c r="V80" i="14" s="1"/>
  <c r="AB82" i="14"/>
  <c r="AC82" i="14"/>
  <c r="U82" i="14" s="1"/>
  <c r="V82" i="14" s="1"/>
  <c r="AB70" i="14"/>
  <c r="AC70" i="14" s="1"/>
  <c r="U70" i="14" s="1"/>
  <c r="V70" i="14" s="1"/>
  <c r="AB84" i="14"/>
  <c r="AC84" i="14"/>
  <c r="U84" i="14" s="1"/>
  <c r="V84" i="14" s="1"/>
  <c r="AB68" i="14"/>
  <c r="AC68" i="14" s="1"/>
  <c r="U68" i="14" s="1"/>
  <c r="V68" i="14" s="1"/>
  <c r="AB75" i="14"/>
  <c r="AC75" i="14"/>
  <c r="U75" i="14" s="1"/>
  <c r="V75" i="14" s="1"/>
  <c r="W76" i="14"/>
  <c r="AE76" i="14" s="1"/>
  <c r="F87" i="4"/>
  <c r="X87" i="14"/>
  <c r="G42" i="3"/>
  <c r="G44" i="3"/>
  <c r="G45" i="3" s="1"/>
  <c r="F153" i="4" s="1"/>
  <c r="F112" i="4" s="1"/>
  <c r="E109" i="4"/>
  <c r="F63" i="16"/>
  <c r="F67" i="16" s="1"/>
  <c r="G290" i="3"/>
  <c r="F64" i="16"/>
  <c r="F68" i="16" s="1"/>
  <c r="G289" i="3"/>
  <c r="G291" i="3" s="1"/>
  <c r="E71" i="4"/>
  <c r="E116" i="4"/>
  <c r="E25" i="4"/>
  <c r="E79" i="4" s="1"/>
  <c r="E63" i="4"/>
  <c r="E14" i="4"/>
  <c r="E114" i="4" s="1"/>
  <c r="G27" i="3"/>
  <c r="H15" i="3" s="1"/>
  <c r="F72" i="4"/>
  <c r="G309" i="3"/>
  <c r="G346" i="3" s="1"/>
  <c r="G227" i="3"/>
  <c r="G229" i="3"/>
  <c r="F80" i="4"/>
  <c r="G199" i="3"/>
  <c r="G197" i="3"/>
  <c r="AI73" i="14" l="1"/>
  <c r="AL73" i="14" s="1"/>
  <c r="W83" i="14"/>
  <c r="AI83" i="14" s="1"/>
  <c r="AG73" i="14"/>
  <c r="AV73" i="14" s="1"/>
  <c r="AI76" i="14"/>
  <c r="AL76" i="14" s="1"/>
  <c r="AG76" i="14"/>
  <c r="AG116" i="14" s="1"/>
  <c r="AH92" i="14" s="1"/>
  <c r="W82" i="14"/>
  <c r="AE82" i="14" s="1"/>
  <c r="W80" i="14"/>
  <c r="AI80" i="14" s="1"/>
  <c r="W71" i="14"/>
  <c r="AE71" i="14" s="1"/>
  <c r="V69" i="14"/>
  <c r="W69" i="14"/>
  <c r="V77" i="14"/>
  <c r="W77" i="14"/>
  <c r="AF68" i="14"/>
  <c r="AJ68" i="14"/>
  <c r="AF67" i="14"/>
  <c r="AJ67" i="14"/>
  <c r="W70" i="14"/>
  <c r="W68" i="14"/>
  <c r="AF83" i="14"/>
  <c r="AJ83" i="14"/>
  <c r="AF81" i="14"/>
  <c r="AJ81" i="14"/>
  <c r="AJ78" i="14"/>
  <c r="AF78" i="14"/>
  <c r="AF71" i="14"/>
  <c r="AJ71" i="14"/>
  <c r="AJ72" i="14"/>
  <c r="AF72" i="14"/>
  <c r="AF84" i="14"/>
  <c r="AJ84" i="14"/>
  <c r="W78" i="14"/>
  <c r="W72" i="14"/>
  <c r="AF70" i="14"/>
  <c r="AJ70" i="14"/>
  <c r="AF74" i="14"/>
  <c r="AJ74" i="14"/>
  <c r="W74" i="14"/>
  <c r="W67" i="14"/>
  <c r="AF79" i="14"/>
  <c r="AJ79" i="14"/>
  <c r="W84" i="14"/>
  <c r="AI84" i="14" s="1"/>
  <c r="AF82" i="14"/>
  <c r="AJ82" i="14"/>
  <c r="W79" i="14"/>
  <c r="G46" i="3"/>
  <c r="AJ75" i="14"/>
  <c r="AF75" i="14"/>
  <c r="AF80" i="14"/>
  <c r="AJ80" i="14"/>
  <c r="W81" i="14"/>
  <c r="W75" i="14"/>
  <c r="F126" i="4"/>
  <c r="G47" i="3"/>
  <c r="G51" i="3" s="1"/>
  <c r="F8" i="4" s="1"/>
  <c r="AN76" i="14"/>
  <c r="AU76" i="14"/>
  <c r="F131" i="4"/>
  <c r="AN73" i="14"/>
  <c r="AU73" i="14"/>
  <c r="G338" i="3"/>
  <c r="E117" i="4"/>
  <c r="E68" i="4"/>
  <c r="F405" i="3"/>
  <c r="F120" i="4"/>
  <c r="F124" i="4"/>
  <c r="F122" i="4"/>
  <c r="F127" i="4"/>
  <c r="E125" i="4"/>
  <c r="F111" i="4"/>
  <c r="F52" i="4"/>
  <c r="F128" i="4"/>
  <c r="H388" i="3"/>
  <c r="F16" i="10" s="1"/>
  <c r="F51" i="10" s="1"/>
  <c r="F54" i="10" s="1"/>
  <c r="F142" i="4"/>
  <c r="F121" i="4"/>
  <c r="F132" i="4"/>
  <c r="F123" i="4"/>
  <c r="F140" i="4"/>
  <c r="F141" i="4"/>
  <c r="E70" i="4"/>
  <c r="G350" i="3"/>
  <c r="G352" i="3"/>
  <c r="G311" i="3"/>
  <c r="F19" i="4" s="1"/>
  <c r="F73" i="4" s="1"/>
  <c r="G344" i="3"/>
  <c r="F118" i="4"/>
  <c r="G146" i="4"/>
  <c r="G99" i="4"/>
  <c r="G45" i="4"/>
  <c r="H38" i="3"/>
  <c r="H233" i="3" s="1"/>
  <c r="G73" i="16" s="1"/>
  <c r="G77" i="16" s="1"/>
  <c r="H79" i="3"/>
  <c r="H22" i="3"/>
  <c r="H378" i="3"/>
  <c r="H380" i="3" s="1"/>
  <c r="G28" i="4" s="1"/>
  <c r="G30" i="16"/>
  <c r="G33" i="16" s="1"/>
  <c r="H23" i="3"/>
  <c r="H24" i="3" s="1"/>
  <c r="G31" i="16"/>
  <c r="G34" i="16" s="1"/>
  <c r="H20" i="3"/>
  <c r="H188" i="3"/>
  <c r="H196" i="3"/>
  <c r="AL83" i="14" l="1"/>
  <c r="AE83" i="14"/>
  <c r="AG83" i="14" s="1"/>
  <c r="AV83" i="14" s="1"/>
  <c r="AG82" i="14"/>
  <c r="AV82" i="14" s="1"/>
  <c r="AL84" i="14"/>
  <c r="AE84" i="14"/>
  <c r="AN84" i="14" s="1"/>
  <c r="AN82" i="14"/>
  <c r="AI71" i="14"/>
  <c r="AL71" i="14" s="1"/>
  <c r="AI82" i="14"/>
  <c r="AL82" i="14" s="1"/>
  <c r="AU82" i="14"/>
  <c r="AL80" i="14"/>
  <c r="AV76" i="14"/>
  <c r="AE80" i="14"/>
  <c r="AG80" i="14" s="1"/>
  <c r="AV80" i="14" s="1"/>
  <c r="AG71" i="14"/>
  <c r="AV71" i="14" s="1"/>
  <c r="AI70" i="14"/>
  <c r="AL70" i="14" s="1"/>
  <c r="AE70" i="14"/>
  <c r="AE67" i="14"/>
  <c r="AI67" i="14"/>
  <c r="AL67" i="14" s="1"/>
  <c r="AI74" i="14"/>
  <c r="AL74" i="14" s="1"/>
  <c r="AE74" i="14"/>
  <c r="AU71" i="14"/>
  <c r="AI79" i="14"/>
  <c r="AL79" i="14" s="1"/>
  <c r="AE79" i="14"/>
  <c r="AE72" i="14"/>
  <c r="AI72" i="14"/>
  <c r="AL72" i="14" s="1"/>
  <c r="AN71" i="14"/>
  <c r="AF77" i="14"/>
  <c r="AJ77" i="14"/>
  <c r="V88" i="14"/>
  <c r="F147" i="4"/>
  <c r="AI75" i="14"/>
  <c r="AL75" i="14" s="1"/>
  <c r="AE75" i="14"/>
  <c r="AE69" i="14"/>
  <c r="AI69" i="14"/>
  <c r="AE78" i="14"/>
  <c r="AI78" i="14"/>
  <c r="AL78" i="14" s="1"/>
  <c r="W88" i="14"/>
  <c r="AI77" i="14"/>
  <c r="AE77" i="14"/>
  <c r="F46" i="4"/>
  <c r="AE81" i="14"/>
  <c r="AI81" i="14"/>
  <c r="AL81" i="14" s="1"/>
  <c r="AI68" i="14"/>
  <c r="AL68" i="14" s="1"/>
  <c r="AE68" i="14"/>
  <c r="AF69" i="14"/>
  <c r="AJ69" i="14"/>
  <c r="G56" i="3"/>
  <c r="G273" i="3" s="1"/>
  <c r="F16" i="4" s="1"/>
  <c r="V56" i="14"/>
  <c r="AA56" i="14" s="1"/>
  <c r="V57" i="14"/>
  <c r="AA57" i="14" s="1"/>
  <c r="V49" i="14"/>
  <c r="AA49" i="14" s="1"/>
  <c r="V44" i="14"/>
  <c r="AA44" i="14" s="1"/>
  <c r="V45" i="14"/>
  <c r="AA45" i="14" s="1"/>
  <c r="V47" i="14"/>
  <c r="AA47" i="14" s="1"/>
  <c r="V52" i="14"/>
  <c r="AA52" i="14" s="1"/>
  <c r="V53" i="14"/>
  <c r="AA53" i="14" s="1"/>
  <c r="V54" i="14"/>
  <c r="AA54" i="14" s="1"/>
  <c r="V55" i="14"/>
  <c r="AA55" i="14" s="1"/>
  <c r="V58" i="14"/>
  <c r="AA58" i="14" s="1"/>
  <c r="V39" i="14"/>
  <c r="AA39" i="14" s="1"/>
  <c r="V48" i="14"/>
  <c r="AA48" i="14" s="1"/>
  <c r="V40" i="14"/>
  <c r="AA40" i="14" s="1"/>
  <c r="V41" i="14"/>
  <c r="AA41" i="14" s="1"/>
  <c r="V42" i="14"/>
  <c r="AA42" i="14" s="1"/>
  <c r="V43" i="14"/>
  <c r="AA43" i="14" s="1"/>
  <c r="V46" i="14"/>
  <c r="AA46" i="14" s="1"/>
  <c r="V38" i="14"/>
  <c r="AA38" i="14" s="1"/>
  <c r="V50" i="14"/>
  <c r="AA50" i="14" s="1"/>
  <c r="V51" i="14"/>
  <c r="AA51" i="14" s="1"/>
  <c r="AC39" i="14"/>
  <c r="AC38" i="14"/>
  <c r="AC54" i="14"/>
  <c r="AC58" i="14"/>
  <c r="AC49" i="14"/>
  <c r="AC41" i="14"/>
  <c r="AC45" i="14"/>
  <c r="AC47" i="14"/>
  <c r="AC50" i="14"/>
  <c r="AC48" i="14"/>
  <c r="AC51" i="14"/>
  <c r="AC52" i="14"/>
  <c r="AC53" i="14"/>
  <c r="AC55" i="14"/>
  <c r="AC56" i="14"/>
  <c r="AC57" i="14"/>
  <c r="AC40" i="14"/>
  <c r="AC42" i="14"/>
  <c r="AC43" i="14"/>
  <c r="AC44" i="14"/>
  <c r="AC46" i="14"/>
  <c r="F22" i="10"/>
  <c r="G149" i="4"/>
  <c r="F119" i="4"/>
  <c r="F108" i="4"/>
  <c r="F62" i="4"/>
  <c r="G152" i="4"/>
  <c r="G100" i="4"/>
  <c r="G95" i="4"/>
  <c r="G64" i="4"/>
  <c r="G78" i="4"/>
  <c r="G75" i="4"/>
  <c r="G77" i="4"/>
  <c r="G76" i="4"/>
  <c r="G67" i="4"/>
  <c r="G74" i="4"/>
  <c r="H64" i="4"/>
  <c r="H67" i="4"/>
  <c r="G81" i="4"/>
  <c r="G85" i="4"/>
  <c r="G94" i="4"/>
  <c r="G86" i="4"/>
  <c r="G96" i="4"/>
  <c r="G82" i="4"/>
  <c r="F133" i="4"/>
  <c r="G48" i="4"/>
  <c r="H69" i="3"/>
  <c r="G11" i="4" s="1"/>
  <c r="G51" i="4"/>
  <c r="G81" i="16"/>
  <c r="H127" i="3"/>
  <c r="H130" i="3" s="1"/>
  <c r="H303" i="3" s="1"/>
  <c r="H25" i="3"/>
  <c r="H81" i="3"/>
  <c r="H83" i="3" s="1"/>
  <c r="G12" i="4" s="1"/>
  <c r="H40" i="3"/>
  <c r="H41" i="3" s="1"/>
  <c r="AN83" i="14" l="1"/>
  <c r="AU83" i="14"/>
  <c r="AN80" i="14"/>
  <c r="AG84" i="14"/>
  <c r="AV84" i="14" s="1"/>
  <c r="AU84" i="14"/>
  <c r="AU80" i="14"/>
  <c r="AG67" i="14"/>
  <c r="AV67" i="14" s="1"/>
  <c r="AU67" i="14"/>
  <c r="AN67" i="14"/>
  <c r="AG70" i="14"/>
  <c r="AV70" i="14" s="1"/>
  <c r="AU70" i="14"/>
  <c r="AN70" i="14"/>
  <c r="AG79" i="14"/>
  <c r="AV79" i="14" s="1"/>
  <c r="AN79" i="14"/>
  <c r="AU79" i="14"/>
  <c r="AL69" i="14"/>
  <c r="AG68" i="14"/>
  <c r="AV68" i="14" s="1"/>
  <c r="AN68" i="14"/>
  <c r="AU68" i="14"/>
  <c r="AU69" i="14"/>
  <c r="AN69" i="14"/>
  <c r="AG69" i="14"/>
  <c r="AV69" i="14" s="1"/>
  <c r="AG75" i="14"/>
  <c r="AV75" i="14" s="1"/>
  <c r="AN75" i="14"/>
  <c r="AU75" i="14"/>
  <c r="AG81" i="14"/>
  <c r="AV81" i="14" s="1"/>
  <c r="AN81" i="14"/>
  <c r="AU81" i="14"/>
  <c r="AG74" i="14"/>
  <c r="AV74" i="14" s="1"/>
  <c r="AN74" i="14"/>
  <c r="AU74" i="14"/>
  <c r="AG77" i="14"/>
  <c r="AV77" i="14" s="1"/>
  <c r="AU77" i="14"/>
  <c r="AN77" i="14"/>
  <c r="AL77" i="14"/>
  <c r="AN78" i="14"/>
  <c r="AG78" i="14"/>
  <c r="AV78" i="14" s="1"/>
  <c r="AU78" i="14"/>
  <c r="AG72" i="14"/>
  <c r="AV72" i="14" s="1"/>
  <c r="AU72" i="14"/>
  <c r="AN72" i="14"/>
  <c r="W55" i="14"/>
  <c r="W56" i="14"/>
  <c r="W39" i="14"/>
  <c r="W41" i="14"/>
  <c r="W42" i="14"/>
  <c r="W45" i="14"/>
  <c r="W47" i="14"/>
  <c r="W50" i="14"/>
  <c r="W57" i="14"/>
  <c r="W58" i="14"/>
  <c r="W49" i="14"/>
  <c r="W48" i="14"/>
  <c r="W40" i="14"/>
  <c r="W43" i="14"/>
  <c r="W44" i="14"/>
  <c r="W46" i="14"/>
  <c r="W38" i="14"/>
  <c r="W51" i="14"/>
  <c r="W52" i="14"/>
  <c r="W53" i="14"/>
  <c r="W54" i="14"/>
  <c r="F47" i="4"/>
  <c r="G363" i="3"/>
  <c r="G368" i="3"/>
  <c r="F148" i="4"/>
  <c r="F154" i="4" s="1"/>
  <c r="G358" i="3"/>
  <c r="F9" i="4"/>
  <c r="H304" i="3"/>
  <c r="H302" i="3"/>
  <c r="H289" i="3"/>
  <c r="H291" i="3" s="1"/>
  <c r="G63" i="16"/>
  <c r="G67" i="16" s="1"/>
  <c r="H290" i="3"/>
  <c r="G64" i="16"/>
  <c r="G68" i="16" s="1"/>
  <c r="G87" i="4"/>
  <c r="H317" i="3"/>
  <c r="H318" i="3" s="1"/>
  <c r="H253" i="3"/>
  <c r="G66" i="4"/>
  <c r="G65" i="4"/>
  <c r="H42" i="3"/>
  <c r="H44" i="3"/>
  <c r="H45" i="3" s="1"/>
  <c r="G153" i="4" s="1"/>
  <c r="G111" i="4" s="1"/>
  <c r="H129" i="3"/>
  <c r="H228" i="3" s="1"/>
  <c r="H128" i="3"/>
  <c r="H198" i="3" s="1"/>
  <c r="G86" i="16"/>
  <c r="G89" i="16" s="1"/>
  <c r="G84" i="16"/>
  <c r="H86" i="3"/>
  <c r="G26" i="4" s="1"/>
  <c r="H27" i="3"/>
  <c r="H309" i="3"/>
  <c r="F25" i="4" l="1"/>
  <c r="F125" i="4" s="1"/>
  <c r="AB43" i="14"/>
  <c r="AD43" i="14" s="1"/>
  <c r="AJ59" i="14"/>
  <c r="AJ60" i="14" s="1"/>
  <c r="AK43" i="14" s="1"/>
  <c r="AB48" i="14"/>
  <c r="AD48" i="14" s="1"/>
  <c r="AB49" i="14"/>
  <c r="AD49" i="14" s="1"/>
  <c r="AB51" i="14"/>
  <c r="AD51" i="14" s="1"/>
  <c r="AB58" i="14"/>
  <c r="AD58" i="14" s="1"/>
  <c r="AB47" i="14"/>
  <c r="AD47" i="14" s="1"/>
  <c r="AB42" i="14"/>
  <c r="AD42" i="14" s="1"/>
  <c r="AB41" i="14"/>
  <c r="AD41" i="14" s="1"/>
  <c r="AB38" i="14"/>
  <c r="AD38" i="14" s="1"/>
  <c r="AB50" i="14"/>
  <c r="AD50" i="14" s="1"/>
  <c r="AC25" i="14"/>
  <c r="AC26" i="14"/>
  <c r="AC10" i="14"/>
  <c r="AC16" i="14"/>
  <c r="AC18" i="14"/>
  <c r="AC20" i="14"/>
  <c r="AC23" i="14"/>
  <c r="AC24" i="14"/>
  <c r="AC27" i="14"/>
  <c r="AC28" i="14"/>
  <c r="AC29" i="14"/>
  <c r="AC11" i="14"/>
  <c r="AC9" i="14"/>
  <c r="AC12" i="14"/>
  <c r="AC17" i="14"/>
  <c r="AC19" i="14"/>
  <c r="AC21" i="14"/>
  <c r="AC13" i="14"/>
  <c r="AC14" i="14"/>
  <c r="AC15" i="14"/>
  <c r="AC22" i="14"/>
  <c r="F109" i="4"/>
  <c r="F63" i="4"/>
  <c r="F14" i="4"/>
  <c r="AB54" i="14"/>
  <c r="AD54" i="14" s="1"/>
  <c r="AB55" i="14"/>
  <c r="AD55" i="14" s="1"/>
  <c r="AB40" i="14"/>
  <c r="AD40" i="14" s="1"/>
  <c r="AB57" i="14"/>
  <c r="AD57" i="14" s="1"/>
  <c r="F17" i="4"/>
  <c r="G292" i="3"/>
  <c r="F72" i="16"/>
  <c r="F76" i="16" s="1"/>
  <c r="F7" i="16" s="1"/>
  <c r="F71" i="16"/>
  <c r="F75" i="16" s="1"/>
  <c r="F6" i="16" s="1"/>
  <c r="AB46" i="14"/>
  <c r="AD46" i="14" s="1"/>
  <c r="AB44" i="14"/>
  <c r="AD44" i="14" s="1"/>
  <c r="AB45" i="14"/>
  <c r="AD45" i="14" s="1"/>
  <c r="AB39" i="14"/>
  <c r="AD39" i="14" s="1"/>
  <c r="AB56" i="14"/>
  <c r="AD56" i="14" s="1"/>
  <c r="AB53" i="14"/>
  <c r="AD53" i="14" s="1"/>
  <c r="AB52" i="14"/>
  <c r="AD52" i="14" s="1"/>
  <c r="G18" i="4"/>
  <c r="G72" i="4" s="1"/>
  <c r="G141" i="4"/>
  <c r="G122" i="4"/>
  <c r="G124" i="4"/>
  <c r="G123" i="4"/>
  <c r="G121" i="4"/>
  <c r="G120" i="4"/>
  <c r="G127" i="4"/>
  <c r="G131" i="4"/>
  <c r="G140" i="4"/>
  <c r="G132" i="4"/>
  <c r="G142" i="4"/>
  <c r="G128" i="4"/>
  <c r="G112" i="4"/>
  <c r="G80" i="4"/>
  <c r="G126" i="4"/>
  <c r="H46" i="3"/>
  <c r="H47" i="3"/>
  <c r="H51" i="3" s="1"/>
  <c r="H56" i="3" s="1"/>
  <c r="G52" i="4"/>
  <c r="I15" i="3"/>
  <c r="I388" i="3"/>
  <c r="G16" i="10" s="1"/>
  <c r="H352" i="3"/>
  <c r="H338" i="3"/>
  <c r="H346" i="3"/>
  <c r="H344" i="3"/>
  <c r="H311" i="3"/>
  <c r="G19" i="4" s="1"/>
  <c r="H350" i="3"/>
  <c r="H199" i="3"/>
  <c r="H197" i="3"/>
  <c r="H227" i="3"/>
  <c r="H229" i="3"/>
  <c r="AK48" i="14" l="1"/>
  <c r="AK41" i="14"/>
  <c r="H273" i="3"/>
  <c r="G16" i="4" s="1"/>
  <c r="G116" i="4" s="1"/>
  <c r="AK47" i="14"/>
  <c r="AK58" i="14"/>
  <c r="AK45" i="14"/>
  <c r="AK55" i="14"/>
  <c r="AK51" i="14"/>
  <c r="F79" i="4"/>
  <c r="AK46" i="14"/>
  <c r="AK49" i="14"/>
  <c r="AK53" i="14"/>
  <c r="AK54" i="14"/>
  <c r="AK52" i="14"/>
  <c r="AK38" i="14"/>
  <c r="AK56" i="14"/>
  <c r="AK39" i="14"/>
  <c r="AK57" i="14"/>
  <c r="AK40" i="14"/>
  <c r="AK42" i="14"/>
  <c r="AK44" i="14"/>
  <c r="AM80" i="14"/>
  <c r="AM81" i="14"/>
  <c r="AM77" i="14"/>
  <c r="AM68" i="14"/>
  <c r="AM82" i="14"/>
  <c r="AM83" i="14"/>
  <c r="AM84" i="14"/>
  <c r="AM67" i="14"/>
  <c r="AM72" i="14"/>
  <c r="AM69" i="14"/>
  <c r="AM70" i="14"/>
  <c r="AM71" i="14"/>
  <c r="AM73" i="14"/>
  <c r="AM74" i="14"/>
  <c r="AM75" i="14"/>
  <c r="AM78" i="14"/>
  <c r="AM79" i="14"/>
  <c r="F117" i="4"/>
  <c r="F71" i="4"/>
  <c r="G118" i="4"/>
  <c r="F114" i="4"/>
  <c r="Z112" i="14"/>
  <c r="Z113" i="14"/>
  <c r="Z114" i="14"/>
  <c r="Z115" i="14"/>
  <c r="Z106" i="14"/>
  <c r="Z97" i="14"/>
  <c r="Z98" i="14"/>
  <c r="Z99" i="14"/>
  <c r="Z107" i="14"/>
  <c r="Z105" i="14"/>
  <c r="Z100" i="14"/>
  <c r="Z101" i="14"/>
  <c r="Z102" i="14"/>
  <c r="Z103" i="14"/>
  <c r="Z104" i="14"/>
  <c r="Z96" i="14"/>
  <c r="Z95" i="14"/>
  <c r="Z108" i="14"/>
  <c r="Z109" i="14"/>
  <c r="Z110" i="14"/>
  <c r="Z111" i="14"/>
  <c r="F68" i="4"/>
  <c r="AM76" i="14"/>
  <c r="AA105" i="14"/>
  <c r="F116" i="4"/>
  <c r="G405" i="3"/>
  <c r="F70" i="4"/>
  <c r="AK50" i="14"/>
  <c r="G147" i="4"/>
  <c r="G46" i="4"/>
  <c r="G8" i="4"/>
  <c r="G148" i="4"/>
  <c r="H146" i="4"/>
  <c r="H99" i="4"/>
  <c r="G133" i="4"/>
  <c r="G73" i="4"/>
  <c r="G119" i="4"/>
  <c r="G51" i="10"/>
  <c r="G54" i="10" s="1"/>
  <c r="H16" i="10"/>
  <c r="G22" i="10"/>
  <c r="H358" i="3"/>
  <c r="H363" i="3"/>
  <c r="H368" i="3"/>
  <c r="G47" i="4"/>
  <c r="G9" i="4"/>
  <c r="I378" i="3"/>
  <c r="I380" i="3" s="1"/>
  <c r="H28" i="4" s="1"/>
  <c r="H45" i="4"/>
  <c r="I188" i="3"/>
  <c r="I38" i="3"/>
  <c r="I22" i="3"/>
  <c r="I23" i="3"/>
  <c r="I79" i="3"/>
  <c r="I81" i="3" s="1"/>
  <c r="I83" i="3" s="1"/>
  <c r="H12" i="4" s="1"/>
  <c r="H30" i="16"/>
  <c r="H33" i="16" s="1"/>
  <c r="I196" i="3"/>
  <c r="I20" i="3"/>
  <c r="H31" i="16"/>
  <c r="H34" i="16" s="1"/>
  <c r="G17" i="4" l="1"/>
  <c r="G154" i="4"/>
  <c r="G109" i="4"/>
  <c r="H292" i="3"/>
  <c r="G62" i="4"/>
  <c r="G108" i="4"/>
  <c r="I40" i="3"/>
  <c r="I41" i="3" s="1"/>
  <c r="I44" i="3" s="1"/>
  <c r="I45" i="3" s="1"/>
  <c r="H153" i="4" s="1"/>
  <c r="I233" i="3"/>
  <c r="G72" i="16"/>
  <c r="G76" i="16" s="1"/>
  <c r="G7" i="16" s="1"/>
  <c r="G71" i="16"/>
  <c r="G75" i="16" s="1"/>
  <c r="G6" i="16" s="1"/>
  <c r="H100" i="4"/>
  <c r="H152" i="4"/>
  <c r="H95" i="4"/>
  <c r="H75" i="4"/>
  <c r="H74" i="4"/>
  <c r="H81" i="4"/>
  <c r="H78" i="4"/>
  <c r="H77" i="4"/>
  <c r="H76" i="4"/>
  <c r="H85" i="4"/>
  <c r="H94" i="4"/>
  <c r="H86" i="4"/>
  <c r="H96" i="4"/>
  <c r="H82" i="4"/>
  <c r="H66" i="4"/>
  <c r="G14" i="4"/>
  <c r="G63" i="4"/>
  <c r="I24" i="3"/>
  <c r="I86" i="3"/>
  <c r="H26" i="4" s="1"/>
  <c r="G25" i="4"/>
  <c r="H51" i="4"/>
  <c r="I69" i="3"/>
  <c r="H11" i="4" s="1"/>
  <c r="H81" i="16"/>
  <c r="I127" i="3"/>
  <c r="I130" i="3" s="1"/>
  <c r="I303" i="3" s="1"/>
  <c r="H51" i="10"/>
  <c r="H54" i="10" s="1"/>
  <c r="H22" i="10"/>
  <c r="G71" i="4" l="1"/>
  <c r="G117" i="4"/>
  <c r="H73" i="16"/>
  <c r="H77" i="16" s="1"/>
  <c r="I304" i="3"/>
  <c r="I302" i="3"/>
  <c r="H48" i="4"/>
  <c r="H111" i="4"/>
  <c r="I42" i="3"/>
  <c r="H87" i="4"/>
  <c r="I253" i="3"/>
  <c r="G70" i="4"/>
  <c r="I25" i="3"/>
  <c r="I309" i="3" s="1"/>
  <c r="I311" i="3" s="1"/>
  <c r="H19" i="4" s="1"/>
  <c r="H149" i="4"/>
  <c r="H141" i="4"/>
  <c r="H121" i="4"/>
  <c r="H120" i="4"/>
  <c r="H124" i="4"/>
  <c r="H127" i="4"/>
  <c r="H123" i="4"/>
  <c r="H122" i="4"/>
  <c r="H131" i="4"/>
  <c r="H140" i="4"/>
  <c r="H132" i="4"/>
  <c r="H142" i="4"/>
  <c r="H128" i="4"/>
  <c r="H112" i="4"/>
  <c r="G125" i="4"/>
  <c r="H405" i="3"/>
  <c r="H80" i="4"/>
  <c r="H126" i="4"/>
  <c r="H65" i="4"/>
  <c r="G68" i="4"/>
  <c r="G114" i="4"/>
  <c r="G79" i="4"/>
  <c r="I46" i="3"/>
  <c r="I47" i="3"/>
  <c r="I51" i="3" s="1"/>
  <c r="I56" i="3" s="1"/>
  <c r="I273" i="3" s="1"/>
  <c r="H16" i="4" s="1"/>
  <c r="H52" i="4"/>
  <c r="I128" i="3"/>
  <c r="I198" i="3" s="1"/>
  <c r="I129" i="3"/>
  <c r="I228" i="3" s="1"/>
  <c r="H86" i="16"/>
  <c r="H89" i="16" s="1"/>
  <c r="H84" i="16"/>
  <c r="H17" i="4" l="1"/>
  <c r="I317" i="3"/>
  <c r="I318" i="3" s="1"/>
  <c r="H18" i="4" s="1"/>
  <c r="H118" i="4" s="1"/>
  <c r="I290" i="3"/>
  <c r="H64" i="16"/>
  <c r="H68" i="16" s="1"/>
  <c r="H63" i="16"/>
  <c r="H67" i="16" s="1"/>
  <c r="I289" i="3"/>
  <c r="I291" i="3" s="1"/>
  <c r="H147" i="4"/>
  <c r="H8" i="4"/>
  <c r="H46" i="4"/>
  <c r="I27" i="3"/>
  <c r="H133" i="4"/>
  <c r="H9" i="4"/>
  <c r="H148" i="4"/>
  <c r="H73" i="4"/>
  <c r="H119" i="4"/>
  <c r="I368" i="3"/>
  <c r="I344" i="3"/>
  <c r="I338" i="3"/>
  <c r="I363" i="3"/>
  <c r="I352" i="3"/>
  <c r="I346" i="3"/>
  <c r="I350" i="3"/>
  <c r="I358" i="3"/>
  <c r="H47" i="4"/>
  <c r="I227" i="3"/>
  <c r="I229" i="3"/>
  <c r="I197" i="3"/>
  <c r="I199" i="3"/>
  <c r="H72" i="16" l="1"/>
  <c r="H76" i="16" s="1"/>
  <c r="H7" i="16" s="1"/>
  <c r="I292" i="3"/>
  <c r="H116" i="4"/>
  <c r="H71" i="16"/>
  <c r="H75" i="16" s="1"/>
  <c r="H6" i="16" s="1"/>
  <c r="H154" i="4"/>
  <c r="H14" i="4"/>
  <c r="H68" i="4" s="1"/>
  <c r="H72" i="4"/>
  <c r="H62" i="4"/>
  <c r="H108" i="4"/>
  <c r="H63" i="4"/>
  <c r="H109" i="4"/>
  <c r="H71" i="4"/>
  <c r="H117" i="4"/>
  <c r="H25" i="4"/>
  <c r="H70" i="4" l="1"/>
  <c r="H114" i="4"/>
  <c r="H125" i="4"/>
  <c r="I405" i="3"/>
  <c r="H79" i="4"/>
  <c r="G118" i="8" l="1"/>
  <c r="G123" i="8" s="1"/>
  <c r="G18" i="8" s="1"/>
  <c r="G50" i="8" l="1"/>
  <c r="G51" i="8" s="1"/>
  <c r="G52" i="8" s="1"/>
  <c r="G32" i="8" s="1"/>
  <c r="G33" i="8" s="1"/>
  <c r="R18" i="8"/>
  <c r="D16" i="4" s="1"/>
  <c r="R118" i="8"/>
  <c r="G37" i="8" l="1"/>
  <c r="D116" i="4"/>
  <c r="D70" i="4"/>
  <c r="E405" i="3"/>
  <c r="R123" i="8"/>
  <c r="T119" i="8"/>
  <c r="AA96" i="14" l="1"/>
  <c r="AA115" i="14"/>
  <c r="AA112" i="14"/>
  <c r="AA95" i="14"/>
  <c r="AA108" i="14"/>
  <c r="AA114" i="14"/>
  <c r="AA104" i="14"/>
  <c r="AA107" i="14"/>
  <c r="AA113" i="14"/>
  <c r="AA101" i="14"/>
  <c r="AA103" i="14"/>
  <c r="AA111" i="14"/>
  <c r="AA97" i="14"/>
  <c r="AA110" i="14"/>
  <c r="AA98" i="14"/>
  <c r="AA106" i="14"/>
  <c r="AA100" i="14"/>
  <c r="AA109" i="14"/>
  <c r="AA99" i="14"/>
  <c r="AA102" i="14"/>
  <c r="G38" i="8"/>
  <c r="G40" i="8" l="1"/>
  <c r="G44" i="8" l="1"/>
  <c r="G45" i="8" l="1"/>
  <c r="H52" i="8" l="1"/>
  <c r="H32" i="8" s="1"/>
  <c r="H33" i="8" l="1"/>
  <c r="H37" i="8" l="1"/>
  <c r="H38" i="8" l="1"/>
  <c r="H40" i="8" l="1"/>
  <c r="H44" i="8" l="1"/>
  <c r="H45" i="8" l="1"/>
  <c r="I52" i="8" l="1"/>
  <c r="I32" i="8" s="1"/>
  <c r="I33" i="8" l="1"/>
  <c r="I37" i="8" l="1"/>
  <c r="I38" i="8" l="1"/>
  <c r="I40" i="8" l="1"/>
  <c r="I44" i="8" l="1"/>
  <c r="I45" i="8" l="1"/>
  <c r="J52" i="8" l="1"/>
  <c r="J32" i="8" s="1"/>
  <c r="J33" i="8" l="1"/>
  <c r="J37" i="8" l="1"/>
  <c r="J38" i="8" l="1"/>
  <c r="J40" i="8" l="1"/>
  <c r="J44" i="8" l="1"/>
  <c r="J45" i="8" l="1"/>
  <c r="K52" i="8" l="1"/>
  <c r="K32" i="8" s="1"/>
  <c r="K33" i="8" l="1"/>
  <c r="K37" i="8" l="1"/>
  <c r="K38" i="8" l="1"/>
  <c r="K40" i="8" l="1"/>
  <c r="K44" i="8" l="1"/>
  <c r="K45" i="8" l="1"/>
  <c r="L52" i="8" l="1"/>
  <c r="L32" i="8" s="1"/>
  <c r="L33" i="8" l="1"/>
  <c r="L37" i="8" l="1"/>
  <c r="L38" i="8" l="1"/>
  <c r="L40" i="8" l="1"/>
  <c r="L44" i="8" l="1"/>
  <c r="L45" i="8" l="1"/>
  <c r="M52" i="8" l="1"/>
  <c r="M32" i="8" s="1"/>
  <c r="M33" i="8" l="1"/>
  <c r="M37" i="8" s="1"/>
  <c r="M38" i="8" s="1"/>
  <c r="M40" i="8" s="1"/>
  <c r="M44" i="8" s="1"/>
  <c r="M45" i="8" s="1"/>
  <c r="N52" i="8" s="1"/>
  <c r="N32" i="8" s="1"/>
  <c r="N33" i="8" s="1"/>
  <c r="N37" i="8" s="1"/>
  <c r="N38" i="8" s="1"/>
  <c r="N40" i="8" s="1"/>
  <c r="N44" i="8" s="1"/>
  <c r="N45" i="8" s="1"/>
  <c r="O52" i="8" s="1"/>
  <c r="O32" i="8" s="1"/>
  <c r="O33" i="8" s="1"/>
  <c r="O37" i="8" s="1"/>
  <c r="O38" i="8" s="1"/>
  <c r="O40" i="8" s="1"/>
  <c r="O44" i="8" s="1"/>
  <c r="O45" i="8" s="1"/>
  <c r="P52" i="8" s="1"/>
  <c r="P32" i="8" s="1"/>
  <c r="P33" i="8" s="1"/>
  <c r="P37" i="8" s="1"/>
  <c r="P38" i="8" s="1"/>
  <c r="P40" i="8" s="1"/>
  <c r="P44" i="8" s="1"/>
  <c r="P45" i="8" s="1"/>
  <c r="Q52" i="8" s="1"/>
  <c r="Q32" i="8" s="1"/>
  <c r="Q33" i="8" s="1"/>
  <c r="R32" i="8" l="1"/>
  <c r="Q37" i="8"/>
  <c r="R33" i="8"/>
  <c r="Q38" i="8" l="1"/>
  <c r="R37" i="8"/>
  <c r="E408" i="3"/>
  <c r="D29" i="4"/>
  <c r="D30" i="4" l="1"/>
  <c r="D129" i="4"/>
  <c r="D83" i="4"/>
  <c r="D84" i="4" s="1"/>
  <c r="D88" i="4" s="1"/>
  <c r="D89" i="4" s="1"/>
  <c r="Q40" i="8"/>
  <c r="R38" i="8"/>
  <c r="Q44" i="8" l="1"/>
  <c r="R40" i="8"/>
  <c r="D34" i="4"/>
  <c r="D35" i="4" s="1"/>
  <c r="D130" i="4"/>
  <c r="D134" i="4" s="1"/>
  <c r="D39" i="4" l="1"/>
  <c r="D135" i="4"/>
  <c r="D36" i="4"/>
  <c r="Q45" i="8"/>
  <c r="R44" i="8"/>
  <c r="D43" i="4" l="1"/>
  <c r="D93" i="4"/>
  <c r="D97" i="4" s="1"/>
  <c r="D139" i="4"/>
  <c r="D143" i="4" s="1"/>
  <c r="R45" i="8"/>
  <c r="F53" i="8"/>
  <c r="E406" i="3" s="1"/>
  <c r="D136" i="4"/>
  <c r="D90" i="4"/>
  <c r="C10" i="18"/>
  <c r="D54" i="4" l="1"/>
  <c r="F385" i="3"/>
  <c r="F399" i="3"/>
  <c r="C11" i="18"/>
  <c r="D9" i="10" l="1"/>
  <c r="D14" i="10" s="1"/>
  <c r="D23" i="10" s="1"/>
  <c r="F396" i="3"/>
  <c r="F406" i="3"/>
  <c r="F408" i="3" s="1"/>
  <c r="E29" i="4" s="1"/>
  <c r="F403" i="3"/>
  <c r="D25" i="10"/>
  <c r="D29" i="10" s="1"/>
  <c r="D39" i="10" s="1"/>
  <c r="D6" i="18" s="1"/>
  <c r="D5" i="18" l="1"/>
  <c r="D40" i="10"/>
  <c r="E83" i="4"/>
  <c r="E84" i="4" s="1"/>
  <c r="E88" i="4" s="1"/>
  <c r="E89" i="4" s="1"/>
  <c r="E30" i="4"/>
  <c r="E129" i="4"/>
  <c r="E130" i="4" l="1"/>
  <c r="E134" i="4" s="1"/>
  <c r="E34" i="4"/>
  <c r="E35" i="4" s="1"/>
  <c r="D7" i="18"/>
  <c r="E135" i="4" l="1"/>
  <c r="E39" i="4"/>
  <c r="E36" i="4"/>
  <c r="D10" i="18" l="1"/>
  <c r="E90" i="4"/>
  <c r="E136" i="4"/>
  <c r="E93" i="4"/>
  <c r="E97" i="4" s="1"/>
  <c r="E43" i="4"/>
  <c r="E139" i="4"/>
  <c r="E143" i="4" s="1"/>
  <c r="E54" i="4" l="1"/>
  <c r="G385" i="3"/>
  <c r="D11" i="18"/>
  <c r="G396" i="3" l="1"/>
  <c r="E9" i="10"/>
  <c r="E14" i="10" s="1"/>
  <c r="E23" i="10" s="1"/>
  <c r="G399" i="3"/>
  <c r="G406" i="3" l="1"/>
  <c r="G403" i="3"/>
  <c r="E25" i="10"/>
  <c r="E29" i="10" s="1"/>
  <c r="E39" i="10" s="1"/>
  <c r="E6" i="18" s="1"/>
  <c r="H6" i="18" s="1"/>
  <c r="E5" i="18"/>
  <c r="E40" i="10" l="1"/>
  <c r="E7" i="18"/>
  <c r="G408" i="3"/>
  <c r="F29" i="4" s="1"/>
  <c r="H406" i="3"/>
  <c r="I406" i="3" l="1"/>
  <c r="I408" i="3" s="1"/>
  <c r="H29" i="4" s="1"/>
  <c r="H408" i="3"/>
  <c r="G29" i="4" s="1"/>
  <c r="F83" i="4"/>
  <c r="F84" i="4" s="1"/>
  <c r="F88" i="4" s="1"/>
  <c r="F89" i="4" s="1"/>
  <c r="F129" i="4"/>
  <c r="F30" i="4"/>
  <c r="AO68" i="14" l="1"/>
  <c r="AO70" i="14"/>
  <c r="AO72" i="14"/>
  <c r="AO73" i="14"/>
  <c r="AO74" i="14"/>
  <c r="AO75" i="14"/>
  <c r="AO67" i="14"/>
  <c r="AO78" i="14"/>
  <c r="AO79" i="14"/>
  <c r="AO80" i="14"/>
  <c r="AO81" i="14"/>
  <c r="AO82" i="14"/>
  <c r="AO83" i="14"/>
  <c r="AO84" i="14"/>
  <c r="AO77" i="14"/>
  <c r="AO76" i="14"/>
  <c r="AO71" i="14"/>
  <c r="AO69" i="14"/>
  <c r="AE24" i="14"/>
  <c r="AG24" i="14" s="1"/>
  <c r="AB101" i="14"/>
  <c r="AD101" i="14" s="1"/>
  <c r="AE101" i="14" s="1"/>
  <c r="AE28" i="14"/>
  <c r="AG28" i="14" s="1"/>
  <c r="AE23" i="14"/>
  <c r="AG23" i="14" s="1"/>
  <c r="AE15" i="14"/>
  <c r="AG15" i="14" s="1"/>
  <c r="AB112" i="14"/>
  <c r="AD112" i="14" s="1"/>
  <c r="AE112" i="14" s="1"/>
  <c r="AB103" i="14"/>
  <c r="AD103" i="14" s="1"/>
  <c r="AE103" i="14" s="1"/>
  <c r="AE16" i="14"/>
  <c r="AG16" i="14" s="1"/>
  <c r="AB113" i="14"/>
  <c r="AD113" i="14" s="1"/>
  <c r="AE113" i="14" s="1"/>
  <c r="AB104" i="14"/>
  <c r="AD104" i="14" s="1"/>
  <c r="AE104" i="14" s="1"/>
  <c r="AE25" i="14"/>
  <c r="AG25" i="14" s="1"/>
  <c r="AE17" i="14"/>
  <c r="AG17" i="14" s="1"/>
  <c r="AB114" i="14"/>
  <c r="AD114" i="14" s="1"/>
  <c r="AE114" i="14" s="1"/>
  <c r="AB96" i="14"/>
  <c r="AD96" i="14" s="1"/>
  <c r="AE96" i="14" s="1"/>
  <c r="AE26" i="14"/>
  <c r="AG26" i="14" s="1"/>
  <c r="AE18" i="14"/>
  <c r="AG18" i="14" s="1"/>
  <c r="AB115" i="14"/>
  <c r="AD115" i="14" s="1"/>
  <c r="AE115" i="14" s="1"/>
  <c r="AB95" i="14"/>
  <c r="AD95" i="14" s="1"/>
  <c r="AE95" i="14" s="1"/>
  <c r="AE27" i="14"/>
  <c r="AG27" i="14" s="1"/>
  <c r="AE11" i="14"/>
  <c r="AG11" i="14" s="1"/>
  <c r="AB106" i="14"/>
  <c r="AD106" i="14" s="1"/>
  <c r="AE106" i="14" s="1"/>
  <c r="AE10" i="14"/>
  <c r="AG10" i="14" s="1"/>
  <c r="AB105" i="14"/>
  <c r="AD105" i="14" s="1"/>
  <c r="AE105" i="14" s="1"/>
  <c r="AE21" i="14"/>
  <c r="AG21" i="14" s="1"/>
  <c r="AE9" i="14"/>
  <c r="AG9" i="14" s="1"/>
  <c r="AB97" i="14"/>
  <c r="AD97" i="14" s="1"/>
  <c r="AE97" i="14" s="1"/>
  <c r="AE20" i="14"/>
  <c r="AG20" i="14" s="1"/>
  <c r="AB107" i="14"/>
  <c r="AD107" i="14" s="1"/>
  <c r="AE107" i="14" s="1"/>
  <c r="AB98" i="14"/>
  <c r="AD98" i="14" s="1"/>
  <c r="AE98" i="14" s="1"/>
  <c r="AE19" i="14"/>
  <c r="AG19" i="14" s="1"/>
  <c r="AB108" i="14"/>
  <c r="AD108" i="14" s="1"/>
  <c r="AE108" i="14" s="1"/>
  <c r="AB99" i="14"/>
  <c r="AD99" i="14" s="1"/>
  <c r="AE99" i="14" s="1"/>
  <c r="AE12" i="14"/>
  <c r="AG12" i="14" s="1"/>
  <c r="AB109" i="14"/>
  <c r="AD109" i="14" s="1"/>
  <c r="AE109" i="14" s="1"/>
  <c r="AB100" i="14"/>
  <c r="AD100" i="14" s="1"/>
  <c r="AE100" i="14" s="1"/>
  <c r="AE29" i="14"/>
  <c r="AG29" i="14" s="1"/>
  <c r="AE13" i="14"/>
  <c r="AG13" i="14" s="1"/>
  <c r="AB110" i="14"/>
  <c r="AD110" i="14" s="1"/>
  <c r="AE110" i="14" s="1"/>
  <c r="AE22" i="14"/>
  <c r="AG22" i="14" s="1"/>
  <c r="AE14" i="14"/>
  <c r="AG14" i="14" s="1"/>
  <c r="AB111" i="14"/>
  <c r="AD111" i="14" s="1"/>
  <c r="AE111" i="14" s="1"/>
  <c r="AB102" i="14"/>
  <c r="AD102" i="14" s="1"/>
  <c r="AE102" i="14" s="1"/>
  <c r="AE53" i="14"/>
  <c r="AG53" i="14" s="1"/>
  <c r="AH53" i="14" s="1"/>
  <c r="AE54" i="14"/>
  <c r="AG54" i="14" s="1"/>
  <c r="AH54" i="14" s="1"/>
  <c r="AE46" i="14"/>
  <c r="AG46" i="14" s="1"/>
  <c r="AH46" i="14" s="1"/>
  <c r="AE55" i="14"/>
  <c r="AG55" i="14" s="1"/>
  <c r="AH55" i="14" s="1"/>
  <c r="AE47" i="14"/>
  <c r="AG47" i="14" s="1"/>
  <c r="AH47" i="14" s="1"/>
  <c r="AE56" i="14"/>
  <c r="AG56" i="14" s="1"/>
  <c r="AH56" i="14" s="1"/>
  <c r="AE39" i="14"/>
  <c r="AG39" i="14" s="1"/>
  <c r="AH39" i="14" s="1"/>
  <c r="AE57" i="14"/>
  <c r="AG57" i="14" s="1"/>
  <c r="AH57" i="14" s="1"/>
  <c r="AE38" i="14"/>
  <c r="AG38" i="14" s="1"/>
  <c r="AH38" i="14" s="1"/>
  <c r="AE58" i="14"/>
  <c r="AG58" i="14" s="1"/>
  <c r="AH58" i="14" s="1"/>
  <c r="AE48" i="14"/>
  <c r="AG48" i="14" s="1"/>
  <c r="AH48" i="14" s="1"/>
  <c r="AE49" i="14"/>
  <c r="AG49" i="14" s="1"/>
  <c r="AH49" i="14" s="1"/>
  <c r="AE40" i="14"/>
  <c r="AG40" i="14" s="1"/>
  <c r="AH40" i="14" s="1"/>
  <c r="AE41" i="14"/>
  <c r="AG41" i="14" s="1"/>
  <c r="AH41" i="14" s="1"/>
  <c r="AE50" i="14"/>
  <c r="AG50" i="14" s="1"/>
  <c r="AH50" i="14" s="1"/>
  <c r="AE42" i="14"/>
  <c r="AG42" i="14" s="1"/>
  <c r="AH42" i="14" s="1"/>
  <c r="AE51" i="14"/>
  <c r="AG51" i="14" s="1"/>
  <c r="AH51" i="14" s="1"/>
  <c r="AE43" i="14"/>
  <c r="AG43" i="14" s="1"/>
  <c r="AH43" i="14" s="1"/>
  <c r="AE52" i="14"/>
  <c r="AG52" i="14" s="1"/>
  <c r="AH52" i="14" s="1"/>
  <c r="AE44" i="14"/>
  <c r="AG44" i="14" s="1"/>
  <c r="AH44" i="14" s="1"/>
  <c r="AE45" i="14"/>
  <c r="AG45" i="14" s="1"/>
  <c r="AH45" i="14" s="1"/>
  <c r="G30" i="4"/>
  <c r="G83" i="4"/>
  <c r="G84" i="4" s="1"/>
  <c r="G88" i="4" s="1"/>
  <c r="G89" i="4" s="1"/>
  <c r="G129" i="4"/>
  <c r="F130" i="4"/>
  <c r="F134" i="4" s="1"/>
  <c r="F34" i="4"/>
  <c r="F35" i="4" s="1"/>
  <c r="H129" i="4"/>
  <c r="H30" i="4"/>
  <c r="H83" i="4"/>
  <c r="H84" i="4" s="1"/>
  <c r="H88" i="4" s="1"/>
  <c r="H89" i="4" s="1"/>
  <c r="C104" i="14" l="1"/>
  <c r="AF104" i="14"/>
  <c r="D104" i="14" s="1"/>
  <c r="AG104" i="14"/>
  <c r="AG113" i="14"/>
  <c r="AF113" i="14"/>
  <c r="D113" i="14" s="1"/>
  <c r="C113" i="14"/>
  <c r="AF108" i="14"/>
  <c r="D108" i="14" s="1"/>
  <c r="C108" i="14"/>
  <c r="AG108" i="14"/>
  <c r="C95" i="14"/>
  <c r="AF95" i="14"/>
  <c r="D95" i="14" s="1"/>
  <c r="AG95" i="14"/>
  <c r="AG105" i="14"/>
  <c r="C105" i="14"/>
  <c r="AF105" i="14"/>
  <c r="D105" i="14" s="1"/>
  <c r="AG102" i="14"/>
  <c r="AF102" i="14"/>
  <c r="D102" i="14" s="1"/>
  <c r="C102" i="14"/>
  <c r="AF115" i="14"/>
  <c r="D115" i="14" s="1"/>
  <c r="AG115" i="14"/>
  <c r="C115" i="14"/>
  <c r="AF100" i="14"/>
  <c r="D100" i="14" s="1"/>
  <c r="C100" i="14"/>
  <c r="AG100" i="14"/>
  <c r="AG107" i="14"/>
  <c r="C107" i="14"/>
  <c r="AF107" i="14"/>
  <c r="D107" i="14" s="1"/>
  <c r="AG112" i="14"/>
  <c r="AF112" i="14"/>
  <c r="D112" i="14" s="1"/>
  <c r="C112" i="14"/>
  <c r="AF109" i="14"/>
  <c r="D109" i="14" s="1"/>
  <c r="C109" i="14"/>
  <c r="AG109" i="14"/>
  <c r="AG111" i="14"/>
  <c r="C111" i="14"/>
  <c r="AF111" i="14"/>
  <c r="D111" i="14" s="1"/>
  <c r="C101" i="14"/>
  <c r="AF101" i="14"/>
  <c r="D101" i="14" s="1"/>
  <c r="AG101" i="14"/>
  <c r="C106" i="14"/>
  <c r="AF106" i="14"/>
  <c r="D106" i="14" s="1"/>
  <c r="AG106" i="14"/>
  <c r="AF99" i="14"/>
  <c r="D99" i="14" s="1"/>
  <c r="C99" i="14"/>
  <c r="AG99" i="14"/>
  <c r="AG103" i="14"/>
  <c r="C103" i="14"/>
  <c r="AF103" i="14"/>
  <c r="D103" i="14" s="1"/>
  <c r="AG98" i="14"/>
  <c r="C98" i="14"/>
  <c r="AF98" i="14"/>
  <c r="D98" i="14" s="1"/>
  <c r="AF110" i="14"/>
  <c r="D110" i="14" s="1"/>
  <c r="AG110" i="14"/>
  <c r="C110" i="14"/>
  <c r="AG97" i="14"/>
  <c r="AF97" i="14"/>
  <c r="D97" i="14" s="1"/>
  <c r="C97" i="14"/>
  <c r="AG96" i="14"/>
  <c r="C96" i="14"/>
  <c r="AF96" i="14"/>
  <c r="D96" i="14" s="1"/>
  <c r="AF114" i="14"/>
  <c r="D114" i="14" s="1"/>
  <c r="AG114" i="14"/>
  <c r="C114" i="14"/>
  <c r="AQ74" i="14"/>
  <c r="AR74" i="14"/>
  <c r="AQ80" i="14"/>
  <c r="AR80" i="14"/>
  <c r="AQ73" i="14"/>
  <c r="AR73" i="14"/>
  <c r="AR79" i="14"/>
  <c r="AQ79" i="14"/>
  <c r="AQ72" i="14"/>
  <c r="AR72" i="14"/>
  <c r="AR78" i="14"/>
  <c r="AQ78" i="14"/>
  <c r="AR67" i="14"/>
  <c r="AQ67" i="14"/>
  <c r="AQ71" i="14"/>
  <c r="AR71" i="14"/>
  <c r="AQ83" i="14"/>
  <c r="AR83" i="14"/>
  <c r="AR70" i="14"/>
  <c r="AQ70" i="14"/>
  <c r="AQ68" i="14"/>
  <c r="AR68" i="14"/>
  <c r="AQ69" i="14"/>
  <c r="AR69" i="14"/>
  <c r="AR82" i="14"/>
  <c r="AQ82" i="14"/>
  <c r="AQ76" i="14"/>
  <c r="AR76" i="14"/>
  <c r="AQ75" i="14"/>
  <c r="AR75" i="14"/>
  <c r="AR77" i="14"/>
  <c r="AQ77" i="14"/>
  <c r="AQ81" i="14"/>
  <c r="AR81" i="14"/>
  <c r="AQ84" i="14"/>
  <c r="AR84" i="14"/>
  <c r="C48" i="14"/>
  <c r="AI48" i="14"/>
  <c r="D48" i="14" s="1"/>
  <c r="AJ48" i="14"/>
  <c r="AJ45" i="14"/>
  <c r="C45" i="14"/>
  <c r="AI45" i="14"/>
  <c r="D45" i="14" s="1"/>
  <c r="AI38" i="14"/>
  <c r="D38" i="14" s="1"/>
  <c r="AJ38" i="14"/>
  <c r="C38" i="14"/>
  <c r="AI57" i="14"/>
  <c r="D57" i="14" s="1"/>
  <c r="AJ57" i="14"/>
  <c r="C57" i="14"/>
  <c r="AI52" i="14"/>
  <c r="D52" i="14" s="1"/>
  <c r="AJ52" i="14"/>
  <c r="C52" i="14"/>
  <c r="AJ39" i="14"/>
  <c r="C39" i="14"/>
  <c r="AI39" i="14"/>
  <c r="D39" i="14" s="1"/>
  <c r="AI43" i="14"/>
  <c r="D43" i="14" s="1"/>
  <c r="AJ43" i="14"/>
  <c r="C43" i="14"/>
  <c r="AI56" i="14"/>
  <c r="D56" i="14" s="1"/>
  <c r="C56" i="14"/>
  <c r="AJ56" i="14"/>
  <c r="AJ51" i="14"/>
  <c r="C51" i="14"/>
  <c r="AI51" i="14"/>
  <c r="D51" i="14" s="1"/>
  <c r="AJ55" i="14"/>
  <c r="AI55" i="14"/>
  <c r="D55" i="14" s="1"/>
  <c r="C55" i="14"/>
  <c r="AJ54" i="14"/>
  <c r="AI54" i="14"/>
  <c r="D54" i="14" s="1"/>
  <c r="C54" i="14"/>
  <c r="AJ49" i="14"/>
  <c r="C49" i="14"/>
  <c r="AI49" i="14"/>
  <c r="D49" i="14" s="1"/>
  <c r="AJ58" i="14"/>
  <c r="C58" i="14"/>
  <c r="AI58" i="14"/>
  <c r="D58" i="14" s="1"/>
  <c r="C44" i="14"/>
  <c r="AJ44" i="14"/>
  <c r="AI44" i="14"/>
  <c r="D44" i="14" s="1"/>
  <c r="AJ47" i="14"/>
  <c r="AI47" i="14"/>
  <c r="D47" i="14" s="1"/>
  <c r="C47" i="14"/>
  <c r="AJ42" i="14"/>
  <c r="C42" i="14"/>
  <c r="AI42" i="14"/>
  <c r="D42" i="14" s="1"/>
  <c r="AJ50" i="14"/>
  <c r="AI50" i="14"/>
  <c r="D50" i="14" s="1"/>
  <c r="C50" i="14"/>
  <c r="AI46" i="14"/>
  <c r="D46" i="14" s="1"/>
  <c r="AJ46" i="14"/>
  <c r="C46" i="14"/>
  <c r="C41" i="14"/>
  <c r="AI41" i="14"/>
  <c r="D41" i="14" s="1"/>
  <c r="AJ41" i="14"/>
  <c r="C40" i="14"/>
  <c r="AJ40" i="14"/>
  <c r="AI40" i="14"/>
  <c r="D40" i="14" s="1"/>
  <c r="AJ53" i="14"/>
  <c r="AI53" i="14"/>
  <c r="D53" i="14" s="1"/>
  <c r="C53" i="14"/>
  <c r="F36" i="4"/>
  <c r="F39" i="4"/>
  <c r="F135" i="4"/>
  <c r="H130" i="4"/>
  <c r="H134" i="4" s="1"/>
  <c r="H34" i="4"/>
  <c r="H35" i="4" s="1"/>
  <c r="G130" i="4"/>
  <c r="G134" i="4" s="1"/>
  <c r="G34" i="4"/>
  <c r="G35" i="4" s="1"/>
  <c r="E103" i="14" l="1"/>
  <c r="AH103" i="14"/>
  <c r="F103" i="14" s="1"/>
  <c r="AH108" i="14"/>
  <c r="F108" i="14" s="1"/>
  <c r="E108" i="14"/>
  <c r="E97" i="14"/>
  <c r="AH97" i="14"/>
  <c r="F97" i="14" s="1"/>
  <c r="AH106" i="14"/>
  <c r="F106" i="14" s="1"/>
  <c r="E106" i="14"/>
  <c r="E100" i="14"/>
  <c r="AH100" i="14"/>
  <c r="F100" i="14" s="1"/>
  <c r="E95" i="14"/>
  <c r="AH95" i="14"/>
  <c r="F95" i="14" s="1"/>
  <c r="AH96" i="14"/>
  <c r="F96" i="14" s="1"/>
  <c r="E96" i="14"/>
  <c r="E99" i="14"/>
  <c r="AH99" i="14"/>
  <c r="F99" i="14" s="1"/>
  <c r="E110" i="14"/>
  <c r="AH110" i="14"/>
  <c r="F110" i="14" s="1"/>
  <c r="AH111" i="14"/>
  <c r="F111" i="14" s="1"/>
  <c r="E111" i="14"/>
  <c r="E112" i="14"/>
  <c r="AH112" i="14"/>
  <c r="F112" i="14" s="1"/>
  <c r="E102" i="14"/>
  <c r="AH102" i="14"/>
  <c r="F102" i="14" s="1"/>
  <c r="AH113" i="14"/>
  <c r="F113" i="14" s="1"/>
  <c r="E113" i="14"/>
  <c r="E101" i="14"/>
  <c r="AH101" i="14"/>
  <c r="F101" i="14" s="1"/>
  <c r="AH104" i="14"/>
  <c r="F104" i="14" s="1"/>
  <c r="E104" i="14"/>
  <c r="AH115" i="14"/>
  <c r="F115" i="14" s="1"/>
  <c r="E115" i="14"/>
  <c r="E114" i="14"/>
  <c r="AH114" i="14"/>
  <c r="F114" i="14" s="1"/>
  <c r="AH109" i="14"/>
  <c r="F109" i="14" s="1"/>
  <c r="E109" i="14"/>
  <c r="E98" i="14"/>
  <c r="AH98" i="14"/>
  <c r="F98" i="14" s="1"/>
  <c r="E107" i="14"/>
  <c r="AH107" i="14"/>
  <c r="F107" i="14" s="1"/>
  <c r="AH105" i="14"/>
  <c r="F105" i="14" s="1"/>
  <c r="E105" i="14"/>
  <c r="AS84" i="14"/>
  <c r="D84" i="14" s="1"/>
  <c r="AT84" i="14"/>
  <c r="C84" i="14"/>
  <c r="C69" i="14"/>
  <c r="AS69" i="14"/>
  <c r="D69" i="14" s="1"/>
  <c r="AT69" i="14"/>
  <c r="AS78" i="14"/>
  <c r="D78" i="14" s="1"/>
  <c r="AT78" i="14"/>
  <c r="C78" i="14"/>
  <c r="AS81" i="14"/>
  <c r="D81" i="14" s="1"/>
  <c r="AT81" i="14"/>
  <c r="C81" i="14"/>
  <c r="C68" i="14"/>
  <c r="AT68" i="14"/>
  <c r="AS68" i="14"/>
  <c r="D68" i="14" s="1"/>
  <c r="C72" i="14"/>
  <c r="AT72" i="14"/>
  <c r="AS72" i="14"/>
  <c r="D72" i="14" s="1"/>
  <c r="AS77" i="14"/>
  <c r="D77" i="14" s="1"/>
  <c r="AT77" i="14"/>
  <c r="C77" i="14"/>
  <c r="AT70" i="14"/>
  <c r="C70" i="14"/>
  <c r="AS70" i="14"/>
  <c r="D70" i="14" s="1"/>
  <c r="C79" i="14"/>
  <c r="AS79" i="14"/>
  <c r="D79" i="14" s="1"/>
  <c r="AT79" i="14"/>
  <c r="C75" i="14"/>
  <c r="AS75" i="14"/>
  <c r="D75" i="14" s="1"/>
  <c r="AT75" i="14"/>
  <c r="AT83" i="14"/>
  <c r="AS83" i="14"/>
  <c r="D83" i="14" s="1"/>
  <c r="C83" i="14"/>
  <c r="AS73" i="14"/>
  <c r="D73" i="14" s="1"/>
  <c r="AT73" i="14"/>
  <c r="C73" i="14"/>
  <c r="AT76" i="14"/>
  <c r="C76" i="14"/>
  <c r="AS76" i="14"/>
  <c r="D76" i="14" s="1"/>
  <c r="AS71" i="14"/>
  <c r="D71" i="14" s="1"/>
  <c r="C71" i="14"/>
  <c r="AT71" i="14"/>
  <c r="AS80" i="14"/>
  <c r="D80" i="14" s="1"/>
  <c r="C80" i="14"/>
  <c r="AT80" i="14"/>
  <c r="C74" i="14"/>
  <c r="AT74" i="14"/>
  <c r="AS74" i="14"/>
  <c r="D74" i="14" s="1"/>
  <c r="AS82" i="14"/>
  <c r="D82" i="14" s="1"/>
  <c r="C82" i="14"/>
  <c r="AT82" i="14"/>
  <c r="AT67" i="14"/>
  <c r="C67" i="14"/>
  <c r="AS67" i="14"/>
  <c r="D67" i="14" s="1"/>
  <c r="E40" i="14"/>
  <c r="AL40" i="14"/>
  <c r="F40" i="14" s="1"/>
  <c r="E57" i="14"/>
  <c r="AL57" i="14"/>
  <c r="F57" i="14" s="1"/>
  <c r="E47" i="14"/>
  <c r="AL47" i="14"/>
  <c r="F47" i="14" s="1"/>
  <c r="E44" i="14"/>
  <c r="AL44" i="14"/>
  <c r="F44" i="14" s="1"/>
  <c r="AL55" i="14"/>
  <c r="F55" i="14" s="1"/>
  <c r="E55" i="14"/>
  <c r="AL39" i="14"/>
  <c r="F39" i="14" s="1"/>
  <c r="E39" i="14"/>
  <c r="E45" i="14"/>
  <c r="AL45" i="14"/>
  <c r="F45" i="14" s="1"/>
  <c r="AL48" i="14"/>
  <c r="F48" i="14" s="1"/>
  <c r="E48" i="14"/>
  <c r="E52" i="14"/>
  <c r="AL52" i="14"/>
  <c r="F52" i="14" s="1"/>
  <c r="E56" i="14"/>
  <c r="AL56" i="14"/>
  <c r="F56" i="14" s="1"/>
  <c r="E42" i="14"/>
  <c r="AL42" i="14"/>
  <c r="F42" i="14" s="1"/>
  <c r="E49" i="14"/>
  <c r="AL49" i="14"/>
  <c r="F49" i="14" s="1"/>
  <c r="AL41" i="14"/>
  <c r="F41" i="14" s="1"/>
  <c r="E41" i="14"/>
  <c r="AL43" i="14"/>
  <c r="F43" i="14" s="1"/>
  <c r="E43" i="14"/>
  <c r="AL38" i="14"/>
  <c r="F38" i="14" s="1"/>
  <c r="E38" i="14"/>
  <c r="E54" i="14"/>
  <c r="AL54" i="14"/>
  <c r="F54" i="14" s="1"/>
  <c r="E46" i="14"/>
  <c r="AL46" i="14"/>
  <c r="F46" i="14" s="1"/>
  <c r="E53" i="14"/>
  <c r="AL53" i="14"/>
  <c r="F53" i="14" s="1"/>
  <c r="AL50" i="14"/>
  <c r="F50" i="14" s="1"/>
  <c r="E50" i="14"/>
  <c r="AL58" i="14"/>
  <c r="F58" i="14" s="1"/>
  <c r="E58" i="14"/>
  <c r="AL51" i="14"/>
  <c r="F51" i="14" s="1"/>
  <c r="E51" i="14"/>
  <c r="G36" i="4"/>
  <c r="G39" i="4"/>
  <c r="G135" i="4"/>
  <c r="H39" i="4"/>
  <c r="H36" i="4"/>
  <c r="H135" i="4"/>
  <c r="F43" i="4"/>
  <c r="F93" i="4"/>
  <c r="F97" i="4" s="1"/>
  <c r="F139" i="4"/>
  <c r="F143" i="4" s="1"/>
  <c r="F136" i="4"/>
  <c r="F90" i="4"/>
  <c r="E10" i="18"/>
  <c r="E74" i="14" l="1"/>
  <c r="AW74" i="14"/>
  <c r="F74" i="14" s="1"/>
  <c r="E73" i="14"/>
  <c r="AW73" i="14"/>
  <c r="F73" i="14" s="1"/>
  <c r="AW81" i="14"/>
  <c r="F81" i="14" s="1"/>
  <c r="E81" i="14"/>
  <c r="AW70" i="14"/>
  <c r="F70" i="14" s="1"/>
  <c r="E70" i="14"/>
  <c r="AW80" i="14"/>
  <c r="F80" i="14" s="1"/>
  <c r="E80" i="14"/>
  <c r="E77" i="14"/>
  <c r="AW77" i="14"/>
  <c r="F77" i="14" s="1"/>
  <c r="AW78" i="14"/>
  <c r="F78" i="14" s="1"/>
  <c r="E78" i="14"/>
  <c r="E83" i="14"/>
  <c r="AW83" i="14"/>
  <c r="F83" i="14" s="1"/>
  <c r="AW71" i="14"/>
  <c r="F71" i="14" s="1"/>
  <c r="E71" i="14"/>
  <c r="E75" i="14"/>
  <c r="AW75" i="14"/>
  <c r="F75" i="14" s="1"/>
  <c r="E69" i="14"/>
  <c r="AW69" i="14"/>
  <c r="F69" i="14" s="1"/>
  <c r="AW72" i="14"/>
  <c r="F72" i="14" s="1"/>
  <c r="E72" i="14"/>
  <c r="AW67" i="14"/>
  <c r="F67" i="14" s="1"/>
  <c r="E67" i="14"/>
  <c r="E82" i="14"/>
  <c r="AW82" i="14"/>
  <c r="F82" i="14" s="1"/>
  <c r="E79" i="14"/>
  <c r="AW79" i="14"/>
  <c r="F79" i="14" s="1"/>
  <c r="E68" i="14"/>
  <c r="AW68" i="14"/>
  <c r="F68" i="14" s="1"/>
  <c r="E84" i="14"/>
  <c r="AW84" i="14"/>
  <c r="F84" i="14" s="1"/>
  <c r="E76" i="14"/>
  <c r="AW76" i="14"/>
  <c r="F76" i="14" s="1"/>
  <c r="H385" i="3"/>
  <c r="F54" i="4"/>
  <c r="H136" i="4"/>
  <c r="H90" i="4"/>
  <c r="G10" i="18"/>
  <c r="G43" i="4"/>
  <c r="G139" i="4"/>
  <c r="G143" i="4" s="1"/>
  <c r="G93" i="4"/>
  <c r="G97" i="4" s="1"/>
  <c r="E11" i="18"/>
  <c r="H43" i="4"/>
  <c r="H93" i="4"/>
  <c r="H97" i="4" s="1"/>
  <c r="H139" i="4"/>
  <c r="H143" i="4" s="1"/>
  <c r="F10" i="18"/>
  <c r="G136" i="4"/>
  <c r="G90" i="4"/>
  <c r="H10" i="18" l="1"/>
  <c r="G54" i="4"/>
  <c r="H54" i="4" s="1"/>
  <c r="H396" i="3"/>
  <c r="F9" i="10"/>
  <c r="F14" i="10" s="1"/>
  <c r="F23" i="10" s="1"/>
  <c r="I385" i="3"/>
  <c r="I396" i="3" l="1"/>
  <c r="G9" i="10"/>
  <c r="F40" i="10"/>
  <c r="F5" i="18"/>
  <c r="F7" i="18" l="1"/>
  <c r="G14" i="10"/>
  <c r="G23" i="10" s="1"/>
  <c r="H9" i="10"/>
  <c r="H14" i="10" s="1"/>
  <c r="H23" i="10" s="1"/>
  <c r="H40" i="10" s="1"/>
  <c r="G5" i="18" l="1"/>
  <c r="G40" i="10"/>
  <c r="F11" i="18"/>
  <c r="G7" i="18" l="1"/>
  <c r="H5" i="18"/>
  <c r="G11" i="18" l="1"/>
  <c r="H11" i="18" s="1"/>
  <c r="H7" i="18"/>
  <c r="AJ23" i="14" l="1"/>
  <c r="AI23" i="14"/>
  <c r="D23" i="14" s="1"/>
  <c r="AI16" i="14"/>
  <c r="D16" i="14" s="1"/>
  <c r="AJ16" i="14"/>
  <c r="C23" i="14"/>
  <c r="AB23" i="14" s="1"/>
  <c r="AD23" i="14" s="1"/>
  <c r="AH23" i="14" s="1"/>
  <c r="C16" i="14"/>
  <c r="AB16" i="14" s="1"/>
  <c r="AD16" i="14" s="1"/>
  <c r="AH16" i="14" s="1"/>
  <c r="AJ28" i="14"/>
  <c r="AI28" i="14"/>
  <c r="D28" i="14" s="1"/>
  <c r="C28" i="14"/>
  <c r="AB28" i="14" s="1"/>
  <c r="AD28" i="14" s="1"/>
  <c r="AH28" i="14" s="1"/>
  <c r="E28" i="14" l="1"/>
  <c r="AL28" i="14"/>
  <c r="F28" i="14" s="1"/>
  <c r="E16" i="14"/>
  <c r="AL16" i="14"/>
  <c r="F16" i="14" s="1"/>
  <c r="AL23" i="14"/>
  <c r="F23" i="14" s="1"/>
  <c r="E23" i="14"/>
  <c r="AJ21" i="14"/>
  <c r="E21" i="14"/>
  <c r="AL21" i="14"/>
  <c r="F21" i="14" s="1"/>
  <c r="AJ14" i="14"/>
  <c r="AL14" i="14" s="1"/>
  <c r="F14" i="14" s="1"/>
  <c r="AJ17" i="14"/>
  <c r="AL17" i="14"/>
  <c r="F17" i="14" s="1"/>
  <c r="E17" i="14"/>
  <c r="AJ20" i="14"/>
  <c r="E20" i="14"/>
  <c r="AL20" i="14"/>
  <c r="F20" i="14"/>
  <c r="AJ22" i="14"/>
  <c r="E22" i="14" s="1"/>
  <c r="AL22" i="14"/>
  <c r="F22" i="14" s="1"/>
  <c r="AJ25" i="14"/>
  <c r="AL25" i="14" s="1"/>
  <c r="F25" i="14" s="1"/>
  <c r="E25" i="14"/>
  <c r="AJ19" i="14"/>
  <c r="E19" i="14"/>
  <c r="AL19" i="14"/>
  <c r="F19" i="14" s="1"/>
  <c r="AJ24" i="14"/>
  <c r="E24" i="14" s="1"/>
  <c r="AJ12" i="14"/>
  <c r="E12" i="14" s="1"/>
  <c r="AJ13" i="14"/>
  <c r="E13" i="14"/>
  <c r="AL13" i="14"/>
  <c r="F13" i="14" s="1"/>
  <c r="C19" i="14"/>
  <c r="AB19" i="14" s="1"/>
  <c r="AD19" i="14" s="1"/>
  <c r="AH19" i="14" s="1"/>
  <c r="AI19" i="14" s="1"/>
  <c r="D19" i="14" s="1"/>
  <c r="C13" i="14"/>
  <c r="AB13" i="14" s="1"/>
  <c r="AD13" i="14" s="1"/>
  <c r="AH13" i="14" s="1"/>
  <c r="AI13" i="14"/>
  <c r="D13" i="14" s="1"/>
  <c r="AI20" i="14"/>
  <c r="D20" i="14"/>
  <c r="C20" i="14"/>
  <c r="AB20" i="14" s="1"/>
  <c r="AD20" i="14" s="1"/>
  <c r="AH20" i="14" s="1"/>
  <c r="C24" i="14"/>
  <c r="AB24" i="14" s="1"/>
  <c r="AD24" i="14" s="1"/>
  <c r="AH24" i="14" s="1"/>
  <c r="AI24" i="14"/>
  <c r="D24" i="14" s="1"/>
  <c r="AI17" i="14"/>
  <c r="D17" i="14"/>
  <c r="C25" i="14"/>
  <c r="AB25" i="14" s="1"/>
  <c r="AD25" i="14" s="1"/>
  <c r="AH25" i="14" s="1"/>
  <c r="AI25" i="14"/>
  <c r="D25" i="14"/>
  <c r="C21" i="14"/>
  <c r="AB21" i="14" s="1"/>
  <c r="AD21" i="14" s="1"/>
  <c r="AH21" i="14" s="1"/>
  <c r="AI21" i="14" s="1"/>
  <c r="D21" i="14" s="1"/>
  <c r="AJ27" i="14"/>
  <c r="E27" i="14" s="1"/>
  <c r="AL24" i="14" l="1"/>
  <c r="F24" i="14" s="1"/>
  <c r="AI9" i="14"/>
  <c r="D9" i="14" s="1"/>
  <c r="AJ9" i="14"/>
  <c r="C9" i="14"/>
  <c r="AB9" i="14" s="1"/>
  <c r="AD9" i="14" s="1"/>
  <c r="AH9" i="14" s="1"/>
  <c r="AJ15" i="14"/>
  <c r="C15" i="14"/>
  <c r="AB15" i="14" s="1"/>
  <c r="AD15" i="14" s="1"/>
  <c r="AH15" i="14" s="1"/>
  <c r="AI15" i="14"/>
  <c r="D15" i="14" s="1"/>
  <c r="AJ10" i="14"/>
  <c r="AI10" i="14"/>
  <c r="D10" i="14" s="1"/>
  <c r="C10" i="14"/>
  <c r="AB10" i="14" s="1"/>
  <c r="AD10" i="14" s="1"/>
  <c r="AH10" i="14" s="1"/>
  <c r="AJ26" i="14"/>
  <c r="C26" i="14"/>
  <c r="AB26" i="14" s="1"/>
  <c r="AD26" i="14" s="1"/>
  <c r="AH26" i="14" s="1"/>
  <c r="AI26" i="14"/>
  <c r="D26" i="14" s="1"/>
  <c r="AJ29" i="14"/>
  <c r="C29" i="14"/>
  <c r="AB29" i="14" s="1"/>
  <c r="AD29" i="14" s="1"/>
  <c r="AH29" i="14" s="1"/>
  <c r="AI29" i="14"/>
  <c r="D29" i="14" s="1"/>
  <c r="E11" i="14"/>
  <c r="C18" i="14"/>
  <c r="AB18" i="14" s="1"/>
  <c r="AD18" i="14" s="1"/>
  <c r="AH18" i="14" s="1"/>
  <c r="AJ18" i="14"/>
  <c r="AI18" i="14"/>
  <c r="D18" i="14" s="1"/>
  <c r="C27" i="14"/>
  <c r="AB27" i="14" s="1"/>
  <c r="AD27" i="14" s="1"/>
  <c r="AH27" i="14" s="1"/>
  <c r="AI27" i="14" s="1"/>
  <c r="D27" i="14" s="1"/>
  <c r="C14" i="14"/>
  <c r="AB14" i="14" s="1"/>
  <c r="AD14" i="14" s="1"/>
  <c r="AH14" i="14" s="1"/>
  <c r="AI14" i="14" s="1"/>
  <c r="D14" i="14" s="1"/>
  <c r="AI12" i="14"/>
  <c r="D12" i="14" s="1"/>
  <c r="AI22" i="14"/>
  <c r="D22" i="14" s="1"/>
  <c r="E14" i="14"/>
  <c r="AI11" i="14"/>
  <c r="D11" i="14" s="1"/>
  <c r="C11" i="14"/>
  <c r="AB11" i="14" s="1"/>
  <c r="AD11" i="14" s="1"/>
  <c r="AH11" i="14" s="1"/>
  <c r="AJ11" i="14" s="1"/>
  <c r="AL11" i="14" s="1"/>
  <c r="F11" i="14" s="1"/>
  <c r="AL27" i="14"/>
  <c r="F27" i="14" s="1"/>
  <c r="AL12" i="14"/>
  <c r="F12" i="14" s="1"/>
  <c r="E26" i="14" l="1"/>
  <c r="AL26" i="14"/>
  <c r="F26" i="14" s="1"/>
  <c r="AL18" i="14"/>
  <c r="F18" i="14" s="1"/>
  <c r="E18" i="14"/>
  <c r="AL10" i="14"/>
  <c r="F10" i="14" s="1"/>
  <c r="E10" i="14"/>
  <c r="AL15" i="14"/>
  <c r="F15" i="14" s="1"/>
  <c r="E15" i="14"/>
  <c r="AL9" i="14"/>
  <c r="F9" i="14" s="1"/>
  <c r="E9" i="14"/>
  <c r="AL29" i="14"/>
  <c r="F29" i="14" s="1"/>
  <c r="E29" i="14"/>
  <c r="C12" i="14"/>
  <c r="AB12" i="14"/>
  <c r="AD12" i="14"/>
  <c r="AH12" i="14"/>
  <c r="C17" i="14"/>
  <c r="AB17" i="14"/>
  <c r="AD17" i="14"/>
  <c r="AH17" i="14"/>
  <c r="C22" i="14"/>
  <c r="AB22" i="14"/>
  <c r="AD22" i="14"/>
  <c r="AH22"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Brad Marceniuk</author>
  </authors>
  <commentList>
    <comment ref="D69" authorId="0" shapeId="0" xr:uid="{00000000-0006-0000-0200-000001000000}">
      <text>
        <r>
          <rPr>
            <b/>
            <sz val="8"/>
            <color indexed="81"/>
            <rFont val="Tahoma"/>
            <family val="2"/>
          </rPr>
          <t>Brad Marceniuk:</t>
        </r>
        <r>
          <rPr>
            <sz val="8"/>
            <color indexed="81"/>
            <rFont val="Tahoma"/>
            <family val="2"/>
          </rPr>
          <t xml:space="preserve">
Units can be per
- bushel,
- ton,
- tonne;
depending on the feed item.</t>
        </r>
      </text>
    </comment>
    <comment ref="E69" authorId="0" shapeId="0" xr:uid="{00000000-0006-0000-0200-000002000000}">
      <text>
        <r>
          <rPr>
            <b/>
            <sz val="8"/>
            <color indexed="81"/>
            <rFont val="Tahoma"/>
            <family val="2"/>
          </rPr>
          <t>Brad Marceniuk:</t>
        </r>
        <r>
          <rPr>
            <sz val="8"/>
            <color indexed="81"/>
            <rFont val="Tahoma"/>
            <family val="2"/>
          </rPr>
          <t xml:space="preserve">
Cost per unit should correlate with the type  of units in the previous column used.</t>
        </r>
      </text>
    </comment>
    <comment ref="F69" authorId="0" shapeId="0" xr:uid="{00000000-0006-0000-0200-000003000000}">
      <text>
        <r>
          <rPr>
            <b/>
            <sz val="8"/>
            <color indexed="81"/>
            <rFont val="Tahoma"/>
            <family val="2"/>
          </rPr>
          <t>Brad Marceniuk:</t>
        </r>
        <r>
          <rPr>
            <sz val="8"/>
            <color indexed="81"/>
            <rFont val="Tahoma"/>
            <family val="2"/>
          </rPr>
          <t xml:space="preserve">
Sum of total feed costs for that specific commodity or feed. </t>
        </r>
      </text>
    </comment>
    <comment ref="G69" authorId="0" shapeId="0" xr:uid="{00000000-0006-0000-0200-000004000000}">
      <text>
        <r>
          <rPr>
            <b/>
            <sz val="8"/>
            <color indexed="81"/>
            <rFont val="Tahoma"/>
            <family val="2"/>
          </rPr>
          <t>Brad Marceniuk:</t>
        </r>
        <r>
          <rPr>
            <sz val="8"/>
            <color indexed="81"/>
            <rFont val="Tahoma"/>
            <family val="2"/>
          </rPr>
          <t xml:space="preserve">
Units can be per
- bushel,
- ton,
- tonne;
depending on the feed item.</t>
        </r>
      </text>
    </comment>
    <comment ref="H69" authorId="0" shapeId="0" xr:uid="{00000000-0006-0000-0200-000005000000}">
      <text>
        <r>
          <rPr>
            <b/>
            <sz val="8"/>
            <color indexed="81"/>
            <rFont val="Tahoma"/>
            <family val="2"/>
          </rPr>
          <t>Brad Marceniuk:</t>
        </r>
        <r>
          <rPr>
            <sz val="8"/>
            <color indexed="81"/>
            <rFont val="Tahoma"/>
            <family val="2"/>
          </rPr>
          <t xml:space="preserve">
Cost per unit should correlate with the type  of units in the previous column used.</t>
        </r>
      </text>
    </comment>
    <comment ref="I69" authorId="0" shapeId="0" xr:uid="{00000000-0006-0000-0200-000006000000}">
      <text>
        <r>
          <rPr>
            <b/>
            <sz val="8"/>
            <color indexed="81"/>
            <rFont val="Tahoma"/>
            <family val="2"/>
          </rPr>
          <t>Brad Marceniuk:</t>
        </r>
        <r>
          <rPr>
            <sz val="8"/>
            <color indexed="81"/>
            <rFont val="Tahoma"/>
            <family val="2"/>
          </rPr>
          <t xml:space="preserve">
Sum of total feed costs for that specific commodity or feed. </t>
        </r>
      </text>
    </comment>
    <comment ref="C70" authorId="0" shapeId="0" xr:uid="{00000000-0006-0000-0200-000007000000}">
      <text>
        <r>
          <rPr>
            <b/>
            <sz val="8"/>
            <color indexed="81"/>
            <rFont val="Tahoma"/>
            <family val="2"/>
          </rPr>
          <t>Brad Marceniuk:</t>
        </r>
        <r>
          <rPr>
            <sz val="8"/>
            <color indexed="81"/>
            <rFont val="Tahoma"/>
            <family val="2"/>
          </rPr>
          <t xml:space="preserve">
-Grains Produced would include all the costs to produce the grain including seed, fertilizer, chemical, field work, swathing, combining, trucking, etc.
-If grain produced from the previous year was in inventory at the start of this year, grain usage can be calculated by taking the production inventory at the start of the year, add new crop production, and subtract the year ending grain inventory/value.</t>
        </r>
      </text>
    </comment>
    <comment ref="C73" authorId="0" shapeId="0" xr:uid="{00000000-0006-0000-0200-000008000000}">
      <text>
        <r>
          <rPr>
            <b/>
            <sz val="8"/>
            <color indexed="81"/>
            <rFont val="Tahoma"/>
            <family val="2"/>
          </rPr>
          <t>Brad Marceniuk:</t>
        </r>
        <r>
          <rPr>
            <sz val="8"/>
            <color indexed="81"/>
            <rFont val="Tahoma"/>
            <family val="2"/>
          </rPr>
          <t xml:space="preserve">
-Grains/Vitamin/Supplement costs would be the total costs for the year the feed was used. 
-If feed was carried forward from the previous year, the feed amount/cost would be calculated by taking the amount/value of starting inventory at the beginning of the year, add feed purchases during the year, and subtract the year ending feed amount/value.</t>
        </r>
      </text>
    </comment>
    <comment ref="C76" authorId="0" shapeId="0" xr:uid="{00000000-0006-0000-0200-000009000000}">
      <text>
        <r>
          <rPr>
            <b/>
            <sz val="8"/>
            <color indexed="81"/>
            <rFont val="Tahoma"/>
            <family val="2"/>
          </rPr>
          <t>Brad Marceniuk:</t>
        </r>
        <r>
          <rPr>
            <sz val="8"/>
            <color indexed="81"/>
            <rFont val="Tahoma"/>
            <family val="2"/>
          </rPr>
          <t xml:space="preserve">
-Pasture production costs would include the costs to produce and maintain the pasture such as seed, fert., water, fencing, etc.</t>
        </r>
      </text>
    </comment>
    <comment ref="C77" authorId="0" shapeId="0" xr:uid="{00000000-0006-0000-0200-00000A000000}">
      <text>
        <r>
          <rPr>
            <b/>
            <sz val="8"/>
            <color indexed="81"/>
            <rFont val="Tahoma"/>
            <family val="2"/>
          </rPr>
          <t>Brad Marceniuk:</t>
        </r>
        <r>
          <rPr>
            <sz val="8"/>
            <color indexed="81"/>
            <rFont val="Tahoma"/>
            <family val="2"/>
          </rPr>
          <t xml:space="preserve">
-Cost to rent or lease pasture for the animals during the year.</t>
        </r>
      </text>
    </comment>
    <comment ref="C78" authorId="0" shapeId="0" xr:uid="{00000000-0006-0000-0200-00000B000000}">
      <text>
        <r>
          <rPr>
            <b/>
            <sz val="8"/>
            <color indexed="81"/>
            <rFont val="Tahoma"/>
            <family val="2"/>
          </rPr>
          <t>Brad Marceniuk:</t>
        </r>
        <r>
          <rPr>
            <sz val="8"/>
            <color indexed="81"/>
            <rFont val="Tahoma"/>
            <family val="2"/>
          </rPr>
          <t xml:space="preserve">
-Cost to produce the hay including seed, fertilizer, cutting, baling, hauling, etc. 
-If hay produced from the previous year was in inventory at the beginning of the year, actual hay usage can be calculated by taking hay production inventory at the start of year, add new hay production during the year, and subtract the year ending hay inventory/value.</t>
        </r>
      </text>
    </comment>
    <comment ref="C79" authorId="0" shapeId="0" xr:uid="{00000000-0006-0000-0200-00000C000000}">
      <text>
        <r>
          <rPr>
            <b/>
            <sz val="8"/>
            <color indexed="81"/>
            <rFont val="Tahoma"/>
            <family val="2"/>
          </rPr>
          <t>Brad Marceniuk:</t>
        </r>
        <r>
          <rPr>
            <sz val="8"/>
            <color indexed="81"/>
            <rFont val="Tahoma"/>
            <family val="2"/>
          </rPr>
          <t xml:space="preserve">
-Hay purchase costs are the costs of feeding hay that was purchased during the year.
-If hay was carried forward from the previous year, actual hay usage can be calculated by taking the beginning hay inventory amount/value, add the new hay purchases, and subtract ending hay inventory amount/value.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Brad Marceniuk</author>
    <author>Marceniuk, Brad AG</author>
    <author>tc={051E2935-4597-4BC0-9EDF-DA1EDCCDF147}</author>
  </authors>
  <commentList>
    <comment ref="E15" authorId="0" shapeId="0" xr:uid="{00000000-0006-0000-0300-000001000000}">
      <text>
        <r>
          <rPr>
            <b/>
            <sz val="8"/>
            <color indexed="81"/>
            <rFont val="Tahoma"/>
            <family val="2"/>
          </rPr>
          <t>Brad Marceniuk:</t>
        </r>
        <r>
          <rPr>
            <sz val="8"/>
            <color indexed="81"/>
            <rFont val="Tahoma"/>
            <family val="2"/>
          </rPr>
          <t xml:space="preserve">
Number of ewes in the flock at the beginning of the year.</t>
        </r>
      </text>
    </comment>
    <comment ref="F15" authorId="1" shapeId="0" xr:uid="{00000000-0006-0000-0300-000002000000}">
      <text>
        <r>
          <rPr>
            <b/>
            <sz val="9"/>
            <color indexed="81"/>
            <rFont val="Tahoma"/>
            <family val="2"/>
          </rPr>
          <t>Marceniuk, Brad AG:</t>
        </r>
        <r>
          <rPr>
            <sz val="9"/>
            <color indexed="81"/>
            <rFont val="Tahoma"/>
            <family val="2"/>
          </rPr>
          <t xml:space="preserve">
</t>
        </r>
        <r>
          <rPr>
            <sz val="9"/>
            <color indexed="81"/>
            <rFont val="Tahoma"/>
            <family val="2"/>
          </rPr>
          <t>Year 1 numbers will be transferred through to year 5 automatically, but numbers can be changed for individual years.</t>
        </r>
      </text>
    </comment>
    <comment ref="E16" authorId="1" shapeId="0" xr:uid="{00000000-0006-0000-0300-000003000000}">
      <text>
        <r>
          <rPr>
            <b/>
            <sz val="9"/>
            <color indexed="81"/>
            <rFont val="Tahoma"/>
            <family val="2"/>
          </rPr>
          <t>Marceniuk, Brad AG:</t>
        </r>
        <r>
          <rPr>
            <sz val="9"/>
            <color indexed="81"/>
            <rFont val="Tahoma"/>
            <family val="2"/>
          </rPr>
          <t xml:space="preserve">
Number of rams in the flock at the start of year.</t>
        </r>
      </text>
    </comment>
    <comment ref="E17" authorId="1" shapeId="0" xr:uid="{00000000-0006-0000-0300-000004000000}">
      <text>
        <r>
          <rPr>
            <b/>
            <sz val="9"/>
            <color indexed="81"/>
            <rFont val="Tahoma"/>
            <family val="2"/>
          </rPr>
          <t>Marceniuk, Brad AG:</t>
        </r>
        <r>
          <rPr>
            <sz val="9"/>
            <color indexed="81"/>
            <rFont val="Tahoma"/>
            <family val="2"/>
          </rPr>
          <t xml:space="preserve">
Number of open ewes held at start of year.</t>
        </r>
      </text>
    </comment>
    <comment ref="E19" authorId="1" shapeId="0" xr:uid="{00000000-0006-0000-0300-000005000000}">
      <text>
        <r>
          <rPr>
            <b/>
            <sz val="9"/>
            <color indexed="81"/>
            <rFont val="Tahoma"/>
            <family val="2"/>
          </rPr>
          <t>Marceniuk, Brad AG:</t>
        </r>
        <r>
          <rPr>
            <sz val="9"/>
            <color indexed="81"/>
            <rFont val="Tahoma"/>
            <family val="2"/>
          </rPr>
          <t xml:space="preserve">
Percent of the ewes estimated will die during the year.</t>
        </r>
      </text>
    </comment>
    <comment ref="D20" authorId="0" shapeId="0" xr:uid="{00000000-0006-0000-0300-000006000000}">
      <text>
        <r>
          <rPr>
            <b/>
            <sz val="8"/>
            <color indexed="81"/>
            <rFont val="Tahoma"/>
            <family val="2"/>
          </rPr>
          <t>Brad Marceniuk:</t>
        </r>
        <r>
          <rPr>
            <sz val="8"/>
            <color indexed="81"/>
            <rFont val="Tahoma"/>
            <family val="2"/>
          </rPr>
          <t xml:space="preserve">
Calculated from ewe flock at the start of the year.</t>
        </r>
      </text>
    </comment>
    <comment ref="E21" authorId="1" shapeId="0" xr:uid="{00000000-0006-0000-0300-000007000000}">
      <text>
        <r>
          <rPr>
            <b/>
            <sz val="9"/>
            <color indexed="81"/>
            <rFont val="Tahoma"/>
            <family val="2"/>
          </rPr>
          <t>Marceniuk, Brad AG:</t>
        </r>
        <r>
          <rPr>
            <sz val="9"/>
            <color indexed="81"/>
            <rFont val="Tahoma"/>
            <family val="2"/>
          </rPr>
          <t xml:space="preserve">
Percent of the ewes estimated will be culled and sold in the year.
</t>
        </r>
      </text>
    </comment>
    <comment ref="E23" authorId="0" shapeId="0" xr:uid="{00000000-0006-0000-0300-000008000000}">
      <text>
        <r>
          <rPr>
            <b/>
            <sz val="10"/>
            <color indexed="81"/>
            <rFont val="Tahoma"/>
            <family val="2"/>
          </rPr>
          <t>Brad Marceniuk:</t>
        </r>
        <r>
          <rPr>
            <sz val="10"/>
            <color indexed="81"/>
            <rFont val="Tahoma"/>
            <family val="2"/>
          </rPr>
          <t xml:space="preserve">
Program will automatically keep the breeding lambs needed for the year and reduce breeding stock costs to the general raising costs such as feed. Input#6 can be reduced to zero and breeding ewes purchased in Input#7. </t>
        </r>
      </text>
    </comment>
    <comment ref="E24" authorId="0" shapeId="0" xr:uid="{00000000-0006-0000-0300-000009000000}">
      <text>
        <r>
          <rPr>
            <b/>
            <sz val="10"/>
            <color indexed="81"/>
            <rFont val="Tahoma"/>
            <family val="2"/>
          </rPr>
          <t>Brad Marceniuk:</t>
        </r>
        <r>
          <rPr>
            <sz val="10"/>
            <color indexed="81"/>
            <rFont val="Tahoma"/>
            <family val="2"/>
          </rPr>
          <t xml:space="preserve">
Number of ewe lambs kept for breeding. Program will include kept lambs in feeding program and part of average cost of production. </t>
        </r>
      </text>
    </comment>
    <comment ref="E26" authorId="1" shapeId="0" xr:uid="{00000000-0006-0000-0300-00000A000000}">
      <text>
        <r>
          <rPr>
            <b/>
            <sz val="9"/>
            <color indexed="81"/>
            <rFont val="Tahoma"/>
            <family val="2"/>
          </rPr>
          <t>Marceniuk, Brad AG:</t>
        </r>
        <r>
          <rPr>
            <sz val="9"/>
            <color indexed="81"/>
            <rFont val="Tahoma"/>
            <family val="2"/>
          </rPr>
          <t xml:space="preserve">
Average estimated value or price of prchased ewes or market price.</t>
        </r>
      </text>
    </comment>
    <comment ref="E29" authorId="1" shapeId="0" xr:uid="{00000000-0006-0000-0300-00000B000000}">
      <text>
        <r>
          <rPr>
            <b/>
            <sz val="9"/>
            <color indexed="81"/>
            <rFont val="Tahoma"/>
            <family val="2"/>
          </rPr>
          <t>Marceniuk, Brad AG:</t>
        </r>
        <r>
          <rPr>
            <sz val="9"/>
            <color indexed="81"/>
            <rFont val="Tahoma"/>
            <family val="2"/>
          </rPr>
          <t xml:space="preserve">
Percent of the rams estimated will die during the year.</t>
        </r>
      </text>
    </comment>
    <comment ref="D30" authorId="0" shapeId="0" xr:uid="{00000000-0006-0000-0300-00000C000000}">
      <text>
        <r>
          <rPr>
            <b/>
            <sz val="8"/>
            <color indexed="81"/>
            <rFont val="Tahoma"/>
            <family val="2"/>
          </rPr>
          <t>Brad Marceniuk:</t>
        </r>
        <r>
          <rPr>
            <sz val="8"/>
            <color indexed="81"/>
            <rFont val="Tahoma"/>
            <family val="2"/>
          </rPr>
          <t xml:space="preserve">
Calculated from herd sires at the start of the year.</t>
        </r>
      </text>
    </comment>
    <comment ref="E31" authorId="1" shapeId="0" xr:uid="{00000000-0006-0000-0300-00000D000000}">
      <text>
        <r>
          <rPr>
            <b/>
            <sz val="9"/>
            <color indexed="81"/>
            <rFont val="Tahoma"/>
            <family val="2"/>
          </rPr>
          <t>Marceniuk, Brad AG:</t>
        </r>
        <r>
          <rPr>
            <sz val="9"/>
            <color indexed="81"/>
            <rFont val="Tahoma"/>
            <family val="2"/>
          </rPr>
          <t xml:space="preserve">
Percent of the rams estimated will be culled in the year.</t>
        </r>
      </text>
    </comment>
    <comment ref="E33" authorId="1" shapeId="0" xr:uid="{00000000-0006-0000-0300-00000E000000}">
      <text>
        <r>
          <rPr>
            <b/>
            <sz val="9"/>
            <color indexed="81"/>
            <rFont val="Tahoma"/>
            <family val="2"/>
          </rPr>
          <t>Marceniuk, Brad AG:</t>
        </r>
        <r>
          <rPr>
            <sz val="9"/>
            <color indexed="81"/>
            <rFont val="Tahoma"/>
            <family val="2"/>
          </rPr>
          <t xml:space="preserve">
Number of rams estimated to be purchased during the year. Can be changed manually in Input#11.</t>
        </r>
      </text>
    </comment>
    <comment ref="E34" authorId="1" shapeId="0" xr:uid="{00000000-0006-0000-0300-00000F000000}">
      <text>
        <r>
          <rPr>
            <b/>
            <sz val="9"/>
            <color indexed="81"/>
            <rFont val="Tahoma"/>
            <family val="2"/>
          </rPr>
          <t>Marceniuk, Brad AG:</t>
        </r>
        <r>
          <rPr>
            <sz val="9"/>
            <color indexed="81"/>
            <rFont val="Tahoma"/>
            <family val="2"/>
          </rPr>
          <t xml:space="preserve">
Average estimated value or price of rams.</t>
        </r>
      </text>
    </comment>
    <comment ref="E37" authorId="1" shapeId="0" xr:uid="{00000000-0006-0000-0300-000010000000}">
      <text>
        <r>
          <rPr>
            <b/>
            <sz val="9"/>
            <color indexed="81"/>
            <rFont val="Tahoma"/>
            <family val="2"/>
          </rPr>
          <t>Marceniuk, Brad AG:</t>
        </r>
        <r>
          <rPr>
            <sz val="9"/>
            <color indexed="81"/>
            <rFont val="Tahoma"/>
            <family val="2"/>
          </rPr>
          <t xml:space="preserve">
Average estimated lambing rate for the year. Lambing rates can vary with time of year bred and type of breed of ewes and rams.</t>
        </r>
      </text>
    </comment>
    <comment ref="D38" authorId="0" shapeId="0" xr:uid="{00000000-0006-0000-0300-000011000000}">
      <text>
        <r>
          <rPr>
            <b/>
            <sz val="8"/>
            <color indexed="81"/>
            <rFont val="Tahoma"/>
            <family val="2"/>
          </rPr>
          <t>Brad Marceniuk:</t>
        </r>
        <r>
          <rPr>
            <sz val="8"/>
            <color indexed="81"/>
            <rFont val="Tahoma"/>
            <family val="2"/>
          </rPr>
          <t xml:space="preserve">
Calculated from herd sires at the start of the year.</t>
        </r>
      </text>
    </comment>
    <comment ref="E39" authorId="1" shapeId="0" xr:uid="{00000000-0006-0000-0300-000012000000}">
      <text>
        <r>
          <rPr>
            <b/>
            <sz val="9"/>
            <color indexed="81"/>
            <rFont val="Tahoma"/>
            <family val="2"/>
          </rPr>
          <t>Marceniuk, Brad AG:</t>
        </r>
        <r>
          <rPr>
            <sz val="9"/>
            <color indexed="81"/>
            <rFont val="Tahoma"/>
            <family val="2"/>
          </rPr>
          <t xml:space="preserve">
Estimated percent of lamb death loss from birth to weaning. </t>
        </r>
      </text>
    </comment>
    <comment ref="E41" authorId="1" shapeId="0" xr:uid="{00000000-0006-0000-0300-000013000000}">
      <text>
        <r>
          <rPr>
            <b/>
            <sz val="9"/>
            <color indexed="81"/>
            <rFont val="Tahoma"/>
            <family val="2"/>
          </rPr>
          <t>Marceniuk, Brad AG:</t>
        </r>
        <r>
          <rPr>
            <sz val="9"/>
            <color indexed="81"/>
            <rFont val="Tahoma"/>
            <family val="2"/>
          </rPr>
          <t xml:space="preserve">
Number of lambs estimated to be weaned in the year. </t>
        </r>
      </text>
    </comment>
    <comment ref="E43" authorId="1" shapeId="0" xr:uid="{00000000-0006-0000-0300-000014000000}">
      <text>
        <r>
          <rPr>
            <b/>
            <sz val="9"/>
            <color indexed="81"/>
            <rFont val="Tahoma"/>
            <family val="2"/>
          </rPr>
          <t>Marceniuk, Brad AG:</t>
        </r>
        <r>
          <rPr>
            <sz val="9"/>
            <color indexed="81"/>
            <rFont val="Tahoma"/>
            <family val="2"/>
          </rPr>
          <t xml:space="preserve">
Percent of lamb death loss estimated from wean to market weight.</t>
        </r>
      </text>
    </comment>
    <comment ref="E45" authorId="1" shapeId="0" xr:uid="{00000000-0006-0000-0300-000015000000}">
      <text>
        <r>
          <rPr>
            <b/>
            <sz val="9"/>
            <color indexed="81"/>
            <rFont val="Tahoma"/>
            <family val="2"/>
          </rPr>
          <t>Marceniuk, Brad AG:</t>
        </r>
        <r>
          <rPr>
            <sz val="9"/>
            <color indexed="81"/>
            <rFont val="Tahoma"/>
            <family val="2"/>
          </rPr>
          <t xml:space="preserve">
Number of lambs estimated available for sale after death loss.</t>
        </r>
      </text>
    </comment>
    <comment ref="E46" authorId="1" shapeId="0" xr:uid="{00000000-0006-0000-0300-000016000000}">
      <text>
        <r>
          <rPr>
            <b/>
            <sz val="9"/>
            <color indexed="81"/>
            <rFont val="Tahoma"/>
            <family val="2"/>
          </rPr>
          <t>Marceniuk, Brad AG:</t>
        </r>
        <r>
          <rPr>
            <sz val="9"/>
            <color indexed="81"/>
            <rFont val="Tahoma"/>
            <family val="2"/>
          </rPr>
          <t xml:space="preserve">
Number of lambs available per ewe bred that is available to go to market.</t>
        </r>
      </text>
    </comment>
    <comment ref="E50" authorId="1" shapeId="0" xr:uid="{00000000-0006-0000-0300-000017000000}">
      <text>
        <r>
          <rPr>
            <b/>
            <sz val="9"/>
            <color indexed="81"/>
            <rFont val="Tahoma"/>
            <family val="2"/>
          </rPr>
          <t>Marceniuk, Brad AG:</t>
        </r>
        <r>
          <rPr>
            <sz val="9"/>
            <color indexed="81"/>
            <rFont val="Tahoma"/>
            <family val="2"/>
          </rPr>
          <t xml:space="preserve">
Average selling weight of feeder lambs (&lt;100Lb.). 
Will only calculate marketings when an animal weight is included in input#17. </t>
        </r>
      </text>
    </comment>
    <comment ref="E52" authorId="1" shapeId="0" xr:uid="{00000000-0006-0000-0300-000018000000}">
      <text>
        <r>
          <rPr>
            <b/>
            <sz val="9"/>
            <color indexed="81"/>
            <rFont val="Tahoma"/>
            <family val="2"/>
          </rPr>
          <t>Marceniuk, Brad AG:</t>
        </r>
        <r>
          <rPr>
            <sz val="9"/>
            <color indexed="81"/>
            <rFont val="Tahoma"/>
            <family val="2"/>
          </rPr>
          <t xml:space="preserve">
Average selling price in $/lb. for feeder lambs.</t>
        </r>
      </text>
    </comment>
    <comment ref="E55" authorId="1" shapeId="0" xr:uid="{00000000-0006-0000-0300-00001A000000}">
      <text>
        <r>
          <rPr>
            <b/>
            <sz val="9"/>
            <color indexed="81"/>
            <rFont val="Tahoma"/>
            <family val="2"/>
          </rPr>
          <t>Marceniuk, Brad AG:</t>
        </r>
        <r>
          <rPr>
            <sz val="9"/>
            <color indexed="81"/>
            <rFont val="Tahoma"/>
            <family val="2"/>
          </rPr>
          <t xml:space="preserve">
Average weight of slaughter weight lambs sold in the year. Typically over 100 lb.</t>
        </r>
      </text>
    </comment>
    <comment ref="E57" authorId="1" shapeId="0" xr:uid="{00000000-0006-0000-0300-00001B000000}">
      <text>
        <r>
          <rPr>
            <b/>
            <sz val="9"/>
            <color indexed="81"/>
            <rFont val="Tahoma"/>
            <family val="2"/>
          </rPr>
          <t>Marceniuk, Brad AG:</t>
        </r>
        <r>
          <rPr>
            <sz val="9"/>
            <color indexed="81"/>
            <rFont val="Tahoma"/>
            <family val="2"/>
          </rPr>
          <t xml:space="preserve">
Average slaughter weight selling price, $/lb.</t>
        </r>
      </text>
    </comment>
    <comment ref="E61" authorId="1" shapeId="0" xr:uid="{00000000-0006-0000-0300-00001C000000}">
      <text>
        <r>
          <rPr>
            <b/>
            <sz val="9"/>
            <color indexed="81"/>
            <rFont val="Tahoma"/>
            <family val="2"/>
          </rPr>
          <t>Marceniuk, Brad AG:</t>
        </r>
        <r>
          <rPr>
            <sz val="9"/>
            <color indexed="81"/>
            <rFont val="Tahoma"/>
            <family val="2"/>
          </rPr>
          <t xml:space="preserve">
Number of breeding ewes sold in the year.</t>
        </r>
      </text>
    </comment>
    <comment ref="E62" authorId="1" shapeId="0" xr:uid="{00000000-0006-0000-0300-00001D000000}">
      <text>
        <r>
          <rPr>
            <b/>
            <sz val="9"/>
            <color indexed="81"/>
            <rFont val="Tahoma"/>
            <family val="2"/>
          </rPr>
          <t>Marceniuk, Brad AG:</t>
        </r>
        <r>
          <rPr>
            <sz val="9"/>
            <color indexed="81"/>
            <rFont val="Tahoma"/>
            <family val="2"/>
          </rPr>
          <t xml:space="preserve">
Average selling price of breeding ewes, $/head.</t>
        </r>
      </text>
    </comment>
    <comment ref="E63" authorId="1" shapeId="0" xr:uid="{00000000-0006-0000-0300-00001E000000}">
      <text>
        <r>
          <rPr>
            <b/>
            <sz val="9"/>
            <color indexed="81"/>
            <rFont val="Tahoma"/>
            <family val="2"/>
          </rPr>
          <t>Marceniuk, Brad AG:</t>
        </r>
        <r>
          <rPr>
            <sz val="9"/>
            <color indexed="81"/>
            <rFont val="Tahoma"/>
            <family val="2"/>
          </rPr>
          <t xml:space="preserve">
Number of breeding rams sold in the year.</t>
        </r>
      </text>
    </comment>
    <comment ref="E64" authorId="1" shapeId="0" xr:uid="{00000000-0006-0000-0300-00001F000000}">
      <text>
        <r>
          <rPr>
            <b/>
            <sz val="9"/>
            <color indexed="81"/>
            <rFont val="Tahoma"/>
            <family val="2"/>
          </rPr>
          <t>Marceniuk, Brad AG:</t>
        </r>
        <r>
          <rPr>
            <sz val="9"/>
            <color indexed="81"/>
            <rFont val="Tahoma"/>
            <family val="2"/>
          </rPr>
          <t xml:space="preserve">
Average selling price of breeding rams, $/head.</t>
        </r>
      </text>
    </comment>
    <comment ref="E65" authorId="1" shapeId="0" xr:uid="{00000000-0006-0000-0300-000020000000}">
      <text>
        <r>
          <rPr>
            <b/>
            <sz val="9"/>
            <color indexed="81"/>
            <rFont val="Tahoma"/>
            <family val="2"/>
          </rPr>
          <t>Marceniuk, Brad AG:</t>
        </r>
        <r>
          <rPr>
            <sz val="9"/>
            <color indexed="81"/>
            <rFont val="Tahoma"/>
            <family val="2"/>
          </rPr>
          <t xml:space="preserve">
Number of breeding ewe lamb sales.</t>
        </r>
      </text>
    </comment>
    <comment ref="E66" authorId="1" shapeId="0" xr:uid="{00000000-0006-0000-0300-000021000000}">
      <text>
        <r>
          <rPr>
            <b/>
            <sz val="9"/>
            <color indexed="81"/>
            <rFont val="Tahoma"/>
            <family val="2"/>
          </rPr>
          <t>Marceniuk, Brad AG:</t>
        </r>
        <r>
          <rPr>
            <sz val="9"/>
            <color indexed="81"/>
            <rFont val="Tahoma"/>
            <family val="2"/>
          </rPr>
          <t xml:space="preserve">
Average selling price of breeding lamb sales, $/head.</t>
        </r>
      </text>
    </comment>
    <comment ref="E69" authorId="1" shapeId="0" xr:uid="{00000000-0006-0000-0300-000022000000}">
      <text>
        <r>
          <rPr>
            <b/>
            <sz val="9"/>
            <color indexed="81"/>
            <rFont val="Tahoma"/>
            <family val="2"/>
          </rPr>
          <t>Marceniuk, Brad AG:</t>
        </r>
        <r>
          <rPr>
            <sz val="9"/>
            <color indexed="81"/>
            <rFont val="Tahoma"/>
            <family val="2"/>
          </rPr>
          <t xml:space="preserve">
Calculated based on multipling input#1 by input#5.</t>
        </r>
      </text>
    </comment>
    <comment ref="E70" authorId="1" shapeId="0" xr:uid="{00000000-0006-0000-0300-000023000000}">
      <text>
        <r>
          <rPr>
            <b/>
            <sz val="9"/>
            <color indexed="81"/>
            <rFont val="Tahoma"/>
            <family val="2"/>
          </rPr>
          <t>Marceniuk, Brad AG:</t>
        </r>
        <r>
          <rPr>
            <sz val="9"/>
            <color indexed="81"/>
            <rFont val="Tahoma"/>
            <family val="2"/>
          </rPr>
          <t xml:space="preserve">
Average culling weight of ewes in pounds.</t>
        </r>
      </text>
    </comment>
    <comment ref="E71" authorId="1" shapeId="0" xr:uid="{00000000-0006-0000-0300-000024000000}">
      <text>
        <r>
          <rPr>
            <b/>
            <sz val="9"/>
            <color indexed="81"/>
            <rFont val="Tahoma"/>
            <family val="2"/>
          </rPr>
          <t>Marceniuk, Brad AG:</t>
        </r>
        <r>
          <rPr>
            <sz val="9"/>
            <color indexed="81"/>
            <rFont val="Tahoma"/>
            <family val="2"/>
          </rPr>
          <t xml:space="preserve">
Average ewe culling price, $/lb.</t>
        </r>
      </text>
    </comment>
    <comment ref="E74" authorId="1" shapeId="0" xr:uid="{00000000-0006-0000-0300-000025000000}">
      <text>
        <r>
          <rPr>
            <b/>
            <sz val="9"/>
            <color indexed="81"/>
            <rFont val="Tahoma"/>
            <family val="2"/>
          </rPr>
          <t>Marceniuk, Brad AG:</t>
        </r>
        <r>
          <rPr>
            <sz val="9"/>
            <color indexed="81"/>
            <rFont val="Tahoma"/>
            <family val="2"/>
          </rPr>
          <t xml:space="preserve">
Average culling weight of rams in pounds.</t>
        </r>
      </text>
    </comment>
    <comment ref="E75" authorId="1" shapeId="0" xr:uid="{00000000-0006-0000-0300-000026000000}">
      <text>
        <r>
          <rPr>
            <b/>
            <sz val="9"/>
            <color indexed="81"/>
            <rFont val="Tahoma"/>
            <family val="2"/>
          </rPr>
          <t>Marceniuk, Brad AG:</t>
        </r>
        <r>
          <rPr>
            <sz val="9"/>
            <color indexed="81"/>
            <rFont val="Tahoma"/>
            <family val="2"/>
          </rPr>
          <t xml:space="preserve">
Average ram culling price, $/lb.</t>
        </r>
      </text>
    </comment>
    <comment ref="E79" authorId="1" shapeId="0" xr:uid="{00000000-0006-0000-0300-000027000000}">
      <text>
        <r>
          <rPr>
            <b/>
            <sz val="9"/>
            <color indexed="81"/>
            <rFont val="Tahoma"/>
            <family val="2"/>
          </rPr>
          <t>Marceniuk, Brad AG:</t>
        </r>
        <r>
          <rPr>
            <sz val="9"/>
            <color indexed="81"/>
            <rFont val="Tahoma"/>
            <family val="2"/>
          </rPr>
          <t xml:space="preserve">
Number of animals sheared annually (ewes and rams).</t>
        </r>
      </text>
    </comment>
    <comment ref="E80" authorId="1" shapeId="0" xr:uid="{00000000-0006-0000-0300-000028000000}">
      <text>
        <r>
          <rPr>
            <b/>
            <sz val="9"/>
            <color indexed="81"/>
            <rFont val="Tahoma"/>
            <family val="2"/>
          </rPr>
          <t>Marceniuk, Brad AG:</t>
        </r>
        <r>
          <rPr>
            <sz val="9"/>
            <color indexed="81"/>
            <rFont val="Tahoma"/>
            <family val="2"/>
          </rPr>
          <t xml:space="preserve">
Average pounds of wool sheared per animal.</t>
        </r>
      </text>
    </comment>
    <comment ref="E82" authorId="1" shapeId="0" xr:uid="{00000000-0006-0000-0300-000029000000}">
      <text>
        <r>
          <rPr>
            <b/>
            <sz val="9"/>
            <color indexed="81"/>
            <rFont val="Tahoma"/>
            <family val="2"/>
          </rPr>
          <t>Marceniuk, Brad AG:</t>
        </r>
        <r>
          <rPr>
            <sz val="9"/>
            <color indexed="81"/>
            <rFont val="Tahoma"/>
            <family val="2"/>
          </rPr>
          <t xml:space="preserve">
Average value of wool per pound.</t>
        </r>
      </text>
    </comment>
    <comment ref="E84" authorId="1" shapeId="0" xr:uid="{00000000-0006-0000-0300-00002A000000}">
      <text>
        <r>
          <rPr>
            <b/>
            <sz val="9"/>
            <color indexed="81"/>
            <rFont val="Tahoma"/>
            <family val="2"/>
          </rPr>
          <t>Marceniuk, Brad AG:</t>
        </r>
        <r>
          <rPr>
            <sz val="9"/>
            <color indexed="81"/>
            <rFont val="Tahoma"/>
            <family val="2"/>
          </rPr>
          <t xml:space="preserve">
Average shearing cost per animal, $/head.</t>
        </r>
      </text>
    </comment>
    <comment ref="E85" authorId="1" shapeId="0" xr:uid="{00000000-0006-0000-0300-00002B000000}">
      <text>
        <r>
          <rPr>
            <b/>
            <sz val="9"/>
            <color indexed="81"/>
            <rFont val="Tahoma"/>
            <family val="2"/>
          </rPr>
          <t>Marceniuk, Brad AG:</t>
        </r>
        <r>
          <rPr>
            <sz val="9"/>
            <color indexed="81"/>
            <rFont val="Tahoma"/>
            <family val="2"/>
          </rPr>
          <t xml:space="preserve">
Average packing, bagging, and transportation cost of wool, $/lb.</t>
        </r>
      </text>
    </comment>
    <comment ref="E89" authorId="1" shapeId="0" xr:uid="{00000000-0006-0000-0300-00002C000000}">
      <text>
        <r>
          <rPr>
            <b/>
            <sz val="9"/>
            <color indexed="81"/>
            <rFont val="Tahoma"/>
            <family val="2"/>
          </rPr>
          <t>Marceniuk, Brad AG:</t>
        </r>
        <r>
          <rPr>
            <sz val="9"/>
            <color indexed="81"/>
            <rFont val="Tahoma"/>
            <family val="2"/>
          </rPr>
          <t xml:space="preserve">
Number of butcher lambs slaughtered for sale.</t>
        </r>
      </text>
    </comment>
    <comment ref="E90" authorId="1" shapeId="0" xr:uid="{00000000-0006-0000-0300-00002D000000}">
      <text>
        <r>
          <rPr>
            <b/>
            <sz val="9"/>
            <color indexed="81"/>
            <rFont val="Tahoma"/>
            <family val="2"/>
          </rPr>
          <t>Marceniuk, Brad AG:</t>
        </r>
        <r>
          <rPr>
            <sz val="9"/>
            <color indexed="81"/>
            <rFont val="Tahoma"/>
            <family val="2"/>
          </rPr>
          <t xml:space="preserve">
Average dressed weight of slaughtered animals in pounds. </t>
        </r>
      </text>
    </comment>
    <comment ref="E92" authorId="1" shapeId="0" xr:uid="{00000000-0006-0000-0300-00002E000000}">
      <text>
        <r>
          <rPr>
            <b/>
            <sz val="9"/>
            <color indexed="81"/>
            <rFont val="Tahoma"/>
            <family val="2"/>
          </rPr>
          <t>Marceniuk, Brad AG:</t>
        </r>
        <r>
          <rPr>
            <sz val="9"/>
            <color indexed="81"/>
            <rFont val="Tahoma"/>
            <family val="2"/>
          </rPr>
          <t xml:space="preserve">
Average sale value of dressed meat per pound. ($/lb.)</t>
        </r>
      </text>
    </comment>
    <comment ref="E94" authorId="1" shapeId="0" xr:uid="{00000000-0006-0000-0300-00002F000000}">
      <text>
        <r>
          <rPr>
            <b/>
            <sz val="9"/>
            <color indexed="81"/>
            <rFont val="Tahoma"/>
            <family val="2"/>
          </rPr>
          <t>Marceniuk, Brad AG:</t>
        </r>
        <r>
          <rPr>
            <sz val="9"/>
            <color indexed="81"/>
            <rFont val="Tahoma"/>
            <family val="2"/>
          </rPr>
          <t xml:space="preserve">
Average slaughter and packaging costs per head. </t>
        </r>
      </text>
    </comment>
    <comment ref="E98" authorId="1" shapeId="0" xr:uid="{00000000-0006-0000-0300-000030000000}">
      <text>
        <r>
          <rPr>
            <b/>
            <sz val="9"/>
            <color indexed="81"/>
            <rFont val="Tahoma"/>
            <family val="2"/>
          </rPr>
          <t>Marceniuk, Brad AG:</t>
        </r>
        <r>
          <rPr>
            <sz val="9"/>
            <color indexed="81"/>
            <rFont val="Tahoma"/>
            <family val="2"/>
          </rPr>
          <t xml:space="preserve">
Numbers of animals slaughtered for mutton.</t>
        </r>
      </text>
    </comment>
    <comment ref="E99" authorId="1" shapeId="0" xr:uid="{00000000-0006-0000-0300-000031000000}">
      <text>
        <r>
          <rPr>
            <b/>
            <sz val="9"/>
            <color indexed="81"/>
            <rFont val="Tahoma"/>
            <family val="2"/>
          </rPr>
          <t>Marceniuk, Brad AG:</t>
        </r>
        <r>
          <rPr>
            <sz val="9"/>
            <color indexed="81"/>
            <rFont val="Tahoma"/>
            <family val="2"/>
          </rPr>
          <t xml:space="preserve">
Average pounds of dressed meat produced per animal.  </t>
        </r>
      </text>
    </comment>
    <comment ref="E101" authorId="1" shapeId="0" xr:uid="{00000000-0006-0000-0300-000032000000}">
      <text>
        <r>
          <rPr>
            <b/>
            <sz val="9"/>
            <color indexed="81"/>
            <rFont val="Tahoma"/>
            <family val="2"/>
          </rPr>
          <t>Marceniuk, Brad AG:</t>
        </r>
        <r>
          <rPr>
            <sz val="9"/>
            <color indexed="81"/>
            <rFont val="Tahoma"/>
            <family val="2"/>
          </rPr>
          <t xml:space="preserve">
Average sales value of mutton per pound, $/lb.</t>
        </r>
      </text>
    </comment>
    <comment ref="E103" authorId="1" shapeId="0" xr:uid="{00000000-0006-0000-0300-000033000000}">
      <text>
        <r>
          <rPr>
            <b/>
            <sz val="9"/>
            <color indexed="81"/>
            <rFont val="Tahoma"/>
            <family val="2"/>
          </rPr>
          <t>Marceniuk, Brad AG:</t>
        </r>
        <r>
          <rPr>
            <sz val="9"/>
            <color indexed="81"/>
            <rFont val="Tahoma"/>
            <family val="2"/>
          </rPr>
          <t xml:space="preserve">
Average slaughter and packaging cost per animal, ($/head).</t>
        </r>
      </text>
    </comment>
    <comment ref="E108" authorId="2" shapeId="0" xr:uid="{051E2935-4597-4BC0-9EDF-DA1EDCCDF147}">
      <text>
        <t>[Threaded comment]
Your version of Excel allows you to read this threaded comment; however, any edits to it will get removed if the file is opened in a newer version of Excel. Learn more: https://go.microsoft.com/fwlink/?linkid=870924
Comment:
    Average price of barley per tonne. Dollars per bushel can be conveted by multiplying 45.93 as conversion factor.</t>
      </text>
    </comment>
    <comment ref="E109" authorId="1" shapeId="0" xr:uid="{00000000-0006-0000-0300-000035000000}">
      <text>
        <r>
          <rPr>
            <b/>
            <sz val="9"/>
            <color indexed="81"/>
            <rFont val="Tahoma"/>
            <family val="2"/>
          </rPr>
          <t>Marceniuk, Brad AG:</t>
        </r>
        <r>
          <rPr>
            <sz val="9"/>
            <color indexed="81"/>
            <rFont val="Tahoma"/>
            <family val="2"/>
          </rPr>
          <t xml:space="preserve">
Average hay price per tonne. Price will vary on quality of grass or alfalfa, or if mixed.
$/tonne (2,204 lb.)</t>
        </r>
      </text>
    </comment>
    <comment ref="E110" authorId="1" shapeId="0" xr:uid="{00000000-0006-0000-0300-000036000000}">
      <text>
        <r>
          <rPr>
            <b/>
            <sz val="9"/>
            <color indexed="81"/>
            <rFont val="Tahoma"/>
            <family val="2"/>
          </rPr>
          <t>Marceniuk, Brad AG:</t>
        </r>
        <r>
          <rPr>
            <sz val="9"/>
            <color indexed="81"/>
            <rFont val="Tahoma"/>
            <family val="2"/>
          </rPr>
          <t xml:space="preserve">
Average price of silage, $/tonne (2,204 lb.)</t>
        </r>
      </text>
    </comment>
    <comment ref="E111" authorId="1" shapeId="0" xr:uid="{00000000-0006-0000-0300-000037000000}">
      <text>
        <r>
          <rPr>
            <b/>
            <sz val="9"/>
            <color indexed="81"/>
            <rFont val="Tahoma"/>
            <family val="2"/>
          </rPr>
          <t>Marceniuk, Brad AG:</t>
        </r>
        <r>
          <rPr>
            <sz val="9"/>
            <color indexed="81"/>
            <rFont val="Tahoma"/>
            <family val="2"/>
          </rPr>
          <t xml:space="preserve">
Average price of feed pellets, $/tonne (2,204 lb.)</t>
        </r>
      </text>
    </comment>
    <comment ref="E112" authorId="1" shapeId="0" xr:uid="{00000000-0006-0000-0300-000038000000}">
      <text>
        <r>
          <rPr>
            <b/>
            <sz val="9"/>
            <color indexed="81"/>
            <rFont val="Tahoma"/>
            <family val="2"/>
          </rPr>
          <t>Marceniuk, Brad AG:</t>
        </r>
        <r>
          <rPr>
            <sz val="9"/>
            <color indexed="81"/>
            <rFont val="Tahoma"/>
            <family val="2"/>
          </rPr>
          <t xml:space="preserve">
Average price of straw, $/tonne (2,204 lb.)</t>
        </r>
      </text>
    </comment>
    <comment ref="E113" authorId="1" shapeId="0" xr:uid="{00000000-0006-0000-0300-000039000000}">
      <text>
        <r>
          <rPr>
            <b/>
            <sz val="9"/>
            <color indexed="81"/>
            <rFont val="Tahoma"/>
            <family val="2"/>
          </rPr>
          <t>Marceniuk, Brad AG:</t>
        </r>
        <r>
          <rPr>
            <sz val="9"/>
            <color indexed="81"/>
            <rFont val="Tahoma"/>
            <family val="2"/>
          </rPr>
          <t xml:space="preserve">
Average price of feed supplements, $/tonne (2,204 lb.)</t>
        </r>
      </text>
    </comment>
    <comment ref="E114" authorId="1" shapeId="0" xr:uid="{00000000-0006-0000-0300-00003A000000}">
      <text>
        <r>
          <rPr>
            <b/>
            <sz val="9"/>
            <color indexed="81"/>
            <rFont val="Tahoma"/>
            <family val="2"/>
          </rPr>
          <t>Marceniuk, Brad AG:</t>
        </r>
        <r>
          <rPr>
            <sz val="9"/>
            <color indexed="81"/>
            <rFont val="Tahoma"/>
            <family val="2"/>
          </rPr>
          <t xml:space="preserve">
Average price of salt or mineral mix, $/tonne.</t>
        </r>
      </text>
    </comment>
    <comment ref="E115" authorId="1" shapeId="0" xr:uid="{00000000-0006-0000-0300-00003B000000}">
      <text>
        <r>
          <rPr>
            <b/>
            <sz val="9"/>
            <color indexed="81"/>
            <rFont val="Tahoma"/>
            <family val="2"/>
          </rPr>
          <t>Marceniuk, Brad AG:</t>
        </r>
        <r>
          <rPr>
            <sz val="9"/>
            <color indexed="81"/>
            <rFont val="Tahoma"/>
            <family val="2"/>
          </rPr>
          <t xml:space="preserve">
Average price of vitamins, $/tonne.</t>
        </r>
      </text>
    </comment>
    <comment ref="E116" authorId="1" shapeId="0" xr:uid="{00000000-0006-0000-0300-00003C000000}">
      <text>
        <r>
          <rPr>
            <b/>
            <sz val="9"/>
            <color indexed="81"/>
            <rFont val="Tahoma"/>
            <family val="2"/>
          </rPr>
          <t>Marceniuk, Brad AG:</t>
        </r>
        <r>
          <rPr>
            <sz val="9"/>
            <color indexed="81"/>
            <rFont val="Tahoma"/>
            <family val="2"/>
          </rPr>
          <t xml:space="preserve">
Average price of milk replacer, $/tonne (2,204 lb.)</t>
        </r>
      </text>
    </comment>
    <comment ref="E117" authorId="1" shapeId="0" xr:uid="{00000000-0006-0000-0300-00003D000000}">
      <text>
        <r>
          <rPr>
            <b/>
            <sz val="9"/>
            <color indexed="81"/>
            <rFont val="Tahoma"/>
            <family val="2"/>
          </rPr>
          <t>Marceniuk, Brad AG:</t>
        </r>
        <r>
          <rPr>
            <sz val="9"/>
            <color indexed="81"/>
            <rFont val="Tahoma"/>
            <family val="2"/>
          </rPr>
          <t xml:space="preserve">
-Average price of "Other 1" ingredients, $/tonne. 
-Actual ingredient name can be changed where says "Other 1".-</t>
        </r>
      </text>
    </comment>
    <comment ref="E118" authorId="1" shapeId="0" xr:uid="{00000000-0006-0000-0300-00003E000000}">
      <text>
        <r>
          <rPr>
            <b/>
            <sz val="9"/>
            <color indexed="81"/>
            <rFont val="Tahoma"/>
            <family val="2"/>
          </rPr>
          <t>Marceniuk, Brad AG:</t>
        </r>
        <r>
          <rPr>
            <sz val="9"/>
            <color indexed="81"/>
            <rFont val="Tahoma"/>
            <family val="2"/>
          </rPr>
          <t xml:space="preserve">
-Average price of "Other 2" ingredients, $/tonne. 
-Actual ingredient name can be changed where says "Other - 2".</t>
        </r>
      </text>
    </comment>
    <comment ref="E119" authorId="1" shapeId="0" xr:uid="{00000000-0006-0000-0300-00003F000000}">
      <text>
        <r>
          <rPr>
            <b/>
            <sz val="9"/>
            <color indexed="81"/>
            <rFont val="Tahoma"/>
            <family val="2"/>
          </rPr>
          <t>Marceniuk, Brad AG:</t>
        </r>
        <r>
          <rPr>
            <sz val="9"/>
            <color indexed="81"/>
            <rFont val="Tahoma"/>
            <family val="2"/>
          </rPr>
          <t xml:space="preserve">
-Average price of "Other 3" ingredients, $/tonne.
-Actual ingredient name can be changed where says "Other - 3". </t>
        </r>
      </text>
    </comment>
    <comment ref="E120" authorId="1" shapeId="0" xr:uid="{00000000-0006-0000-0300-000040000000}">
      <text>
        <r>
          <rPr>
            <b/>
            <sz val="9"/>
            <color indexed="81"/>
            <rFont val="Tahoma"/>
            <family val="2"/>
          </rPr>
          <t>Marceniuk, Brad AG:</t>
        </r>
        <r>
          <rPr>
            <sz val="9"/>
            <color indexed="81"/>
            <rFont val="Tahoma"/>
            <family val="2"/>
          </rPr>
          <t xml:space="preserve">
-Average price of "Other 4" ingredients, $/tonne. 
-Actual name of ingredients can be changed in "Other - 4".</t>
        </r>
      </text>
    </comment>
    <comment ref="E123" authorId="0" shapeId="0" xr:uid="{00000000-0006-0000-0300-000041000000}">
      <text>
        <r>
          <rPr>
            <b/>
            <sz val="8"/>
            <color indexed="81"/>
            <rFont val="Tahoma"/>
            <family val="2"/>
          </rPr>
          <t>Brad Marceniuk:</t>
        </r>
        <r>
          <rPr>
            <sz val="8"/>
            <color indexed="81"/>
            <rFont val="Tahoma"/>
            <family val="2"/>
          </rPr>
          <t xml:space="preserve">
-G</t>
        </r>
        <r>
          <rPr>
            <sz val="9"/>
            <color indexed="81"/>
            <rFont val="Tahoma"/>
            <family val="2"/>
          </rPr>
          <t>rain production operating costs include the total variable costs to get the grain produced (seed, fertilizer, chem., field work - seeding/swath/comb./haul., etc.).
-Fixed costs (equipment) and fuel/utilities can be included here or included in the other input areas.</t>
        </r>
      </text>
    </comment>
    <comment ref="E124" authorId="0" shapeId="0" xr:uid="{00000000-0006-0000-0300-000042000000}">
      <text>
        <r>
          <rPr>
            <b/>
            <sz val="8"/>
            <color indexed="81"/>
            <rFont val="Tahoma"/>
            <family val="2"/>
          </rPr>
          <t>Brad Marceniuk:</t>
        </r>
        <r>
          <rPr>
            <sz val="8"/>
            <color indexed="81"/>
            <rFont val="Tahoma"/>
            <family val="2"/>
          </rPr>
          <t xml:space="preserve">
-</t>
        </r>
        <r>
          <rPr>
            <sz val="9"/>
            <color indexed="81"/>
            <rFont val="Tahoma"/>
            <family val="2"/>
          </rPr>
          <t>Hay production costs include all the total variable inputs required to produce the hay (seed, fertilizer, cutting, baling, hauling, etc.).
-Fixed costs (equipment) and fuel/utilities can be included here or in the other input areas.</t>
        </r>
      </text>
    </comment>
    <comment ref="E125" authorId="0" shapeId="0" xr:uid="{00000000-0006-0000-0300-000043000000}">
      <text>
        <r>
          <rPr>
            <b/>
            <sz val="8"/>
            <color indexed="81"/>
            <rFont val="Tahoma"/>
            <family val="2"/>
          </rPr>
          <t>Brad Marceniuk:</t>
        </r>
        <r>
          <rPr>
            <sz val="8"/>
            <color indexed="81"/>
            <rFont val="Tahoma"/>
            <family val="2"/>
          </rPr>
          <t xml:space="preserve">
-</t>
        </r>
        <r>
          <rPr>
            <sz val="9"/>
            <color indexed="81"/>
            <rFont val="Tahoma"/>
            <family val="2"/>
          </rPr>
          <t>Pasture operating costs include the total variable inputs required to grow and maintain the pasture (seed, fertilizer, water, fencing, etc.).
-Fixed costs (equipment) and fuel/utility costs can be included here or in the other input areas.</t>
        </r>
      </text>
    </comment>
    <comment ref="E134" authorId="1" shapeId="0" xr:uid="{00000000-0006-0000-0300-000044000000}">
      <text>
        <r>
          <rPr>
            <b/>
            <sz val="9"/>
            <color indexed="81"/>
            <rFont val="Tahoma"/>
            <family val="2"/>
          </rPr>
          <t>Marceniuk, Brad AG:</t>
        </r>
        <r>
          <rPr>
            <sz val="9"/>
            <color indexed="81"/>
            <rFont val="Tahoma"/>
            <family val="2"/>
          </rPr>
          <t xml:space="preserve">
-Number of ewe feeding days in Ration#1. 
-Feeding ration name can be changed in grey box from original name - gestation (#1).
-Early gestation 70 days, 3 lb. hay, 1lb. Barley
-Late gestation 42 days, 2.5 lb.hay,2.25lb. Barley</t>
        </r>
      </text>
    </comment>
    <comment ref="E136" authorId="1" shapeId="0" xr:uid="{00000000-0006-0000-0300-000045000000}">
      <text>
        <r>
          <rPr>
            <b/>
            <sz val="9"/>
            <color indexed="81"/>
            <rFont val="Tahoma"/>
            <family val="2"/>
          </rPr>
          <t>Marceniuk, Brad AG:</t>
        </r>
        <r>
          <rPr>
            <sz val="9"/>
            <color indexed="81"/>
            <rFont val="Tahoma"/>
            <family val="2"/>
          </rPr>
          <t xml:space="preserve">
Daily pounds of barley fed to ewes in Ration#1.</t>
        </r>
      </text>
    </comment>
    <comment ref="E137" authorId="1" shapeId="0" xr:uid="{00000000-0006-0000-0300-000046000000}">
      <text>
        <r>
          <rPr>
            <b/>
            <sz val="9"/>
            <color indexed="81"/>
            <rFont val="Tahoma"/>
            <family val="2"/>
          </rPr>
          <t>Marceniuk, Brad AG:</t>
        </r>
        <r>
          <rPr>
            <sz val="9"/>
            <color indexed="81"/>
            <rFont val="Tahoma"/>
            <family val="2"/>
          </rPr>
          <t xml:space="preserve">
Daily pounds of hay fed to ewes in Ration#1.</t>
        </r>
      </text>
    </comment>
    <comment ref="E138" authorId="1" shapeId="0" xr:uid="{00000000-0006-0000-0300-000047000000}">
      <text>
        <r>
          <rPr>
            <b/>
            <sz val="9"/>
            <color indexed="81"/>
            <rFont val="Tahoma"/>
            <family val="2"/>
          </rPr>
          <t>Marceniuk, Brad AG:</t>
        </r>
        <r>
          <rPr>
            <sz val="9"/>
            <color indexed="81"/>
            <rFont val="Tahoma"/>
            <family val="2"/>
          </rPr>
          <t xml:space="preserve">
Daily pounds of silage fed to ewes in Ration#1.</t>
        </r>
      </text>
    </comment>
    <comment ref="E139" authorId="1" shapeId="0" xr:uid="{00000000-0006-0000-0300-000048000000}">
      <text>
        <r>
          <rPr>
            <b/>
            <sz val="9"/>
            <color indexed="81"/>
            <rFont val="Tahoma"/>
            <family val="2"/>
          </rPr>
          <t>Marceniuk, Brad AG:</t>
        </r>
        <r>
          <rPr>
            <sz val="9"/>
            <color indexed="81"/>
            <rFont val="Tahoma"/>
            <family val="2"/>
          </rPr>
          <t xml:space="preserve">
Daily pounds of feed pellents fed to ewes in Ration#1.</t>
        </r>
      </text>
    </comment>
    <comment ref="E140" authorId="1" shapeId="0" xr:uid="{00000000-0006-0000-0300-000049000000}">
      <text>
        <r>
          <rPr>
            <b/>
            <sz val="9"/>
            <color indexed="81"/>
            <rFont val="Tahoma"/>
            <family val="2"/>
          </rPr>
          <t>Marceniuk, Brad AG:</t>
        </r>
        <r>
          <rPr>
            <sz val="9"/>
            <color indexed="81"/>
            <rFont val="Tahoma"/>
            <family val="2"/>
          </rPr>
          <t xml:space="preserve">
Daily pounds of straw fed to ewes in Ration#1.</t>
        </r>
      </text>
    </comment>
    <comment ref="E141" authorId="1" shapeId="0" xr:uid="{00000000-0006-0000-0300-00004A000000}">
      <text>
        <r>
          <rPr>
            <b/>
            <sz val="9"/>
            <color indexed="81"/>
            <rFont val="Tahoma"/>
            <family val="2"/>
          </rPr>
          <t>Marceniuk, Brad AG:</t>
        </r>
        <r>
          <rPr>
            <sz val="9"/>
            <color indexed="81"/>
            <rFont val="Tahoma"/>
            <family val="2"/>
          </rPr>
          <t xml:space="preserve">
Daily pounds of feed supplements fed to ewes in Ration#1.</t>
        </r>
      </text>
    </comment>
    <comment ref="E142" authorId="1" shapeId="0" xr:uid="{00000000-0006-0000-0300-00004B000000}">
      <text>
        <r>
          <rPr>
            <b/>
            <sz val="9"/>
            <color indexed="81"/>
            <rFont val="Tahoma"/>
            <family val="2"/>
          </rPr>
          <t>Marceniuk, Brad AG:</t>
        </r>
        <r>
          <rPr>
            <sz val="9"/>
            <color indexed="81"/>
            <rFont val="Tahoma"/>
            <family val="2"/>
          </rPr>
          <t xml:space="preserve">
Daily pounds of salt or mineral fed to ewes in Ration#1.</t>
        </r>
      </text>
    </comment>
    <comment ref="E143" authorId="1" shapeId="0" xr:uid="{00000000-0006-0000-0300-00004C000000}">
      <text>
        <r>
          <rPr>
            <b/>
            <sz val="9"/>
            <color indexed="81"/>
            <rFont val="Tahoma"/>
            <family val="2"/>
          </rPr>
          <t>Marceniuk, Brad AG:</t>
        </r>
        <r>
          <rPr>
            <sz val="9"/>
            <color indexed="81"/>
            <rFont val="Tahoma"/>
            <family val="2"/>
          </rPr>
          <t xml:space="preserve">
Daily pounds of vitamins fed to ewes in Ration#1.</t>
        </r>
      </text>
    </comment>
    <comment ref="E144" authorId="1" shapeId="0" xr:uid="{00000000-0006-0000-0300-00004D000000}">
      <text>
        <r>
          <rPr>
            <b/>
            <sz val="9"/>
            <color indexed="81"/>
            <rFont val="Tahoma"/>
            <family val="2"/>
          </rPr>
          <t>Marceniuk, Brad AG:</t>
        </r>
        <r>
          <rPr>
            <sz val="9"/>
            <color indexed="81"/>
            <rFont val="Tahoma"/>
            <family val="2"/>
          </rPr>
          <t xml:space="preserve">
Daily pounds of feed ingredients "Other 1" fed to ewes in Ration#1.</t>
        </r>
      </text>
    </comment>
    <comment ref="E145" authorId="1" shapeId="0" xr:uid="{00000000-0006-0000-0300-00004E000000}">
      <text>
        <r>
          <rPr>
            <b/>
            <sz val="9"/>
            <color indexed="81"/>
            <rFont val="Tahoma"/>
            <family val="2"/>
          </rPr>
          <t>Marceniuk, Brad AG:</t>
        </r>
        <r>
          <rPr>
            <sz val="9"/>
            <color indexed="81"/>
            <rFont val="Tahoma"/>
            <family val="2"/>
          </rPr>
          <t xml:space="preserve">
Daily pounds of feed ingredients "Other 2" fed to ewes in Ration#1.</t>
        </r>
      </text>
    </comment>
    <comment ref="E146" authorId="1" shapeId="0" xr:uid="{00000000-0006-0000-0300-00004F000000}">
      <text>
        <r>
          <rPr>
            <b/>
            <sz val="9"/>
            <color indexed="81"/>
            <rFont val="Tahoma"/>
            <family val="2"/>
          </rPr>
          <t>Marceniuk, Brad AG:</t>
        </r>
        <r>
          <rPr>
            <sz val="9"/>
            <color indexed="81"/>
            <rFont val="Tahoma"/>
            <family val="2"/>
          </rPr>
          <t xml:space="preserve">
Daily pounds of feed ingredients "Other 3", fed to ewes in Ration#1.</t>
        </r>
      </text>
    </comment>
    <comment ref="E147" authorId="1" shapeId="0" xr:uid="{00000000-0006-0000-0300-000050000000}">
      <text>
        <r>
          <rPr>
            <b/>
            <sz val="9"/>
            <color indexed="81"/>
            <rFont val="Tahoma"/>
            <family val="2"/>
          </rPr>
          <t>Marceniuk, Brad AG:</t>
        </r>
        <r>
          <rPr>
            <sz val="9"/>
            <color indexed="81"/>
            <rFont val="Tahoma"/>
            <family val="2"/>
          </rPr>
          <t xml:space="preserve">
Daily pounds of feed ingredients "Other 4" fed to ewes in Ration#1.</t>
        </r>
      </text>
    </comment>
    <comment ref="E148" authorId="1" shapeId="0" xr:uid="{00000000-0006-0000-0300-000051000000}">
      <text>
        <r>
          <rPr>
            <b/>
            <sz val="9"/>
            <color indexed="81"/>
            <rFont val="Tahoma"/>
            <family val="2"/>
          </rPr>
          <t>Marceniuk, Brad AG:</t>
        </r>
        <r>
          <rPr>
            <sz val="9"/>
            <color indexed="81"/>
            <rFont val="Tahoma"/>
            <family val="2"/>
          </rPr>
          <t xml:space="preserve">
Cost per day/per ewe of feed Ration#1. </t>
        </r>
      </text>
    </comment>
    <comment ref="E149" authorId="1" shapeId="0" xr:uid="{00000000-0006-0000-0300-000052000000}">
      <text>
        <r>
          <rPr>
            <b/>
            <sz val="9"/>
            <color indexed="81"/>
            <rFont val="Tahoma"/>
            <family val="2"/>
          </rPr>
          <t>Marceniuk, Brad AG:</t>
        </r>
        <r>
          <rPr>
            <sz val="9"/>
            <color indexed="81"/>
            <rFont val="Tahoma"/>
            <family val="2"/>
          </rPr>
          <t xml:space="preserve">
Total cost per ewe over period to feed Ration#1.</t>
        </r>
      </text>
    </comment>
    <comment ref="E152" authorId="1" shapeId="0" xr:uid="{00000000-0006-0000-0300-000053000000}">
      <text>
        <r>
          <rPr>
            <b/>
            <sz val="9"/>
            <color indexed="81"/>
            <rFont val="Tahoma"/>
            <family val="2"/>
          </rPr>
          <t>Marceniuk, Brad AG:</t>
        </r>
        <r>
          <rPr>
            <sz val="9"/>
            <color indexed="81"/>
            <rFont val="Tahoma"/>
            <family val="2"/>
          </rPr>
          <t xml:space="preserve">
-Number of ewe feeding days in Ration#2. 
-Feeding ration name can be changed in grey box from original name - Lactation Ration (#2).
-Early Lactation - 42 days, 3lb. hay, 2.25lb. Barley
-Late lactation - 42 days, 3.25 lb. hay, 2lb. barley</t>
        </r>
      </text>
    </comment>
    <comment ref="E170" authorId="1" shapeId="0" xr:uid="{00000000-0006-0000-0300-000054000000}">
      <text>
        <r>
          <rPr>
            <b/>
            <sz val="9"/>
            <color indexed="81"/>
            <rFont val="Tahoma"/>
            <family val="2"/>
          </rPr>
          <t>Marceniuk, Brad AG:</t>
        </r>
        <r>
          <rPr>
            <sz val="9"/>
            <color indexed="81"/>
            <rFont val="Tahoma"/>
            <family val="2"/>
          </rPr>
          <t xml:space="preserve">
Number of ewe feeding days in Ration#3. Feeding ration name can be changed in grey box from original name - Maintenance Ration (#3).</t>
        </r>
      </text>
    </comment>
    <comment ref="E186" authorId="1" shapeId="0" xr:uid="{00000000-0006-0000-0300-000055000000}">
      <text>
        <r>
          <rPr>
            <b/>
            <sz val="9"/>
            <color indexed="81"/>
            <rFont val="Tahoma"/>
            <family val="2"/>
          </rPr>
          <t>Marceniuk, Brad AG:</t>
        </r>
        <r>
          <rPr>
            <sz val="9"/>
            <color indexed="81"/>
            <rFont val="Tahoma"/>
            <family val="2"/>
          </rPr>
          <t xml:space="preserve">
Total days ewes on feed grain, hay, and silage.</t>
        </r>
      </text>
    </comment>
    <comment ref="E187" authorId="1" shapeId="0" xr:uid="{00000000-0006-0000-0300-000056000000}">
      <text>
        <r>
          <rPr>
            <b/>
            <sz val="9"/>
            <color indexed="81"/>
            <rFont val="Tahoma"/>
            <family val="2"/>
          </rPr>
          <t>Marceniuk, Brad AG:</t>
        </r>
        <r>
          <rPr>
            <sz val="9"/>
            <color indexed="81"/>
            <rFont val="Tahoma"/>
            <family val="2"/>
          </rPr>
          <t xml:space="preserve">
Total cost to feed ewes per head, over the feeding period.</t>
        </r>
      </text>
    </comment>
    <comment ref="E188" authorId="1" shapeId="0" xr:uid="{00000000-0006-0000-0300-000057000000}">
      <text>
        <r>
          <rPr>
            <b/>
            <sz val="9"/>
            <color indexed="81"/>
            <rFont val="Tahoma"/>
            <family val="2"/>
          </rPr>
          <t>Marceniuk, Brad AG:</t>
        </r>
        <r>
          <rPr>
            <sz val="9"/>
            <color indexed="81"/>
            <rFont val="Tahoma"/>
            <family val="2"/>
          </rPr>
          <t xml:space="preserve">
Total cost to feed the ewe flock over year.</t>
        </r>
      </text>
    </comment>
    <comment ref="E191" authorId="1" shapeId="0" xr:uid="{00000000-0006-0000-0300-000058000000}">
      <text>
        <r>
          <rPr>
            <b/>
            <sz val="9"/>
            <color indexed="81"/>
            <rFont val="Tahoma"/>
            <family val="2"/>
          </rPr>
          <t>Marceniuk, Brad AG:</t>
        </r>
        <r>
          <rPr>
            <sz val="9"/>
            <color indexed="81"/>
            <rFont val="Tahoma"/>
            <family val="2"/>
          </rPr>
          <t xml:space="preserve">
-Number of days ewes are grazed on pasture over the year. 
-Input#100 is preset with a formula to subtract 365 days from above ewe feeding days. Can also be manually changed in Input#100.</t>
        </r>
      </text>
    </comment>
    <comment ref="E192" authorId="0" shapeId="0" xr:uid="{00000000-0006-0000-0300-000059000000}">
      <text>
        <r>
          <rPr>
            <b/>
            <sz val="8"/>
            <color indexed="81"/>
            <rFont val="Tahoma"/>
            <family val="2"/>
          </rPr>
          <t>Brad Marceniuk:</t>
        </r>
        <r>
          <rPr>
            <sz val="8"/>
            <color indexed="81"/>
            <rFont val="Tahoma"/>
            <family val="2"/>
          </rPr>
          <t xml:space="preserve">
-</t>
        </r>
        <r>
          <rPr>
            <sz val="9"/>
            <color indexed="81"/>
            <rFont val="Tahoma"/>
            <family val="2"/>
          </rPr>
          <t>Grazing costs would be the cost per day per ewe; if the ewes were sent to a rented pasture or if the owner wants to use an opportunity cost of the pasture. 
-Estimates prior to the 2021 drought suggested numbers would range from $0.12 to $0.18 per day depending on area and services provided in the pasture.
-Pasture costs can also be allocated in Input#60 if a producer just wants to add the total annual operating costs to operate the pasture.</t>
        </r>
      </text>
    </comment>
    <comment ref="E193" authorId="1" shapeId="0" xr:uid="{00000000-0006-0000-0300-00005A000000}">
      <text>
        <r>
          <rPr>
            <b/>
            <sz val="9"/>
            <color indexed="81"/>
            <rFont val="Tahoma"/>
            <family val="2"/>
          </rPr>
          <t>Marceniuk, Brad AG:</t>
        </r>
        <r>
          <rPr>
            <sz val="9"/>
            <color indexed="81"/>
            <rFont val="Tahoma"/>
            <family val="2"/>
          </rPr>
          <t xml:space="preserve">
Total cost per ewe of rented pasture over the total period.</t>
        </r>
      </text>
    </comment>
    <comment ref="E194" authorId="1" shapeId="0" xr:uid="{00000000-0006-0000-0300-00005B000000}">
      <text>
        <r>
          <rPr>
            <b/>
            <sz val="9"/>
            <color indexed="81"/>
            <rFont val="Tahoma"/>
            <family val="2"/>
          </rPr>
          <t>Marceniuk, Brad AG:</t>
        </r>
        <r>
          <rPr>
            <sz val="9"/>
            <color indexed="81"/>
            <rFont val="Tahoma"/>
            <family val="2"/>
          </rPr>
          <t xml:space="preserve">
-Estimated daily grass/hay intake in pounds by the ewes. Can be a hard number to estimate and not mandatory. 
-Could be used to estimate the annual pasture requirements for the ewe herd. 
</t>
        </r>
      </text>
    </comment>
    <comment ref="E202" authorId="1" shapeId="0" xr:uid="{00000000-0006-0000-0300-00005C000000}">
      <text>
        <r>
          <rPr>
            <b/>
            <sz val="9"/>
            <color indexed="81"/>
            <rFont val="Tahoma"/>
            <family val="2"/>
          </rPr>
          <t>Marceniuk, Brad AG:</t>
        </r>
        <r>
          <rPr>
            <sz val="9"/>
            <color indexed="81"/>
            <rFont val="Tahoma"/>
            <family val="2"/>
          </rPr>
          <t xml:space="preserve">
Number of ram feeding days in Ration#4. </t>
        </r>
      </text>
    </comment>
    <comment ref="E221" authorId="1" shapeId="0" xr:uid="{00000000-0006-0000-0300-00005D000000}">
      <text>
        <r>
          <rPr>
            <b/>
            <sz val="9"/>
            <color indexed="81"/>
            <rFont val="Tahoma"/>
            <family val="2"/>
          </rPr>
          <t>Marceniuk, Brad AG:</t>
        </r>
        <r>
          <rPr>
            <sz val="9"/>
            <color indexed="81"/>
            <rFont val="Tahoma"/>
            <family val="2"/>
          </rPr>
          <t xml:space="preserve">
-Number of days rams are grazed in a pasture over the year. The program automatically calculates the difference between 365 and feeding days in Ration#4. The number can be changed manually. 
-A producer can also allocate annual pasture costs to operate the pasture in Input#60</t>
        </r>
      </text>
    </comment>
    <comment ref="E222" authorId="0" shapeId="0" xr:uid="{00000000-0006-0000-0300-00005E000000}">
      <text>
        <r>
          <rPr>
            <b/>
            <sz val="8"/>
            <color indexed="81"/>
            <rFont val="Tahoma"/>
            <family val="2"/>
          </rPr>
          <t>Brad Marceniuk:</t>
        </r>
        <r>
          <rPr>
            <sz val="8"/>
            <color indexed="81"/>
            <rFont val="Tahoma"/>
            <family val="2"/>
          </rPr>
          <t xml:space="preserve">
</t>
        </r>
        <r>
          <rPr>
            <sz val="9"/>
            <color indexed="81"/>
            <rFont val="Tahoma"/>
            <family val="2"/>
          </rPr>
          <t xml:space="preserve">Grazing costs per ram per day are the grazing costs if the rams are sent to a pasture, or if the owner wants to use an opportunity cost for using the pasture. 
-total annual pasture costs can also be put into "Input#60", instead of here. </t>
        </r>
      </text>
    </comment>
    <comment ref="E224" authorId="1" shapeId="0" xr:uid="{00000000-0006-0000-0300-00005F000000}">
      <text>
        <r>
          <rPr>
            <b/>
            <sz val="9"/>
            <color indexed="81"/>
            <rFont val="Tahoma"/>
            <family val="2"/>
          </rPr>
          <t>Marceniuk, Brad AG:</t>
        </r>
        <r>
          <rPr>
            <sz val="9"/>
            <color indexed="81"/>
            <rFont val="Tahoma"/>
            <family val="2"/>
          </rPr>
          <t xml:space="preserve">
-Estimated daily grass/hay intake in pounds by rams. 
-Can be a hard number to estimate and is not mandatory. </t>
        </r>
      </text>
    </comment>
    <comment ref="E232" authorId="1" shapeId="0" xr:uid="{00000000-0006-0000-0300-000060000000}">
      <text>
        <r>
          <rPr>
            <b/>
            <sz val="9"/>
            <color indexed="81"/>
            <rFont val="Tahoma"/>
            <family val="2"/>
          </rPr>
          <t>Marceniuk, Brad AG:</t>
        </r>
        <r>
          <rPr>
            <sz val="9"/>
            <color indexed="81"/>
            <rFont val="Tahoma"/>
            <family val="2"/>
          </rPr>
          <t xml:space="preserve">
Number of lamb feeding days in the creep feed Ration#5.</t>
        </r>
      </text>
    </comment>
    <comment ref="E233" authorId="1" shapeId="0" xr:uid="{00000000-0006-0000-0300-000061000000}">
      <text>
        <r>
          <rPr>
            <b/>
            <sz val="9"/>
            <color indexed="81"/>
            <rFont val="Tahoma"/>
            <family val="2"/>
          </rPr>
          <t>Marceniuk, Brad AG:</t>
        </r>
        <r>
          <rPr>
            <sz val="9"/>
            <color indexed="81"/>
            <rFont val="Tahoma"/>
            <family val="2"/>
          </rPr>
          <t xml:space="preserve">
-Number of lambs in Ration#5; including lambs kept back for breeding replacements. </t>
        </r>
      </text>
    </comment>
    <comment ref="E252" authorId="1" shapeId="0" xr:uid="{00000000-0006-0000-0300-000062000000}">
      <text>
        <r>
          <rPr>
            <b/>
            <sz val="9"/>
            <color indexed="81"/>
            <rFont val="Tahoma"/>
            <family val="2"/>
          </rPr>
          <t>Marceniuk, Brad AG:</t>
        </r>
        <r>
          <rPr>
            <sz val="9"/>
            <color indexed="81"/>
            <rFont val="Tahoma"/>
            <family val="2"/>
          </rPr>
          <t xml:space="preserve">
-Number of lamb feeding days in feeding Ration#6.</t>
        </r>
      </text>
    </comment>
    <comment ref="E253" authorId="1" shapeId="0" xr:uid="{00000000-0006-0000-0300-000063000000}">
      <text>
        <r>
          <rPr>
            <b/>
            <sz val="9"/>
            <color indexed="81"/>
            <rFont val="Tahoma"/>
            <family val="2"/>
          </rPr>
          <t>Marceniuk, Brad AG:</t>
        </r>
        <r>
          <rPr>
            <sz val="9"/>
            <color indexed="81"/>
            <rFont val="Tahoma"/>
            <family val="2"/>
          </rPr>
          <t xml:space="preserve">
Number of lambs in feeding ration#6; including lambs kept for breeding replacements.</t>
        </r>
      </text>
    </comment>
    <comment ref="E272" authorId="1" shapeId="0" xr:uid="{00000000-0006-0000-0300-000064000000}">
      <text>
        <r>
          <rPr>
            <b/>
            <sz val="9"/>
            <color indexed="81"/>
            <rFont val="Tahoma"/>
            <family val="2"/>
          </rPr>
          <t>Marceniuk, Brad AG:</t>
        </r>
        <r>
          <rPr>
            <sz val="9"/>
            <color indexed="81"/>
            <rFont val="Tahoma"/>
            <family val="2"/>
          </rPr>
          <t xml:space="preserve">
Number of lamb feeding days in ration#7. Number of days and ration used will determine the final weight lambs get sold at and price sold for. </t>
        </r>
      </text>
    </comment>
    <comment ref="E273" authorId="1" shapeId="0" xr:uid="{00000000-0006-0000-0300-000065000000}">
      <text>
        <r>
          <rPr>
            <b/>
            <sz val="9"/>
            <color indexed="81"/>
            <rFont val="Tahoma"/>
            <family val="2"/>
          </rPr>
          <t>Marceniuk, Brad AG:</t>
        </r>
        <r>
          <rPr>
            <sz val="9"/>
            <color indexed="81"/>
            <rFont val="Tahoma"/>
            <family val="2"/>
          </rPr>
          <t xml:space="preserve">
Number of lambs in feeding Ration#7; includes lambs kept for breeding replacements.</t>
        </r>
      </text>
    </comment>
    <comment ref="E295" authorId="1" shapeId="0" xr:uid="{00000000-0006-0000-0300-000066000000}">
      <text>
        <r>
          <rPr>
            <b/>
            <sz val="9"/>
            <color indexed="81"/>
            <rFont val="Tahoma"/>
            <family val="2"/>
          </rPr>
          <t>Marceniuk, Brad AG:</t>
        </r>
        <r>
          <rPr>
            <sz val="9"/>
            <color indexed="81"/>
            <rFont val="Tahoma"/>
            <family val="2"/>
          </rPr>
          <t xml:space="preserve">
The number of days lambs are grazed in a pasture. If cost included with ewes then can be left blank.</t>
        </r>
      </text>
    </comment>
    <comment ref="E296" authorId="0" shapeId="0" xr:uid="{00000000-0006-0000-0300-000067000000}">
      <text>
        <r>
          <rPr>
            <b/>
            <sz val="8"/>
            <color indexed="81"/>
            <rFont val="Tahoma"/>
            <family val="2"/>
          </rPr>
          <t>Brad Marceniuk:</t>
        </r>
        <r>
          <rPr>
            <sz val="8"/>
            <color indexed="81"/>
            <rFont val="Tahoma"/>
            <family val="2"/>
          </rPr>
          <t xml:space="preserve">
</t>
        </r>
        <r>
          <rPr>
            <sz val="9"/>
            <color indexed="81"/>
            <rFont val="Tahoma"/>
            <family val="2"/>
          </rPr>
          <t>Grazing costs per lamb per day are the grazing costs if the lambs are sent to a pasture, or can be used by the owner for the opportunity cost of the pasture.</t>
        </r>
      </text>
    </comment>
    <comment ref="E298" authorId="1" shapeId="0" xr:uid="{00000000-0006-0000-0300-000068000000}">
      <text>
        <r>
          <rPr>
            <b/>
            <sz val="9"/>
            <color indexed="81"/>
            <rFont val="Tahoma"/>
            <family val="2"/>
          </rPr>
          <t>Marceniuk, Brad AG:</t>
        </r>
        <r>
          <rPr>
            <sz val="9"/>
            <color indexed="81"/>
            <rFont val="Tahoma"/>
            <family val="2"/>
          </rPr>
          <t xml:space="preserve">
Estimated daily grass/hay in take by lambs in pounds. Can be a hard number to calculate and not mandatory.</t>
        </r>
      </text>
    </comment>
    <comment ref="E308" authorId="1" shapeId="0" xr:uid="{00000000-0006-0000-0300-000069000000}">
      <text>
        <r>
          <rPr>
            <b/>
            <sz val="9"/>
            <color indexed="81"/>
            <rFont val="Tahoma"/>
            <family val="2"/>
          </rPr>
          <t>Marceniuk, Brad AG:</t>
        </r>
        <r>
          <rPr>
            <sz val="9"/>
            <color indexed="81"/>
            <rFont val="Tahoma"/>
            <family val="2"/>
          </rPr>
          <t xml:space="preserve">
Average estimated medication and vet services per ewe/ram over the year.</t>
        </r>
      </text>
    </comment>
    <comment ref="E314" authorId="1" shapeId="0" xr:uid="{00000000-0006-0000-0300-00006A000000}">
      <text>
        <r>
          <rPr>
            <b/>
            <sz val="9"/>
            <color indexed="81"/>
            <rFont val="Tahoma"/>
            <family val="2"/>
          </rPr>
          <t>Marceniuk, Brad AG:</t>
        </r>
        <r>
          <rPr>
            <sz val="9"/>
            <color indexed="81"/>
            <rFont val="Tahoma"/>
            <family val="2"/>
          </rPr>
          <t xml:space="preserve">
Average cost of synchronizing ewes over the year with cedars and hormones. Cost range $13-$15. </t>
        </r>
      </text>
    </comment>
    <comment ref="E315" authorId="1" shapeId="0" xr:uid="{00000000-0006-0000-0300-00006B000000}">
      <text>
        <r>
          <rPr>
            <b/>
            <sz val="9"/>
            <color indexed="81"/>
            <rFont val="Tahoma"/>
            <family val="2"/>
          </rPr>
          <t>Marceniuk, Brad AG:</t>
        </r>
        <r>
          <rPr>
            <sz val="9"/>
            <color indexed="81"/>
            <rFont val="Tahoma"/>
            <family val="2"/>
          </rPr>
          <t xml:space="preserve">
Average ultra sound costs per ewe over the year. Costs typically $2-$3 plus milage.</t>
        </r>
      </text>
    </comment>
    <comment ref="E316" authorId="1" shapeId="0" xr:uid="{00000000-0006-0000-0300-00006C000000}">
      <text>
        <r>
          <rPr>
            <b/>
            <sz val="9"/>
            <color indexed="81"/>
            <rFont val="Tahoma"/>
            <family val="2"/>
          </rPr>
          <t>Marceniuk, Brad AG:</t>
        </r>
        <r>
          <rPr>
            <sz val="9"/>
            <color indexed="81"/>
            <rFont val="Tahoma"/>
            <family val="2"/>
          </rPr>
          <t xml:space="preserve">
Average cost of lambing supplies per ewe over the year.</t>
        </r>
      </text>
    </comment>
    <comment ref="E321" authorId="1" shapeId="0" xr:uid="{00000000-0006-0000-0300-00006D000000}">
      <text>
        <r>
          <rPr>
            <b/>
            <sz val="9"/>
            <color indexed="81"/>
            <rFont val="Tahoma"/>
            <family val="2"/>
          </rPr>
          <t>Marceniuk, Brad AG:</t>
        </r>
        <r>
          <rPr>
            <sz val="9"/>
            <color indexed="81"/>
            <rFont val="Tahoma"/>
            <family val="2"/>
          </rPr>
          <t xml:space="preserve">
Total annual guardian dog purchase costs over the year.</t>
        </r>
      </text>
    </comment>
    <comment ref="E322" authorId="1" shapeId="0" xr:uid="{00000000-0006-0000-0300-00006E000000}">
      <text>
        <r>
          <rPr>
            <b/>
            <sz val="9"/>
            <color indexed="81"/>
            <rFont val="Tahoma"/>
            <family val="2"/>
          </rPr>
          <t>Marceniuk, Brad AG:</t>
        </r>
        <r>
          <rPr>
            <sz val="9"/>
            <color indexed="81"/>
            <rFont val="Tahoma"/>
            <family val="2"/>
          </rPr>
          <t xml:space="preserve">
Total annual guardian dog operating costs over the year; such as vet and feed. </t>
        </r>
      </text>
    </comment>
    <comment ref="E325" authorId="1" shapeId="0" xr:uid="{00000000-0006-0000-0300-00006F000000}">
      <text>
        <r>
          <rPr>
            <b/>
            <sz val="9"/>
            <color indexed="81"/>
            <rFont val="Tahoma"/>
            <family val="2"/>
          </rPr>
          <t>Marceniuk, Brad AG:</t>
        </r>
        <r>
          <rPr>
            <sz val="9"/>
            <color indexed="81"/>
            <rFont val="Tahoma"/>
            <family val="2"/>
          </rPr>
          <t xml:space="preserve">
Total annual herding dog purchase costs over the year.</t>
        </r>
      </text>
    </comment>
    <comment ref="E326" authorId="1" shapeId="0" xr:uid="{00000000-0006-0000-0300-000070000000}">
      <text>
        <r>
          <rPr>
            <b/>
            <sz val="9"/>
            <color indexed="81"/>
            <rFont val="Tahoma"/>
            <family val="2"/>
          </rPr>
          <t>Marceniuk, Brad AG:</t>
        </r>
        <r>
          <rPr>
            <sz val="9"/>
            <color indexed="81"/>
            <rFont val="Tahoma"/>
            <family val="2"/>
          </rPr>
          <t xml:space="preserve">
Total annual herding dog purchase costs over the year; such as vet and feed.</t>
        </r>
      </text>
    </comment>
    <comment ref="E329" authorId="1" shapeId="0" xr:uid="{00000000-0006-0000-0300-000071000000}">
      <text>
        <r>
          <rPr>
            <b/>
            <sz val="9"/>
            <color indexed="81"/>
            <rFont val="Tahoma"/>
            <family val="2"/>
          </rPr>
          <t>Marceniuk, Brad AG:</t>
        </r>
        <r>
          <rPr>
            <sz val="9"/>
            <color indexed="81"/>
            <rFont val="Tahoma"/>
            <family val="2"/>
          </rPr>
          <t xml:space="preserve">
-Weekly hours required to manage the sheep farm. Would include daily chores or animal care. 
-Could also includes feed preparation and feed harvesting if not included in feed costs already.</t>
        </r>
      </text>
    </comment>
    <comment ref="E333" authorId="1" shapeId="0" xr:uid="{00000000-0006-0000-0300-000072000000}">
      <text>
        <r>
          <rPr>
            <b/>
            <sz val="9"/>
            <color indexed="81"/>
            <rFont val="Tahoma"/>
            <family val="2"/>
          </rPr>
          <t>Marceniuk, Brad AG:</t>
        </r>
        <r>
          <rPr>
            <sz val="9"/>
            <color indexed="81"/>
            <rFont val="Tahoma"/>
            <family val="2"/>
          </rPr>
          <t xml:space="preserve">
Average labour rate or value per hour ($/hour); of labour required to operate sheep farm. </t>
        </r>
      </text>
    </comment>
    <comment ref="E334" authorId="1" shapeId="0" xr:uid="{00000000-0006-0000-0300-000073000000}">
      <text>
        <r>
          <rPr>
            <b/>
            <sz val="9"/>
            <color indexed="81"/>
            <rFont val="Tahoma"/>
            <family val="2"/>
          </rPr>
          <t>Marceniuk, Brad AG:</t>
        </r>
        <r>
          <rPr>
            <sz val="9"/>
            <color indexed="81"/>
            <rFont val="Tahoma"/>
            <family val="2"/>
          </rPr>
          <t xml:space="preserve">
Annual labour costs or requirements of the sheep farm.</t>
        </r>
      </text>
    </comment>
    <comment ref="E337" authorId="1" shapeId="0" xr:uid="{00000000-0006-0000-0300-000074000000}">
      <text>
        <r>
          <rPr>
            <b/>
            <sz val="9"/>
            <color indexed="81"/>
            <rFont val="Tahoma"/>
            <family val="2"/>
          </rPr>
          <t>Marceniuk, Brad AG:</t>
        </r>
        <r>
          <rPr>
            <sz val="9"/>
            <color indexed="81"/>
            <rFont val="Tahoma"/>
            <family val="2"/>
          </rPr>
          <t xml:space="preserve">
Annual manure removal cost from operation.</t>
        </r>
      </text>
    </comment>
    <comment ref="E343" authorId="1" shapeId="0" xr:uid="{00000000-0006-0000-0300-000075000000}">
      <text>
        <r>
          <rPr>
            <b/>
            <sz val="9"/>
            <color indexed="81"/>
            <rFont val="Tahoma"/>
            <family val="2"/>
          </rPr>
          <t>Marceniuk, Brad AG:</t>
        </r>
        <r>
          <rPr>
            <sz val="9"/>
            <color indexed="81"/>
            <rFont val="Tahoma"/>
            <family val="2"/>
          </rPr>
          <t xml:space="preserve">
Annual fuel costs to operate a sheep operation. Fuel costs to produce grain, hay and pasture can be included here or broken into Inputs#58 to #60.</t>
        </r>
      </text>
    </comment>
    <comment ref="E345" authorId="1" shapeId="0" xr:uid="{00000000-0006-0000-0300-000076000000}">
      <text>
        <r>
          <rPr>
            <b/>
            <sz val="9"/>
            <color indexed="81"/>
            <rFont val="Tahoma"/>
            <family val="2"/>
          </rPr>
          <t>Marceniuk, Brad AG:</t>
        </r>
        <r>
          <rPr>
            <sz val="9"/>
            <color indexed="81"/>
            <rFont val="Tahoma"/>
            <family val="2"/>
          </rPr>
          <t xml:space="preserve">
Annual utility costs such as hydro or electricity, natural gas, propane and phone; for sheep operation (home not included).</t>
        </r>
      </text>
    </comment>
    <comment ref="E349" authorId="1" shapeId="0" xr:uid="{00000000-0006-0000-0300-000077000000}">
      <text>
        <r>
          <rPr>
            <b/>
            <sz val="9"/>
            <color indexed="81"/>
            <rFont val="Tahoma"/>
            <family val="2"/>
          </rPr>
          <t>Marceniuk, Brad AG:</t>
        </r>
        <r>
          <rPr>
            <sz val="9"/>
            <color indexed="81"/>
            <rFont val="Tahoma"/>
            <family val="2"/>
          </rPr>
          <t xml:space="preserve">
Annual building repairs related to the sheep operation.</t>
        </r>
      </text>
    </comment>
    <comment ref="E351" authorId="1" shapeId="0" xr:uid="{00000000-0006-0000-0300-000078000000}">
      <text>
        <r>
          <rPr>
            <b/>
            <sz val="9"/>
            <color indexed="81"/>
            <rFont val="Tahoma"/>
            <family val="2"/>
          </rPr>
          <t>Marceniuk, Brad AG:</t>
        </r>
        <r>
          <rPr>
            <sz val="9"/>
            <color indexed="81"/>
            <rFont val="Tahoma"/>
            <family val="2"/>
          </rPr>
          <t xml:space="preserve">
Annual equipment repairs related to the sheep operation.</t>
        </r>
      </text>
    </comment>
    <comment ref="E356" authorId="1" shapeId="0" xr:uid="{00000000-0006-0000-0300-000079000000}">
      <text>
        <r>
          <rPr>
            <b/>
            <sz val="9"/>
            <color indexed="81"/>
            <rFont val="Tahoma"/>
            <family val="2"/>
          </rPr>
          <t>Marceniuk, Brad AG:</t>
        </r>
        <r>
          <rPr>
            <sz val="9"/>
            <color indexed="81"/>
            <rFont val="Tahoma"/>
            <family val="2"/>
          </rPr>
          <t xml:space="preserve">
Average selling ($) commissions per lamb sold.</t>
        </r>
      </text>
    </comment>
    <comment ref="E357" authorId="1" shapeId="0" xr:uid="{00000000-0006-0000-0300-00007A000000}">
      <text>
        <r>
          <rPr>
            <b/>
            <sz val="9"/>
            <color indexed="81"/>
            <rFont val="Tahoma"/>
            <family val="2"/>
          </rPr>
          <t>Marceniuk, Brad AG:</t>
        </r>
        <r>
          <rPr>
            <sz val="9"/>
            <color indexed="81"/>
            <rFont val="Tahoma"/>
            <family val="2"/>
          </rPr>
          <t xml:space="preserve">
Average selling ($) commissions per culled ewe or ram sold.</t>
        </r>
      </text>
    </comment>
    <comment ref="E361" authorId="1" shapeId="0" xr:uid="{00000000-0006-0000-0300-00007B000000}">
      <text>
        <r>
          <rPr>
            <b/>
            <sz val="9"/>
            <color indexed="81"/>
            <rFont val="Tahoma"/>
            <family val="2"/>
          </rPr>
          <t>Marceniuk, Brad AG:</t>
        </r>
        <r>
          <rPr>
            <sz val="9"/>
            <color indexed="81"/>
            <rFont val="Tahoma"/>
            <family val="2"/>
          </rPr>
          <t xml:space="preserve">
Check-off fees per lamb sold in operation.</t>
        </r>
      </text>
    </comment>
    <comment ref="E362" authorId="1" shapeId="0" xr:uid="{00000000-0006-0000-0300-00007C000000}">
      <text>
        <r>
          <rPr>
            <b/>
            <sz val="9"/>
            <color indexed="81"/>
            <rFont val="Tahoma"/>
            <family val="2"/>
          </rPr>
          <t>Marceniuk, Brad AG:</t>
        </r>
        <r>
          <rPr>
            <sz val="9"/>
            <color indexed="81"/>
            <rFont val="Tahoma"/>
            <family val="2"/>
          </rPr>
          <t xml:space="preserve">
Check-off fees per ewe or ram.</t>
        </r>
      </text>
    </comment>
    <comment ref="E366" authorId="1" shapeId="0" xr:uid="{00000000-0006-0000-0300-00007D000000}">
      <text>
        <r>
          <rPr>
            <b/>
            <sz val="9"/>
            <color indexed="81"/>
            <rFont val="Tahoma"/>
            <family val="2"/>
          </rPr>
          <t>Marceniuk, Brad AG:</t>
        </r>
        <r>
          <rPr>
            <sz val="9"/>
            <color indexed="81"/>
            <rFont val="Tahoma"/>
            <family val="2"/>
          </rPr>
          <t xml:space="preserve">
Average transportation costs per lamb sold.</t>
        </r>
      </text>
    </comment>
    <comment ref="E367" authorId="1" shapeId="0" xr:uid="{00000000-0006-0000-0300-00007E000000}">
      <text>
        <r>
          <rPr>
            <b/>
            <sz val="9"/>
            <color indexed="81"/>
            <rFont val="Tahoma"/>
            <family val="2"/>
          </rPr>
          <t>Marceniuk, Brad AG:</t>
        </r>
        <r>
          <rPr>
            <sz val="9"/>
            <color indexed="81"/>
            <rFont val="Tahoma"/>
            <family val="2"/>
          </rPr>
          <t xml:space="preserve">
Average transportation costs per cull ewe or ram sold.</t>
        </r>
      </text>
    </comment>
    <comment ref="D369" authorId="0" shapeId="0" xr:uid="{00000000-0006-0000-0300-00007F000000}">
      <text>
        <r>
          <rPr>
            <b/>
            <sz val="10"/>
            <color indexed="81"/>
            <rFont val="Tahoma"/>
            <family val="2"/>
          </rPr>
          <t>Brad Marceniuk:</t>
        </r>
        <r>
          <rPr>
            <sz val="10"/>
            <color indexed="81"/>
            <rFont val="Tahoma"/>
            <family val="2"/>
          </rPr>
          <t xml:space="preserve">
Could include insurance, commissions, check-off fees, transportation, etc.</t>
        </r>
      </text>
    </comment>
    <comment ref="E369" authorId="1" shapeId="0" xr:uid="{00000000-0006-0000-0300-000080000000}">
      <text>
        <r>
          <rPr>
            <b/>
            <sz val="9"/>
            <color indexed="81"/>
            <rFont val="Tahoma"/>
            <family val="2"/>
          </rPr>
          <t>Marceniuk, Brad AG:</t>
        </r>
        <r>
          <rPr>
            <sz val="9"/>
            <color indexed="81"/>
            <rFont val="Tahoma"/>
            <family val="2"/>
          </rPr>
          <t xml:space="preserve">
Annual other marketing costs in operation.</t>
        </r>
      </text>
    </comment>
    <comment ref="E372" authorId="1" shapeId="0" xr:uid="{00000000-0006-0000-0300-000081000000}">
      <text>
        <r>
          <rPr>
            <b/>
            <sz val="9"/>
            <color indexed="81"/>
            <rFont val="Tahoma"/>
            <family val="2"/>
          </rPr>
          <t>Marceniuk, Brad AG:</t>
        </r>
        <r>
          <rPr>
            <sz val="9"/>
            <color indexed="81"/>
            <rFont val="Tahoma"/>
            <family val="2"/>
          </rPr>
          <t xml:space="preserve">
Annual accounting fees related to the sheep operation.</t>
        </r>
      </text>
    </comment>
    <comment ref="E373" authorId="1" shapeId="0" xr:uid="{00000000-0006-0000-0300-000082000000}">
      <text>
        <r>
          <rPr>
            <b/>
            <sz val="9"/>
            <color indexed="81"/>
            <rFont val="Tahoma"/>
            <family val="2"/>
          </rPr>
          <t>Marceniuk, Brad AG:</t>
        </r>
        <r>
          <rPr>
            <sz val="9"/>
            <color indexed="81"/>
            <rFont val="Tahoma"/>
            <family val="2"/>
          </rPr>
          <t xml:space="preserve">
Annual property taxes related to land and buildings used for the sheep operation (not home).</t>
        </r>
      </text>
    </comment>
    <comment ref="E374" authorId="1" shapeId="0" xr:uid="{00000000-0006-0000-0300-000083000000}">
      <text>
        <r>
          <rPr>
            <b/>
            <sz val="9"/>
            <color indexed="81"/>
            <rFont val="Tahoma"/>
            <family val="2"/>
          </rPr>
          <t>Marceniuk, Brad AG:</t>
        </r>
        <r>
          <rPr>
            <sz val="9"/>
            <color indexed="81"/>
            <rFont val="Tahoma"/>
            <family val="2"/>
          </rPr>
          <t xml:space="preserve">
Annual vehicle registration costs  related to sheep operation.</t>
        </r>
      </text>
    </comment>
    <comment ref="E375" authorId="1" shapeId="0" xr:uid="{00000000-0006-0000-0300-000084000000}">
      <text>
        <r>
          <rPr>
            <b/>
            <sz val="9"/>
            <color indexed="81"/>
            <rFont val="Tahoma"/>
            <family val="2"/>
          </rPr>
          <t>Marceniuk, Brad AG:</t>
        </r>
        <r>
          <rPr>
            <sz val="9"/>
            <color indexed="81"/>
            <rFont val="Tahoma"/>
            <family val="2"/>
          </rPr>
          <t xml:space="preserve">
Annual building and equipment market value for insurance purposes.</t>
        </r>
      </text>
    </comment>
    <comment ref="E376" authorId="1" shapeId="0" xr:uid="{00000000-0006-0000-0300-000085000000}">
      <text>
        <r>
          <rPr>
            <b/>
            <sz val="9"/>
            <color indexed="81"/>
            <rFont val="Tahoma"/>
            <family val="2"/>
          </rPr>
          <t>Marceniuk, Brad AG:</t>
        </r>
        <r>
          <rPr>
            <sz val="9"/>
            <color indexed="81"/>
            <rFont val="Tahoma"/>
            <family val="2"/>
          </rPr>
          <t xml:space="preserve">
Annual insurance cost per $100 of insurable value. </t>
        </r>
      </text>
    </comment>
    <comment ref="E378" authorId="1" shapeId="0" xr:uid="{00000000-0006-0000-0300-000086000000}">
      <text>
        <r>
          <rPr>
            <b/>
            <sz val="9"/>
            <color indexed="81"/>
            <rFont val="Tahoma"/>
            <family val="2"/>
          </rPr>
          <t>Marceniuk, Brad AG:</t>
        </r>
        <r>
          <rPr>
            <sz val="9"/>
            <color indexed="81"/>
            <rFont val="Tahoma"/>
            <family val="2"/>
          </rPr>
          <t xml:space="preserve">
-Estimated insurable value of sheep inventory. 
-Calculated estimated sheep herd value but can be changed manually.</t>
        </r>
      </text>
    </comment>
    <comment ref="E379" authorId="1" shapeId="0" xr:uid="{00000000-0006-0000-0300-000087000000}">
      <text>
        <r>
          <rPr>
            <b/>
            <sz val="9"/>
            <color indexed="81"/>
            <rFont val="Tahoma"/>
            <family val="2"/>
          </rPr>
          <t>Marceniuk, Brad AG:</t>
        </r>
        <r>
          <rPr>
            <sz val="9"/>
            <color indexed="81"/>
            <rFont val="Tahoma"/>
            <family val="2"/>
          </rPr>
          <t xml:space="preserve">
Annual insurance cost per $100 of sheep inventory values. </t>
        </r>
      </text>
    </comment>
    <comment ref="E381" authorId="1" shapeId="0" xr:uid="{00000000-0006-0000-0300-000088000000}">
      <text>
        <r>
          <rPr>
            <b/>
            <sz val="9"/>
            <color indexed="81"/>
            <rFont val="Tahoma"/>
            <family val="2"/>
          </rPr>
          <t>Marceniuk, Brad AG:</t>
        </r>
        <r>
          <rPr>
            <sz val="9"/>
            <color indexed="81"/>
            <rFont val="Tahoma"/>
            <family val="2"/>
          </rPr>
          <t xml:space="preserve">
Annual inflation rate factor used on variable rate inputs influenced by inflaton factors.</t>
        </r>
      </text>
    </comment>
    <comment ref="E385" authorId="0" shapeId="0" xr:uid="{00000000-0006-0000-0300-000089000000}">
      <text>
        <r>
          <rPr>
            <b/>
            <sz val="8"/>
            <color indexed="81"/>
            <rFont val="Tahoma"/>
            <family val="2"/>
          </rPr>
          <t>Brad Marceniuk:</t>
        </r>
        <r>
          <rPr>
            <sz val="8"/>
            <color indexed="81"/>
            <rFont val="Tahoma"/>
            <family val="2"/>
          </rPr>
          <t xml:space="preserve">
S</t>
        </r>
        <r>
          <rPr>
            <sz val="9"/>
            <color indexed="81"/>
            <rFont val="Tahoma"/>
            <family val="2"/>
          </rPr>
          <t>tarting cash balance. Cash balances are calculated based on annual net cash flow and the previous year ending balance.  Numbers can be inputted on the input sheet which will be carried in forward years and into the balance sheet. Equity withdrawals can be taken from here.</t>
        </r>
      </text>
    </comment>
    <comment ref="E386" authorId="0" shapeId="0" xr:uid="{00000000-0006-0000-0300-00008A000000}">
      <text>
        <r>
          <rPr>
            <b/>
            <sz val="8"/>
            <color indexed="81"/>
            <rFont val="Tahoma"/>
            <family val="2"/>
          </rPr>
          <t>Brad Marceniuk:</t>
        </r>
        <r>
          <rPr>
            <sz val="8"/>
            <color indexed="81"/>
            <rFont val="Tahoma"/>
            <family val="2"/>
          </rPr>
          <t xml:space="preserve">
</t>
        </r>
        <r>
          <rPr>
            <sz val="9"/>
            <color indexed="81"/>
            <rFont val="Tahoma"/>
            <family val="2"/>
          </rPr>
          <t>Accounts receivable are sales of lamb, etc., that will be received within the year.</t>
        </r>
      </text>
    </comment>
    <comment ref="E387" authorId="1" shapeId="0" xr:uid="{00000000-0006-0000-0300-00008B000000}">
      <text>
        <r>
          <rPr>
            <b/>
            <sz val="9"/>
            <color indexed="81"/>
            <rFont val="Tahoma"/>
            <family val="2"/>
          </rPr>
          <t>Marceniuk, Brad AG:</t>
        </r>
        <r>
          <rPr>
            <sz val="9"/>
            <color indexed="81"/>
            <rFont val="Tahoma"/>
            <family val="2"/>
          </rPr>
          <t xml:space="preserve">
Market inventory of lambs kept for sale or breeding stock at start of the year.</t>
        </r>
      </text>
    </comment>
    <comment ref="E388" authorId="0" shapeId="0" xr:uid="{00000000-0006-0000-0300-00008C000000}">
      <text>
        <r>
          <rPr>
            <b/>
            <sz val="8"/>
            <color indexed="81"/>
            <rFont val="Tahoma"/>
            <family val="2"/>
          </rPr>
          <t>Brad Marceniuk:</t>
        </r>
        <r>
          <rPr>
            <sz val="8"/>
            <color indexed="81"/>
            <rFont val="Tahoma"/>
            <family val="2"/>
          </rPr>
          <t xml:space="preserve">
</t>
        </r>
        <r>
          <rPr>
            <sz val="9"/>
            <color indexed="81"/>
            <rFont val="Tahoma"/>
            <family val="2"/>
          </rPr>
          <t>Total value of bred ewes at the start of the year. Assuming the ewes are bred before the start of the new year (Jan 1st) a bred animal value is used which is the estimated purchase price. Values are placed here based on prices and numbers used at the start of program, but can be changed here.</t>
        </r>
      </text>
    </comment>
    <comment ref="E389" authorId="0" shapeId="0" xr:uid="{00000000-0006-0000-0300-00008D000000}">
      <text>
        <r>
          <rPr>
            <b/>
            <sz val="8"/>
            <color indexed="81"/>
            <rFont val="Tahoma"/>
            <family val="2"/>
          </rPr>
          <t>Brad Marceniuk:</t>
        </r>
        <r>
          <rPr>
            <sz val="8"/>
            <color indexed="81"/>
            <rFont val="Tahoma"/>
            <family val="2"/>
          </rPr>
          <t xml:space="preserve">
</t>
        </r>
        <r>
          <rPr>
            <sz val="9"/>
            <color indexed="81"/>
            <rFont val="Tahoma"/>
            <family val="2"/>
          </rPr>
          <t>Value of the breeding stock rams at the start of the year.</t>
        </r>
      </text>
    </comment>
    <comment ref="E390" authorId="0" shapeId="0" xr:uid="{00000000-0006-0000-0300-00008E000000}">
      <text>
        <r>
          <rPr>
            <b/>
            <sz val="8"/>
            <color indexed="81"/>
            <rFont val="Tahoma"/>
            <family val="2"/>
          </rPr>
          <t>Brad Marceniuk:</t>
        </r>
        <r>
          <rPr>
            <sz val="8"/>
            <color indexed="81"/>
            <rFont val="Tahoma"/>
            <family val="2"/>
          </rPr>
          <t xml:space="preserve">
</t>
        </r>
        <r>
          <rPr>
            <sz val="9"/>
            <color indexed="81"/>
            <rFont val="Tahoma"/>
            <family val="2"/>
          </rPr>
          <t>Value of supplies, grain, supplements, and hay on hand at the start of the year. (Jan 1st)</t>
        </r>
      </text>
    </comment>
    <comment ref="E391" authorId="1" shapeId="0" xr:uid="{00000000-0006-0000-0300-00008F000000}">
      <text>
        <r>
          <rPr>
            <b/>
            <sz val="9"/>
            <color indexed="81"/>
            <rFont val="Tahoma"/>
            <family val="2"/>
          </rPr>
          <t>Marceniuk, Brad AG:</t>
        </r>
        <r>
          <rPr>
            <sz val="9"/>
            <color indexed="81"/>
            <rFont val="Tahoma"/>
            <family val="2"/>
          </rPr>
          <t xml:space="preserve">
Value of general farm supplies and medication at start of the year. (Jan. 1)</t>
        </r>
      </text>
    </comment>
    <comment ref="C392" authorId="0" shapeId="0" xr:uid="{00000000-0006-0000-0300-000090000000}">
      <text>
        <r>
          <rPr>
            <b/>
            <sz val="8"/>
            <color indexed="81"/>
            <rFont val="Tahoma"/>
            <family val="2"/>
          </rPr>
          <t>Brad Marceniuk:</t>
        </r>
        <r>
          <rPr>
            <sz val="8"/>
            <color indexed="81"/>
            <rFont val="Tahoma"/>
            <family val="2"/>
          </rPr>
          <t xml:space="preserve">
Land is not considered a depreciating asset and thus not depreciated.</t>
        </r>
      </text>
    </comment>
    <comment ref="E392" authorId="0" shapeId="0" xr:uid="{00000000-0006-0000-0300-000091000000}">
      <text>
        <r>
          <rPr>
            <b/>
            <sz val="8"/>
            <color indexed="81"/>
            <rFont val="Tahoma"/>
            <family val="2"/>
          </rPr>
          <t>Brad Marceniuk:</t>
        </r>
        <r>
          <rPr>
            <sz val="8"/>
            <color indexed="81"/>
            <rFont val="Tahoma"/>
            <family val="2"/>
          </rPr>
          <t xml:space="preserve">
</t>
        </r>
        <r>
          <rPr>
            <sz val="9"/>
            <color indexed="81"/>
            <rFont val="Tahoma"/>
            <family val="2"/>
          </rPr>
          <t>Value of the land (no buildings, etc.) and other non depreciating assets at the start of the year. Land values to remain the same unless more land is purchased.</t>
        </r>
      </text>
    </comment>
    <comment ref="C393" authorId="0" shapeId="0" xr:uid="{00000000-0006-0000-0300-000092000000}">
      <text>
        <r>
          <rPr>
            <b/>
            <sz val="8"/>
            <color indexed="81"/>
            <rFont val="Tahoma"/>
            <family val="2"/>
          </rPr>
          <t>Brad Marceniuk:</t>
        </r>
        <r>
          <rPr>
            <sz val="8"/>
            <color indexed="81"/>
            <rFont val="Tahoma"/>
            <family val="2"/>
          </rPr>
          <t xml:space="preserve">
Depending on type and age of the building it can fall into Class 1 (4%), Class 3 ( 5%) or class 6 (10%).
Fences are also classidied as class 6 (10%).</t>
        </r>
      </text>
    </comment>
    <comment ref="E393" authorId="0" shapeId="0" xr:uid="{00000000-0006-0000-0300-000093000000}">
      <text>
        <r>
          <rPr>
            <b/>
            <sz val="8"/>
            <color indexed="81"/>
            <rFont val="Tahoma"/>
            <family val="2"/>
          </rPr>
          <t>Brad Marceniuk:</t>
        </r>
        <r>
          <rPr>
            <sz val="8"/>
            <color indexed="81"/>
            <rFont val="Tahoma"/>
            <family val="2"/>
          </rPr>
          <t xml:space="preserve">
</t>
        </r>
        <r>
          <rPr>
            <sz val="9"/>
            <color indexed="81"/>
            <rFont val="Tahoma"/>
            <family val="2"/>
          </rPr>
          <t>Value of farm buildings, graineries, fences, and other non movable farm assets used for sheep production.</t>
        </r>
      </text>
    </comment>
    <comment ref="C394" authorId="0" shapeId="0" xr:uid="{00000000-0006-0000-0300-000094000000}">
      <text>
        <r>
          <rPr>
            <b/>
            <sz val="8"/>
            <color indexed="81"/>
            <rFont val="Tahoma"/>
            <family val="2"/>
          </rPr>
          <t>Brad Marceniuk:</t>
        </r>
        <r>
          <rPr>
            <sz val="8"/>
            <color indexed="81"/>
            <rFont val="Tahoma"/>
            <family val="2"/>
          </rPr>
          <t xml:space="preserve">
Machinery and equipment are classified under class 8 (20%).</t>
        </r>
      </text>
    </comment>
    <comment ref="E394" authorId="0" shapeId="0" xr:uid="{00000000-0006-0000-0300-000095000000}">
      <text>
        <r>
          <rPr>
            <b/>
            <sz val="8"/>
            <color indexed="81"/>
            <rFont val="Tahoma"/>
            <family val="2"/>
          </rPr>
          <t>Brad Marceniuk:</t>
        </r>
        <r>
          <rPr>
            <sz val="8"/>
            <color indexed="81"/>
            <rFont val="Tahoma"/>
            <family val="2"/>
          </rPr>
          <t xml:space="preserve">
</t>
        </r>
        <r>
          <rPr>
            <sz val="9"/>
            <color indexed="81"/>
            <rFont val="Tahoma"/>
            <family val="2"/>
          </rPr>
          <t>Value of farm machinery and equipment used for sheep production.</t>
        </r>
      </text>
    </comment>
    <comment ref="C395" authorId="0" shapeId="0" xr:uid="{00000000-0006-0000-0300-000096000000}">
      <text>
        <r>
          <rPr>
            <b/>
            <sz val="8"/>
            <color indexed="81"/>
            <rFont val="Tahoma"/>
            <family val="2"/>
          </rPr>
          <t>Brad Marceniuk:</t>
        </r>
        <r>
          <rPr>
            <sz val="8"/>
            <color indexed="81"/>
            <rFont val="Tahoma"/>
            <family val="2"/>
          </rPr>
          <t xml:space="preserve">
Infrastructure and site development such as roads and storage areas are under Class 17 (8%). </t>
        </r>
      </text>
    </comment>
    <comment ref="E395" authorId="0" shapeId="0" xr:uid="{00000000-0006-0000-0300-000097000000}">
      <text>
        <r>
          <rPr>
            <b/>
            <sz val="8"/>
            <color indexed="81"/>
            <rFont val="Tahoma"/>
            <family val="2"/>
          </rPr>
          <t>Brad Marceniuk:</t>
        </r>
        <r>
          <rPr>
            <sz val="8"/>
            <color indexed="81"/>
            <rFont val="Tahoma"/>
            <family val="2"/>
          </rPr>
          <t xml:space="preserve">
</t>
        </r>
        <r>
          <rPr>
            <sz val="9"/>
            <color indexed="81"/>
            <rFont val="Tahoma"/>
            <family val="2"/>
          </rPr>
          <t>Infrastructure and site development costs such as roads and utilities.</t>
        </r>
      </text>
    </comment>
    <comment ref="E399" authorId="0" shapeId="0" xr:uid="{00000000-0006-0000-0300-000098000000}">
      <text>
        <r>
          <rPr>
            <b/>
            <sz val="8"/>
            <color indexed="81"/>
            <rFont val="Tahoma"/>
            <family val="2"/>
          </rPr>
          <t>Brad Marceniuk:</t>
        </r>
        <r>
          <rPr>
            <sz val="8"/>
            <color indexed="81"/>
            <rFont val="Tahoma"/>
            <family val="2"/>
          </rPr>
          <t xml:space="preserve">
</t>
        </r>
        <r>
          <rPr>
            <sz val="9"/>
            <color indexed="81"/>
            <rFont val="Tahoma"/>
            <family val="2"/>
          </rPr>
          <t>Operating loans outstanding at the start of the year. Operating balance are calculated based on annual net cash flow plus starting balance.</t>
        </r>
      </text>
    </comment>
    <comment ref="E400" authorId="0" shapeId="0" xr:uid="{00000000-0006-0000-0300-000099000000}">
      <text>
        <r>
          <rPr>
            <b/>
            <sz val="8"/>
            <color indexed="81"/>
            <rFont val="Tahoma"/>
            <family val="2"/>
          </rPr>
          <t>Brad Marceniuk:</t>
        </r>
        <r>
          <rPr>
            <sz val="8"/>
            <color indexed="81"/>
            <rFont val="Tahoma"/>
            <family val="2"/>
          </rPr>
          <t xml:space="preserve">
</t>
        </r>
        <r>
          <rPr>
            <sz val="9"/>
            <color indexed="81"/>
            <rFont val="Tahoma"/>
            <family val="2"/>
          </rPr>
          <t>Accounts payable are purchases of items that are due wiithin the year.
Balance at the start of year.</t>
        </r>
      </text>
    </comment>
    <comment ref="E401" authorId="0" shapeId="0" xr:uid="{00000000-0006-0000-0300-00009A000000}">
      <text>
        <r>
          <rPr>
            <b/>
            <sz val="8"/>
            <color indexed="81"/>
            <rFont val="Tahoma"/>
            <family val="2"/>
          </rPr>
          <t>Brad Marceniuk:</t>
        </r>
        <r>
          <rPr>
            <sz val="8"/>
            <color indexed="81"/>
            <rFont val="Tahoma"/>
            <family val="2"/>
          </rPr>
          <t xml:space="preserve">
Principal payments that are overdue and need to be paid within the year.</t>
        </r>
      </text>
    </comment>
    <comment ref="E402" authorId="0" shapeId="0" xr:uid="{00000000-0006-0000-0300-00009B000000}">
      <text>
        <r>
          <rPr>
            <b/>
            <sz val="8"/>
            <color indexed="81"/>
            <rFont val="Tahoma"/>
            <family val="2"/>
          </rPr>
          <t>Brad Marceniuk:</t>
        </r>
        <r>
          <rPr>
            <sz val="8"/>
            <color indexed="81"/>
            <rFont val="Tahoma"/>
            <family val="2"/>
          </rPr>
          <t xml:space="preserve">
-</t>
        </r>
        <r>
          <rPr>
            <sz val="9"/>
            <color indexed="81"/>
            <rFont val="Tahoma"/>
            <family val="2"/>
          </rPr>
          <t>Curent portion of principal payments from long-term debt that will be due over the coming 12 months (year). 
-Current debt is calculated based on existing long-term debt outstanding and repayment schedule and interest rates.</t>
        </r>
        <r>
          <rPr>
            <sz val="8"/>
            <color indexed="81"/>
            <rFont val="Tahoma"/>
            <family val="2"/>
          </rPr>
          <t xml:space="preserve"> </t>
        </r>
      </text>
    </comment>
    <comment ref="E405" authorId="0" shapeId="0" xr:uid="{00000000-0006-0000-0300-00009C000000}">
      <text>
        <r>
          <rPr>
            <b/>
            <sz val="8"/>
            <color indexed="81"/>
            <rFont val="Tahoma"/>
            <family val="2"/>
          </rPr>
          <t>Brad Marceniuk:</t>
        </r>
        <r>
          <rPr>
            <sz val="8"/>
            <color indexed="81"/>
            <rFont val="Tahoma"/>
            <family val="2"/>
          </rPr>
          <t xml:space="preserve">
</t>
        </r>
        <r>
          <rPr>
            <sz val="9"/>
            <color indexed="81"/>
            <rFont val="Tahoma"/>
            <family val="2"/>
          </rPr>
          <t xml:space="preserve">Estimated total annual operating costs. </t>
        </r>
      </text>
    </comment>
    <comment ref="E406" authorId="0" shapeId="0" xr:uid="{00000000-0006-0000-0300-00009D000000}">
      <text>
        <r>
          <rPr>
            <b/>
            <sz val="8"/>
            <color indexed="81"/>
            <rFont val="Tahoma"/>
            <family val="2"/>
          </rPr>
          <t>Brad Marceniuk:</t>
        </r>
        <r>
          <rPr>
            <sz val="8"/>
            <color indexed="81"/>
            <rFont val="Tahoma"/>
            <family val="2"/>
          </rPr>
          <t xml:space="preserve">
</t>
        </r>
        <r>
          <rPr>
            <sz val="9"/>
            <color indexed="81"/>
            <rFont val="Tahoma"/>
            <family val="2"/>
          </rPr>
          <t>Estimated average daily operating loan balance through out the year. Used to calculate annual operating interest costs.</t>
        </r>
      </text>
    </comment>
    <comment ref="E407" authorId="1" shapeId="0" xr:uid="{00000000-0006-0000-0300-00009E000000}">
      <text>
        <r>
          <rPr>
            <b/>
            <sz val="9"/>
            <color indexed="81"/>
            <rFont val="Tahoma"/>
            <family val="2"/>
          </rPr>
          <t>Marceniuk, Brad AG:</t>
        </r>
        <r>
          <rPr>
            <sz val="9"/>
            <color indexed="81"/>
            <rFont val="Tahoma"/>
            <family val="2"/>
          </rPr>
          <t xml:space="preserve">
Annual interest rate on operating loan. </t>
        </r>
      </text>
    </comment>
    <comment ref="E412" authorId="1" shapeId="0" xr:uid="{00000000-0006-0000-0300-00009F000000}">
      <text>
        <r>
          <rPr>
            <b/>
            <sz val="9"/>
            <color indexed="81"/>
            <rFont val="Tahoma"/>
            <family val="2"/>
          </rPr>
          <t>Marceniuk, Brad AG:</t>
        </r>
        <r>
          <rPr>
            <sz val="9"/>
            <color indexed="81"/>
            <rFont val="Tahoma"/>
            <family val="2"/>
          </rPr>
          <t xml:space="preserve">
Principal value of loan outstanding for land and long-term assets.</t>
        </r>
      </text>
    </comment>
    <comment ref="E413" authorId="1" shapeId="0" xr:uid="{00000000-0006-0000-0300-0000A0000000}">
      <text>
        <r>
          <rPr>
            <b/>
            <sz val="9"/>
            <color indexed="81"/>
            <rFont val="Tahoma"/>
            <family val="2"/>
          </rPr>
          <t>Marceniuk, Brad AG:</t>
        </r>
        <r>
          <rPr>
            <sz val="9"/>
            <color indexed="81"/>
            <rFont val="Tahoma"/>
            <family val="2"/>
          </rPr>
          <t xml:space="preserve">
Annual interest rate on long-term loan #1.</t>
        </r>
      </text>
    </comment>
    <comment ref="E414" authorId="1" shapeId="0" xr:uid="{00000000-0006-0000-0300-0000A1000000}">
      <text>
        <r>
          <rPr>
            <b/>
            <sz val="9"/>
            <color indexed="81"/>
            <rFont val="Tahoma"/>
            <family val="2"/>
          </rPr>
          <t>Marceniuk, Brad AG:</t>
        </r>
        <r>
          <rPr>
            <sz val="9"/>
            <color indexed="81"/>
            <rFont val="Tahoma"/>
            <family val="2"/>
          </rPr>
          <t xml:space="preserve">
Length of loan remaining in number of years.</t>
        </r>
      </text>
    </comment>
    <comment ref="E418" authorId="1" shapeId="0" xr:uid="{00000000-0006-0000-0300-0000A2000000}">
      <text>
        <r>
          <rPr>
            <b/>
            <sz val="9"/>
            <color indexed="81"/>
            <rFont val="Tahoma"/>
            <family val="2"/>
          </rPr>
          <t>Marceniuk, Brad AG:</t>
        </r>
        <r>
          <rPr>
            <sz val="9"/>
            <color indexed="81"/>
            <rFont val="Tahoma"/>
            <family val="2"/>
          </rPr>
          <t xml:space="preserve">
Principal value of loan outstanding for machinery and equipment.</t>
        </r>
      </text>
    </comment>
    <comment ref="E419" authorId="1" shapeId="0" xr:uid="{00000000-0006-0000-0300-0000A3000000}">
      <text>
        <r>
          <rPr>
            <b/>
            <sz val="9"/>
            <color indexed="81"/>
            <rFont val="Tahoma"/>
            <family val="2"/>
          </rPr>
          <t>Marceniuk, Brad AG:</t>
        </r>
        <r>
          <rPr>
            <sz val="9"/>
            <color indexed="81"/>
            <rFont val="Tahoma"/>
            <family val="2"/>
          </rPr>
          <t xml:space="preserve">
Annual interest rate for loan #2.</t>
        </r>
      </text>
    </comment>
    <comment ref="E420" authorId="1" shapeId="0" xr:uid="{00000000-0006-0000-0300-0000A4000000}">
      <text>
        <r>
          <rPr>
            <b/>
            <sz val="9"/>
            <color indexed="81"/>
            <rFont val="Tahoma"/>
            <family val="2"/>
          </rPr>
          <t>Marceniuk, Brad AG:</t>
        </r>
        <r>
          <rPr>
            <sz val="9"/>
            <color indexed="81"/>
            <rFont val="Tahoma"/>
            <family val="2"/>
          </rPr>
          <t xml:space="preserve">
length of loan remaining in number of years.</t>
        </r>
      </text>
    </comment>
    <comment ref="E424" authorId="1" shapeId="0" xr:uid="{00000000-0006-0000-0300-0000A5000000}">
      <text>
        <r>
          <rPr>
            <b/>
            <sz val="9"/>
            <color indexed="81"/>
            <rFont val="Tahoma"/>
            <family val="2"/>
          </rPr>
          <t>Marceniuk, Brad AG:</t>
        </r>
        <r>
          <rPr>
            <sz val="9"/>
            <color indexed="81"/>
            <rFont val="Tahoma"/>
            <family val="2"/>
          </rPr>
          <t xml:space="preserve">
Principal value of new loan for sheep/other during year one. First payment in year two.</t>
        </r>
      </text>
    </comment>
    <comment ref="E425" authorId="1" shapeId="0" xr:uid="{00000000-0006-0000-0300-0000A6000000}">
      <text>
        <r>
          <rPr>
            <b/>
            <sz val="9"/>
            <color indexed="81"/>
            <rFont val="Tahoma"/>
            <family val="2"/>
          </rPr>
          <t>Marceniuk, Brad AG:</t>
        </r>
        <r>
          <rPr>
            <sz val="9"/>
            <color indexed="81"/>
            <rFont val="Tahoma"/>
            <family val="2"/>
          </rPr>
          <t xml:space="preserve">
Annual interest rate of new loan.</t>
        </r>
      </text>
    </comment>
    <comment ref="E426" authorId="1" shapeId="0" xr:uid="{00000000-0006-0000-0300-0000A7000000}">
      <text>
        <r>
          <rPr>
            <b/>
            <sz val="9"/>
            <color indexed="81"/>
            <rFont val="Tahoma"/>
            <family val="2"/>
          </rPr>
          <t>Marceniuk, Brad AG:</t>
        </r>
        <r>
          <rPr>
            <sz val="9"/>
            <color indexed="81"/>
            <rFont val="Tahoma"/>
            <family val="2"/>
          </rPr>
          <t xml:space="preserve">
Length of new loan in number of years.</t>
        </r>
      </text>
    </comment>
    <comment ref="E430" authorId="1" shapeId="0" xr:uid="{00000000-0006-0000-0300-0000A8000000}">
      <text>
        <r>
          <rPr>
            <b/>
            <sz val="9"/>
            <color indexed="81"/>
            <rFont val="Tahoma"/>
            <family val="2"/>
          </rPr>
          <t>Marceniuk, Brad AG:</t>
        </r>
        <r>
          <rPr>
            <sz val="9"/>
            <color indexed="81"/>
            <rFont val="Tahoma"/>
            <family val="2"/>
          </rPr>
          <t xml:space="preserve">
Principal value of new loan for sheep/other during year two. First payment in year three.</t>
        </r>
      </text>
    </comment>
    <comment ref="E431" authorId="1" shapeId="0" xr:uid="{00000000-0006-0000-0300-0000A9000000}">
      <text>
        <r>
          <rPr>
            <b/>
            <sz val="9"/>
            <color indexed="81"/>
            <rFont val="Tahoma"/>
            <family val="2"/>
          </rPr>
          <t>Marceniuk, Brad AG:</t>
        </r>
        <r>
          <rPr>
            <sz val="9"/>
            <color indexed="81"/>
            <rFont val="Tahoma"/>
            <family val="2"/>
          </rPr>
          <t xml:space="preserve">
Annual interest rate of new loan.</t>
        </r>
      </text>
    </comment>
    <comment ref="E432" authorId="1" shapeId="0" xr:uid="{00000000-0006-0000-0300-0000AA000000}">
      <text>
        <r>
          <rPr>
            <b/>
            <sz val="9"/>
            <color indexed="81"/>
            <rFont val="Tahoma"/>
            <family val="2"/>
          </rPr>
          <t>Marceniuk, Brad AG:</t>
        </r>
        <r>
          <rPr>
            <sz val="9"/>
            <color indexed="81"/>
            <rFont val="Tahoma"/>
            <family val="2"/>
          </rPr>
          <t xml:space="preserve">
Length of new loan in number of years.</t>
        </r>
      </text>
    </comment>
    <comment ref="E436" authorId="1" shapeId="0" xr:uid="{00000000-0006-0000-0300-0000AB000000}">
      <text>
        <r>
          <rPr>
            <b/>
            <sz val="9"/>
            <color indexed="81"/>
            <rFont val="Tahoma"/>
            <family val="2"/>
          </rPr>
          <t>Marceniuk, Brad AG:</t>
        </r>
        <r>
          <rPr>
            <sz val="9"/>
            <color indexed="81"/>
            <rFont val="Tahoma"/>
            <family val="2"/>
          </rPr>
          <t xml:space="preserve">
Principal value of new loan for sheep/other during year three. First payment will be in year four.</t>
        </r>
      </text>
    </comment>
    <comment ref="E437" authorId="1" shapeId="0" xr:uid="{00000000-0006-0000-0300-0000AC000000}">
      <text>
        <r>
          <rPr>
            <b/>
            <sz val="9"/>
            <color indexed="81"/>
            <rFont val="Tahoma"/>
            <family val="2"/>
          </rPr>
          <t>Marceniuk, Brad AG:</t>
        </r>
        <r>
          <rPr>
            <sz val="9"/>
            <color indexed="81"/>
            <rFont val="Tahoma"/>
            <family val="2"/>
          </rPr>
          <t xml:space="preserve">
Annual interest rate of new loan.</t>
        </r>
      </text>
    </comment>
    <comment ref="E438" authorId="1" shapeId="0" xr:uid="{00000000-0006-0000-0300-0000AD000000}">
      <text>
        <r>
          <rPr>
            <b/>
            <sz val="9"/>
            <color indexed="81"/>
            <rFont val="Tahoma"/>
            <family val="2"/>
          </rPr>
          <t>Marceniuk, Brad AG:</t>
        </r>
        <r>
          <rPr>
            <sz val="9"/>
            <color indexed="81"/>
            <rFont val="Tahoma"/>
            <family val="2"/>
          </rPr>
          <t xml:space="preserve">
Length of new loan in number of years.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Marceniuk, Brad AG</author>
    <author>Brad Marceniuk</author>
  </authors>
  <commentList>
    <comment ref="D34" authorId="0" shapeId="0" xr:uid="{00000000-0006-0000-0600-000001000000}">
      <text>
        <r>
          <rPr>
            <b/>
            <sz val="9"/>
            <color indexed="81"/>
            <rFont val="Tahoma"/>
            <family val="2"/>
          </rPr>
          <t>Marceniuk, Brad AG:</t>
        </r>
        <r>
          <rPr>
            <sz val="9"/>
            <color indexed="81"/>
            <rFont val="Tahoma"/>
            <family val="2"/>
          </rPr>
          <t xml:space="preserve">
Total Variable and Fixed Costs. Excludes Loan Principal Payments.
</t>
        </r>
      </text>
    </comment>
    <comment ref="D35" authorId="0" shapeId="0" xr:uid="{00000000-0006-0000-0600-000002000000}">
      <text>
        <r>
          <rPr>
            <b/>
            <sz val="9"/>
            <color indexed="81"/>
            <rFont val="Tahoma"/>
            <family val="2"/>
          </rPr>
          <t>Marceniuk, Brad AG:</t>
        </r>
        <r>
          <rPr>
            <sz val="9"/>
            <color indexed="81"/>
            <rFont val="Tahoma"/>
            <family val="2"/>
          </rPr>
          <t xml:space="preserve">
Net Income = Total revenues less Variable and Fixed Costs.
</t>
        </r>
      </text>
    </comment>
    <comment ref="D36" authorId="1" shapeId="0" xr:uid="{00000000-0006-0000-0600-000003000000}">
      <text>
        <r>
          <rPr>
            <b/>
            <sz val="8"/>
            <color indexed="81"/>
            <rFont val="Tahoma"/>
            <family val="2"/>
          </rPr>
          <t>Brad Marceniuk:</t>
        </r>
        <r>
          <rPr>
            <sz val="8"/>
            <color indexed="81"/>
            <rFont val="Tahoma"/>
            <family val="2"/>
          </rPr>
          <t xml:space="preserve">
Net Income adjusted for changes in Inventory, Accounts Receivable, and Accounts Payable.</t>
        </r>
      </text>
    </comment>
    <comment ref="D43" authorId="0" shapeId="0" xr:uid="{00000000-0006-0000-0600-000004000000}">
      <text>
        <r>
          <rPr>
            <b/>
            <sz val="9"/>
            <color indexed="81"/>
            <rFont val="Tahoma"/>
            <family val="2"/>
          </rPr>
          <t>Marceniuk, Brad AG:</t>
        </r>
        <r>
          <rPr>
            <sz val="9"/>
            <color indexed="81"/>
            <rFont val="Tahoma"/>
            <family val="2"/>
          </rPr>
          <t xml:space="preserve">
Net Cash Flow = Net Income plus add back Depreciation, add any Sheep Advance, less any Principal Payments. </t>
        </r>
      </text>
    </comment>
  </commentList>
</comments>
</file>

<file path=xl/sharedStrings.xml><?xml version="1.0" encoding="utf-8"?>
<sst xmlns="http://schemas.openxmlformats.org/spreadsheetml/2006/main" count="1779" uniqueCount="964">
  <si>
    <t>TOTAL</t>
  </si>
  <si>
    <t xml:space="preserve"> </t>
  </si>
  <si>
    <t>Input 1</t>
  </si>
  <si>
    <t>Input 2</t>
  </si>
  <si>
    <t>Year 1</t>
  </si>
  <si>
    <t>Year 2</t>
  </si>
  <si>
    <t>Year 3</t>
  </si>
  <si>
    <t>Year 4</t>
  </si>
  <si>
    <t>Year 5</t>
  </si>
  <si>
    <t>Input 3</t>
  </si>
  <si>
    <t>Input 4</t>
  </si>
  <si>
    <t>calculated</t>
  </si>
  <si>
    <t>FEED COSTS</t>
  </si>
  <si>
    <t>FEED INGREDIENTS</t>
  </si>
  <si>
    <t>Barley</t>
  </si>
  <si>
    <t>Straw</t>
  </si>
  <si>
    <t>Supplements</t>
  </si>
  <si>
    <t>Barley ($/tonne)</t>
  </si>
  <si>
    <t>Straw ($/tonne)</t>
  </si>
  <si>
    <t>FEED RATIONS</t>
  </si>
  <si>
    <t>lbs/hd/day</t>
  </si>
  <si>
    <t>Input 8</t>
  </si>
  <si>
    <t>Input 9</t>
  </si>
  <si>
    <t>Input 10</t>
  </si>
  <si>
    <t>Input 11</t>
  </si>
  <si>
    <t>Other</t>
  </si>
  <si>
    <t>Input 12</t>
  </si>
  <si>
    <t>Input 13</t>
  </si>
  <si>
    <t>Input 14</t>
  </si>
  <si>
    <t>Input 15</t>
  </si>
  <si>
    <t>Input 16</t>
  </si>
  <si>
    <t>Input 17</t>
  </si>
  <si>
    <t>Input 18</t>
  </si>
  <si>
    <t>Input 19</t>
  </si>
  <si>
    <t>Input 20</t>
  </si>
  <si>
    <t>Input 21</t>
  </si>
  <si>
    <t>Input 22</t>
  </si>
  <si>
    <t>Input 23</t>
  </si>
  <si>
    <t>Input 24</t>
  </si>
  <si>
    <t>Input 25</t>
  </si>
  <si>
    <t>Input 26</t>
  </si>
  <si>
    <t>Input 27</t>
  </si>
  <si>
    <t>Input 28</t>
  </si>
  <si>
    <t>Input 29</t>
  </si>
  <si>
    <t>Input 30</t>
  </si>
  <si>
    <t>Vitamins</t>
  </si>
  <si>
    <t>Input 36</t>
  </si>
  <si>
    <t>Input 37</t>
  </si>
  <si>
    <t>OPERATING COSTS</t>
  </si>
  <si>
    <t>Input 38</t>
  </si>
  <si>
    <t>Input 39</t>
  </si>
  <si>
    <t>Input 40</t>
  </si>
  <si>
    <t>Input 41</t>
  </si>
  <si>
    <t>Input 42</t>
  </si>
  <si>
    <t>Input 43</t>
  </si>
  <si>
    <t>Input 44</t>
  </si>
  <si>
    <t>Input 45</t>
  </si>
  <si>
    <t>Input 50</t>
  </si>
  <si>
    <t>Input 51</t>
  </si>
  <si>
    <t>MARKETING AND TRANSPORTATION COSTS</t>
  </si>
  <si>
    <t>Input 52</t>
  </si>
  <si>
    <t>Input 53</t>
  </si>
  <si>
    <t>Transportation Costs</t>
  </si>
  <si>
    <t>Input 54</t>
  </si>
  <si>
    <t>Input 55</t>
  </si>
  <si>
    <t>Input 56</t>
  </si>
  <si>
    <t>Input 57</t>
  </si>
  <si>
    <t>Input 58</t>
  </si>
  <si>
    <t>Input 61</t>
  </si>
  <si>
    <t>ACCOUNTING AND MISCELLANEOUS</t>
  </si>
  <si>
    <t>Annual Accounting Fees</t>
  </si>
  <si>
    <t>Annual Property Taxes</t>
  </si>
  <si>
    <t>Annual Inflation Increases</t>
  </si>
  <si>
    <t>Input 62</t>
  </si>
  <si>
    <t>Input 63</t>
  </si>
  <si>
    <t>Input 64</t>
  </si>
  <si>
    <t>Input 65</t>
  </si>
  <si>
    <t>Input 66</t>
  </si>
  <si>
    <t>Date:</t>
  </si>
  <si>
    <t>Telephone#:</t>
  </si>
  <si>
    <t>Fax#:</t>
  </si>
  <si>
    <t>REVENUE</t>
  </si>
  <si>
    <t>Total $</t>
  </si>
  <si>
    <t>TOTAL REVENUE</t>
  </si>
  <si>
    <t>Veterinary Services and Medication</t>
  </si>
  <si>
    <t>Labour Costs</t>
  </si>
  <si>
    <t>Insurance cost per $100 dollars insurance</t>
  </si>
  <si>
    <t>Building and Equipment Insurance value</t>
  </si>
  <si>
    <t>Input 67</t>
  </si>
  <si>
    <t>Input 68</t>
  </si>
  <si>
    <t>Input 69</t>
  </si>
  <si>
    <t>Input 70</t>
  </si>
  <si>
    <t>Input 71</t>
  </si>
  <si>
    <t>Input 72</t>
  </si>
  <si>
    <t>Input 73</t>
  </si>
  <si>
    <t>Input 74</t>
  </si>
  <si>
    <t xml:space="preserve">Building and Equipment Insurance Cost </t>
  </si>
  <si>
    <t>Input 75</t>
  </si>
  <si>
    <t>Insurance Costs</t>
  </si>
  <si>
    <t>Input 76</t>
  </si>
  <si>
    <t>Input 77</t>
  </si>
  <si>
    <t>Input 78</t>
  </si>
  <si>
    <t>Input 79</t>
  </si>
  <si>
    <t>Input 80</t>
  </si>
  <si>
    <t>Input 81</t>
  </si>
  <si>
    <t>TOTAL VARIABLE COSTS</t>
  </si>
  <si>
    <t>Operating Interest Rate</t>
  </si>
  <si>
    <t>Input 82</t>
  </si>
  <si>
    <t>Input 83</t>
  </si>
  <si>
    <t>Input 84</t>
  </si>
  <si>
    <t>Depreciation</t>
  </si>
  <si>
    <t>Long Term Interest</t>
  </si>
  <si>
    <t>Initial Cost</t>
  </si>
  <si>
    <t>DEPRECIATION</t>
  </si>
  <si>
    <t>Year End</t>
  </si>
  <si>
    <t>TOTAL FIXED COSTS</t>
  </si>
  <si>
    <t>TOTAL COSTS</t>
  </si>
  <si>
    <t>NET INCOME, Before Taxes</t>
  </si>
  <si>
    <t>Plus Depreciation/Amortization</t>
  </si>
  <si>
    <t>Less Principal Payments</t>
  </si>
  <si>
    <t>Net Cash Flow, Before Taxes</t>
  </si>
  <si>
    <t>Estimated Average Daily Operating Loan</t>
  </si>
  <si>
    <t>FIXED LOANS</t>
  </si>
  <si>
    <t>Principal Loan Amount</t>
  </si>
  <si>
    <t>Interest Rate</t>
  </si>
  <si>
    <t>Term of loan remaining in years</t>
  </si>
  <si>
    <t>Input 85</t>
  </si>
  <si>
    <t>Input 86</t>
  </si>
  <si>
    <t>Input 87</t>
  </si>
  <si>
    <t>Input 88</t>
  </si>
  <si>
    <t>Input 89</t>
  </si>
  <si>
    <t>Input 90</t>
  </si>
  <si>
    <t>Input 91</t>
  </si>
  <si>
    <t>Input 92</t>
  </si>
  <si>
    <t>Principal</t>
  </si>
  <si>
    <t>Loan Payment</t>
  </si>
  <si>
    <t>Principal Pmt.</t>
  </si>
  <si>
    <t>Principal Bal.</t>
  </si>
  <si>
    <t>Interest Pmt</t>
  </si>
  <si>
    <t>Loan Pmt.</t>
  </si>
  <si>
    <t>Term of Loan</t>
  </si>
  <si>
    <t>Input 93</t>
  </si>
  <si>
    <t>Input 94</t>
  </si>
  <si>
    <t>Marketing Commissions</t>
  </si>
  <si>
    <t>Input 5</t>
  </si>
  <si>
    <t>Input 6</t>
  </si>
  <si>
    <t>Input 7</t>
  </si>
  <si>
    <t>Supplements ($/tonne)</t>
  </si>
  <si>
    <t>Input 49</t>
  </si>
  <si>
    <t>Input 95</t>
  </si>
  <si>
    <t>BREEDING STOCK</t>
  </si>
  <si>
    <t>Cost Per Day/Head</t>
  </si>
  <si>
    <t>Hay</t>
  </si>
  <si>
    <t>Hay ($/tonne)</t>
  </si>
  <si>
    <t>Veterinary and Medicine</t>
  </si>
  <si>
    <t>Custom Work and Manure Removal</t>
  </si>
  <si>
    <t>Annual Total Salary</t>
  </si>
  <si>
    <t>Labour Requirements and Costs</t>
  </si>
  <si>
    <t>Custom Work/Manure Removal Costs</t>
  </si>
  <si>
    <t>Fuel and Utility Costs</t>
  </si>
  <si>
    <t>Annual Fuel Costs</t>
  </si>
  <si>
    <t>Annual Building Repairs</t>
  </si>
  <si>
    <t>Annual Utility Costs (hydro, natural gas, phone)</t>
  </si>
  <si>
    <t>Annual commission/selling costs</t>
  </si>
  <si>
    <t>Annual transportation costs</t>
  </si>
  <si>
    <t>Annual Equipment Repairs</t>
  </si>
  <si>
    <t>Input 96</t>
  </si>
  <si>
    <t>Input 97</t>
  </si>
  <si>
    <t>Operating Interest Costs</t>
  </si>
  <si>
    <t>Annual Interest Costs</t>
  </si>
  <si>
    <t>Annual Operating Costs</t>
  </si>
  <si>
    <t>Input 98</t>
  </si>
  <si>
    <t>Cost Per Head</t>
  </si>
  <si>
    <t>Vitamins ($/tonne)</t>
  </si>
  <si>
    <t>Loan#1 - Land and Buildings</t>
  </si>
  <si>
    <t>January</t>
  </si>
  <si>
    <t>February</t>
  </si>
  <si>
    <t>March</t>
  </si>
  <si>
    <t>April</t>
  </si>
  <si>
    <t>May</t>
  </si>
  <si>
    <t>June</t>
  </si>
  <si>
    <t>July</t>
  </si>
  <si>
    <t>August</t>
  </si>
  <si>
    <t>September</t>
  </si>
  <si>
    <t>October</t>
  </si>
  <si>
    <t>November</t>
  </si>
  <si>
    <t>December</t>
  </si>
  <si>
    <t>Total</t>
  </si>
  <si>
    <t>Input 99</t>
  </si>
  <si>
    <t>Input 100</t>
  </si>
  <si>
    <t>Input 101</t>
  </si>
  <si>
    <t>Input 102</t>
  </si>
  <si>
    <t>Input 103</t>
  </si>
  <si>
    <t>Input 104</t>
  </si>
  <si>
    <t>Cash expenditures for interest calculations</t>
  </si>
  <si>
    <t>Cash revenues</t>
  </si>
  <si>
    <t>Net cash flows</t>
  </si>
  <si>
    <t>Average Account Balance</t>
  </si>
  <si>
    <t>Dep. Rate</t>
  </si>
  <si>
    <t xml:space="preserve">Year </t>
  </si>
  <si>
    <t>Annual medication and vet services per year</t>
  </si>
  <si>
    <t>Loan#2 - Machinery and Equipment</t>
  </si>
  <si>
    <t>Input 105</t>
  </si>
  <si>
    <t>Input 106</t>
  </si>
  <si>
    <t>Input 107</t>
  </si>
  <si>
    <t>Input 108</t>
  </si>
  <si>
    <t>Input 109</t>
  </si>
  <si>
    <t>Input 110</t>
  </si>
  <si>
    <t>Input 111</t>
  </si>
  <si>
    <t>Input 112</t>
  </si>
  <si>
    <t>Input 113</t>
  </si>
  <si>
    <t>Input 114</t>
  </si>
  <si>
    <t>Input 115</t>
  </si>
  <si>
    <t>Input 116</t>
  </si>
  <si>
    <t>Input 117</t>
  </si>
  <si>
    <t>Input 118</t>
  </si>
  <si>
    <t>Input 119</t>
  </si>
  <si>
    <t>Input 120</t>
  </si>
  <si>
    <t>Input 121</t>
  </si>
  <si>
    <t>Input 122</t>
  </si>
  <si>
    <t>Input 123</t>
  </si>
  <si>
    <t>Input 124</t>
  </si>
  <si>
    <t>Input 125</t>
  </si>
  <si>
    <t>Input 126</t>
  </si>
  <si>
    <t>Input 127</t>
  </si>
  <si>
    <t>Input 128</t>
  </si>
  <si>
    <t>Input 129</t>
  </si>
  <si>
    <t>Input 130</t>
  </si>
  <si>
    <t>Input 131</t>
  </si>
  <si>
    <t>Input 132</t>
  </si>
  <si>
    <t>Input 133</t>
  </si>
  <si>
    <t>Input 134</t>
  </si>
  <si>
    <t>Input 135</t>
  </si>
  <si>
    <t>EXPENSES - VARIABLE COSTS</t>
  </si>
  <si>
    <t>NET CASH FLOW</t>
  </si>
  <si>
    <t>Ewe Flock - Start of the year (Number Head)</t>
  </si>
  <si>
    <t>Ewe Lambs - kept for breeding (Number Head)</t>
  </si>
  <si>
    <t>Bred Ewe Lambs Purchased - During the year</t>
  </si>
  <si>
    <t>Bred Ewe Lambs Purchase Price - $/Bred Ewe</t>
  </si>
  <si>
    <t>Rams Purchased - During the year</t>
  </si>
  <si>
    <t>Rams Purchase Price - $/Ram</t>
  </si>
  <si>
    <t>Cull Ewe Average Culling Weight (LBS)</t>
  </si>
  <si>
    <t>Cull Ram Average Culling Weight (LBS)</t>
  </si>
  <si>
    <t>Cull Ram Price - $/Ram</t>
  </si>
  <si>
    <t>Estimated Average Ewe Flock over year</t>
  </si>
  <si>
    <t>Breeding Supplies</t>
  </si>
  <si>
    <t>Estimated Average Number Rams over year</t>
  </si>
  <si>
    <t>Manure removal costs per ewe</t>
  </si>
  <si>
    <t>(Fuel costs per ewe)</t>
  </si>
  <si>
    <t>(Utility costs per ewe)</t>
  </si>
  <si>
    <t>(Building costs per ewe)</t>
  </si>
  <si>
    <t>(Equipment costs per ewe)</t>
  </si>
  <si>
    <t>Lamb transportation costs - $/lamb</t>
  </si>
  <si>
    <t>Sheep Insurance Value</t>
  </si>
  <si>
    <t>Sheep Insurance cost per $100 dollars value.</t>
  </si>
  <si>
    <t>Sheep Insurance Cost</t>
  </si>
  <si>
    <t>Loan#3 - Sheep Loan Purchase #1 (Year #1)</t>
  </si>
  <si>
    <t>Loan#4 - Sheep Loan Purchase #2 (Year #2)</t>
  </si>
  <si>
    <t>Loan#6 - Sheep Loan Purchase #4 (Year #4)</t>
  </si>
  <si>
    <t>Loan#7 - Sheep Loan Purchase #5 (Year #5)</t>
  </si>
  <si>
    <t xml:space="preserve">Feeding Days   </t>
  </si>
  <si>
    <t xml:space="preserve">Feeding Days              </t>
  </si>
  <si>
    <t>Ewes - Feeding Days and Ration</t>
  </si>
  <si>
    <t>Rams - Feeding Days and Ration</t>
  </si>
  <si>
    <t>Feeding Days</t>
  </si>
  <si>
    <t>Annual manure removal cost</t>
  </si>
  <si>
    <t>Lambs - Feeding Days and Ration</t>
  </si>
  <si>
    <t>Input 136</t>
  </si>
  <si>
    <t>Input 137</t>
  </si>
  <si>
    <t>Input 138</t>
  </si>
  <si>
    <t>Input 139</t>
  </si>
  <si>
    <t>Input 140</t>
  </si>
  <si>
    <t>Input 141</t>
  </si>
  <si>
    <t>Input 142</t>
  </si>
  <si>
    <t>Input 143</t>
  </si>
  <si>
    <t>Input 144</t>
  </si>
  <si>
    <t>Input 145</t>
  </si>
  <si>
    <t>Input 146</t>
  </si>
  <si>
    <t>Input 147</t>
  </si>
  <si>
    <t>Input 148</t>
  </si>
  <si>
    <t>Input 149</t>
  </si>
  <si>
    <t>Input 150</t>
  </si>
  <si>
    <t>Input 151</t>
  </si>
  <si>
    <t>Input 152</t>
  </si>
  <si>
    <t>Input 153</t>
  </si>
  <si>
    <t>Input 154</t>
  </si>
  <si>
    <t>Input 155</t>
  </si>
  <si>
    <t>Input 156</t>
  </si>
  <si>
    <t>Input 157</t>
  </si>
  <si>
    <t>Input 158</t>
  </si>
  <si>
    <t>Input 159</t>
  </si>
  <si>
    <t>Input 160</t>
  </si>
  <si>
    <t>Input 161</t>
  </si>
  <si>
    <t>Input 162</t>
  </si>
  <si>
    <t>Input 163</t>
  </si>
  <si>
    <t>Input 164</t>
  </si>
  <si>
    <t>Input 165</t>
  </si>
  <si>
    <t>Input 166</t>
  </si>
  <si>
    <t>Input 167</t>
  </si>
  <si>
    <t>Input 168</t>
  </si>
  <si>
    <t>Input 169</t>
  </si>
  <si>
    <t>Input 170</t>
  </si>
  <si>
    <t>Input 171</t>
  </si>
  <si>
    <t>Input 172</t>
  </si>
  <si>
    <t>Input 173</t>
  </si>
  <si>
    <t>Input 174</t>
  </si>
  <si>
    <t>Input 175</t>
  </si>
  <si>
    <t>FEEDING DAYS</t>
  </si>
  <si>
    <t>Rams</t>
  </si>
  <si>
    <t>FEED COST</t>
  </si>
  <si>
    <t>Lambs - Creep</t>
  </si>
  <si>
    <t>Lambs - Weaning</t>
  </si>
  <si>
    <t>Lambs - Feeder</t>
  </si>
  <si>
    <t>TOTAL FEED COST</t>
  </si>
  <si>
    <t>Guardian Dog Costs</t>
  </si>
  <si>
    <t>Annual guardian dog purchase costs</t>
  </si>
  <si>
    <t>Annual herding dog purchase costs</t>
  </si>
  <si>
    <t>Annual operating costs (vet., feed, etc.)</t>
  </si>
  <si>
    <t>Guardian and Herd Dog Costs</t>
  </si>
  <si>
    <t>Wool Sales</t>
  </si>
  <si>
    <t>Herd Dog Costs</t>
  </si>
  <si>
    <t>WOOL SALES</t>
  </si>
  <si>
    <t>Number of Animals Sheared</t>
  </si>
  <si>
    <t>Average Pounds of Wool Per Animal</t>
  </si>
  <si>
    <t>Total Pounds of Wool Sheared</t>
  </si>
  <si>
    <t>Value of Wool Per Pound</t>
  </si>
  <si>
    <t>Total Value of Wool</t>
  </si>
  <si>
    <t>Shearing Cost Per Head</t>
  </si>
  <si>
    <t>Input 176</t>
  </si>
  <si>
    <t>Input 177</t>
  </si>
  <si>
    <t>Input 178</t>
  </si>
  <si>
    <t>Input 179</t>
  </si>
  <si>
    <t>Input 180</t>
  </si>
  <si>
    <t>Input 181</t>
  </si>
  <si>
    <t>Input 182</t>
  </si>
  <si>
    <t>Input 183</t>
  </si>
  <si>
    <t>Input 184</t>
  </si>
  <si>
    <t>Input 185</t>
  </si>
  <si>
    <t>Shearing and Wool Production Costs</t>
  </si>
  <si>
    <t>Total Wool Production Costs</t>
  </si>
  <si>
    <t>MEAT SALES</t>
  </si>
  <si>
    <t>Number of Animals Slaughtered</t>
  </si>
  <si>
    <t>Average Pounds of Meat Per Animal</t>
  </si>
  <si>
    <t>Total Pounds of Meat Produced</t>
  </si>
  <si>
    <t>Sale Value of Meat Per Pound</t>
  </si>
  <si>
    <t>Total Sales Value of Meat</t>
  </si>
  <si>
    <t>Packing/Bagging/Transportation Cost per LB</t>
  </si>
  <si>
    <t>Total Meat Production Costs</t>
  </si>
  <si>
    <t>Slaughtering and Meat Production Costs</t>
  </si>
  <si>
    <t>Sheep Loan Advance</t>
  </si>
  <si>
    <t>Ewes - Lactation</t>
  </si>
  <si>
    <t>Ewes - Maintenance</t>
  </si>
  <si>
    <t>Estimated Ewes bred during year</t>
  </si>
  <si>
    <t>Input 186</t>
  </si>
  <si>
    <t>Input 187</t>
  </si>
  <si>
    <t>Input 188</t>
  </si>
  <si>
    <t>Input 189</t>
  </si>
  <si>
    <t>Input 190</t>
  </si>
  <si>
    <t>Input 191</t>
  </si>
  <si>
    <t>Input 192</t>
  </si>
  <si>
    <t>Input 193</t>
  </si>
  <si>
    <t>Input 194</t>
  </si>
  <si>
    <t>Input 195</t>
  </si>
  <si>
    <t>Input 196</t>
  </si>
  <si>
    <t>Input 197</t>
  </si>
  <si>
    <t>Input 198</t>
  </si>
  <si>
    <t>Input 199</t>
  </si>
  <si>
    <t>Input 200</t>
  </si>
  <si>
    <t>Input 201</t>
  </si>
  <si>
    <t>Input 202</t>
  </si>
  <si>
    <t>Salt/Mineral Mix ($/tonne)</t>
  </si>
  <si>
    <t>Salt/Mineral Mix</t>
  </si>
  <si>
    <t>Ewe Pasture Grazing Days (Days)</t>
  </si>
  <si>
    <t>Ram Pasture Grazing Days (Days)</t>
  </si>
  <si>
    <t>Lamb Pasture Grazing Days (Days)</t>
  </si>
  <si>
    <t>Input 203</t>
  </si>
  <si>
    <t>Input 204</t>
  </si>
  <si>
    <t>Input 205</t>
  </si>
  <si>
    <t>Percent Ewes Culled Annually</t>
  </si>
  <si>
    <t>Cull Ewe Average Price ($/Ewe)</t>
  </si>
  <si>
    <t>Operating Account Balance</t>
  </si>
  <si>
    <t>Lambing Rate (Percentage)</t>
  </si>
  <si>
    <t>Open Ewes (Number Head)</t>
  </si>
  <si>
    <t>Ram Mortality Rate (Percentage)</t>
  </si>
  <si>
    <t>Estimated Ewe Mortality (Number)</t>
  </si>
  <si>
    <t>Ewe Mortality Rate (Percentage)</t>
  </si>
  <si>
    <t>PRODUCTIVITY</t>
  </si>
  <si>
    <t>Cull Ewe Sales During the year (Number Head)</t>
  </si>
  <si>
    <t>Lambs Born During the year (Number)</t>
  </si>
  <si>
    <t>Lambs Weaned During the year</t>
  </si>
  <si>
    <t>Lambs Available For Sale (Number Head)</t>
  </si>
  <si>
    <t>Feeder Lambs selling weight (LBS)</t>
  </si>
  <si>
    <t>Feeder Lambs selling price ($/LB)</t>
  </si>
  <si>
    <t>Feeder Lambs sold during the year (Number)</t>
  </si>
  <si>
    <t>Feeder Lambs selling value ($/Head)</t>
  </si>
  <si>
    <t>Cull Ewe Sales During the year (Head)</t>
  </si>
  <si>
    <t>Cull Ram Sales During the year (Head)</t>
  </si>
  <si>
    <t>Cull Ram Average Price ($/LB)</t>
  </si>
  <si>
    <t>Cull Ewe Price ($/LB)</t>
  </si>
  <si>
    <t>MUTTON SALES</t>
  </si>
  <si>
    <t>Number of Butcher Lambs Slaughtered</t>
  </si>
  <si>
    <t>Slaughter and Packaging Cost Per Head</t>
  </si>
  <si>
    <t>Average Pounds Per Animal</t>
  </si>
  <si>
    <t>Total Pounds of Mutton Produced</t>
  </si>
  <si>
    <t>Sale Value of Mutton Per Pound</t>
  </si>
  <si>
    <t>Total Sales Value of Mutton</t>
  </si>
  <si>
    <t>Total Mutton Production Costs</t>
  </si>
  <si>
    <t>Milk Replacer ($/tonne)</t>
  </si>
  <si>
    <t>Milk Replacer</t>
  </si>
  <si>
    <t>Number of Lambs in Creep Ration (Head)</t>
  </si>
  <si>
    <t>Number of Lambs in Weanling Ration (Head)</t>
  </si>
  <si>
    <t>Number of Lambs in Feeder Ration (Head)</t>
  </si>
  <si>
    <t>Ultrasound costs per ewe</t>
  </si>
  <si>
    <t xml:space="preserve">BALANCE SHEET             </t>
  </si>
  <si>
    <t>(Start of Year)</t>
  </si>
  <si>
    <t>ASSETS:</t>
  </si>
  <si>
    <t>Cash</t>
  </si>
  <si>
    <t>Accounts Receivable</t>
  </si>
  <si>
    <t>Feed Supplies/Hay/Grain</t>
  </si>
  <si>
    <t>General Farm Supplies/Medication</t>
  </si>
  <si>
    <t>Land and Other Non Depreciating Assets</t>
  </si>
  <si>
    <t>TOTAL ASSETS</t>
  </si>
  <si>
    <t>Market Inventory - Lambs</t>
  </si>
  <si>
    <t>Breeding Stock - Ewes</t>
  </si>
  <si>
    <t>LIABILITIES:</t>
  </si>
  <si>
    <t>Operating Loans/Account</t>
  </si>
  <si>
    <t>Accounts Payable</t>
  </si>
  <si>
    <t>Principal in Arrears</t>
  </si>
  <si>
    <t>Other Current Debt/Annual Principal Due</t>
  </si>
  <si>
    <t>CURRENT LIABILITIES</t>
  </si>
  <si>
    <t>OPERATING LOAN ESTIMATES</t>
  </si>
  <si>
    <t xml:space="preserve">   PROJECTED BALANCE SHEET (YEAR END)</t>
  </si>
  <si>
    <t>Initial</t>
  </si>
  <si>
    <t>Current Assets:</t>
  </si>
  <si>
    <t>(Time 0)</t>
  </si>
  <si>
    <t>Total Current Assets</t>
  </si>
  <si>
    <t>Long Term Assets:</t>
  </si>
  <si>
    <t>Machinery and Equipment</t>
  </si>
  <si>
    <t>Buildings and Fences</t>
  </si>
  <si>
    <t>Infrastructure and Site Development</t>
  </si>
  <si>
    <t>Long Term Assets</t>
  </si>
  <si>
    <t>Current Liabilities:</t>
  </si>
  <si>
    <t>Total Current Liabilities</t>
  </si>
  <si>
    <t>Long Term Liabilities:</t>
  </si>
  <si>
    <t>Total Long Term Liabilities</t>
  </si>
  <si>
    <t>TOTAL LIABILITIES</t>
  </si>
  <si>
    <t>NET EQUITY</t>
  </si>
  <si>
    <t>Input 206</t>
  </si>
  <si>
    <t>Input 207</t>
  </si>
  <si>
    <t>Input 208</t>
  </si>
  <si>
    <t>Input 209</t>
  </si>
  <si>
    <t>Input 210</t>
  </si>
  <si>
    <t>Input 211</t>
  </si>
  <si>
    <t>Input 212</t>
  </si>
  <si>
    <t>Input 213</t>
  </si>
  <si>
    <t>Input 214</t>
  </si>
  <si>
    <t>Input 215</t>
  </si>
  <si>
    <t>Input 216</t>
  </si>
  <si>
    <t>Input 217</t>
  </si>
  <si>
    <t>Input 218</t>
  </si>
  <si>
    <t>Input 219</t>
  </si>
  <si>
    <t>Input 220</t>
  </si>
  <si>
    <t>Input 221</t>
  </si>
  <si>
    <t>Input 222</t>
  </si>
  <si>
    <t>Input 223</t>
  </si>
  <si>
    <t>Input 224</t>
  </si>
  <si>
    <t>Input 225</t>
  </si>
  <si>
    <t>Input 226</t>
  </si>
  <si>
    <t>Cull Ewe and Ram Sales</t>
  </si>
  <si>
    <t>Meat and Mutton Sales</t>
  </si>
  <si>
    <t>Ewe Flock (ewes &amp; bred ewe lambs) Year End</t>
  </si>
  <si>
    <t>Ewes - Pasture</t>
  </si>
  <si>
    <t>Rams - Pasture</t>
  </si>
  <si>
    <t>Lambs - Pasture</t>
  </si>
  <si>
    <t>Total Annual Custom Work</t>
  </si>
  <si>
    <t>Starting Account Balance</t>
  </si>
  <si>
    <t>Account Balance</t>
  </si>
  <si>
    <t>End Of Year</t>
  </si>
  <si>
    <t>ACCRUED NET INCOME, Before Taxes</t>
  </si>
  <si>
    <t>CASH FLOW, Before Taxes</t>
  </si>
  <si>
    <t>Inventory</t>
  </si>
  <si>
    <t>Accrual Adjustments</t>
  </si>
  <si>
    <t>(Note: For Analysis purpose only, does not link to the Input Sheet)</t>
  </si>
  <si>
    <t>Accounting, Property Taxes, Licenses</t>
  </si>
  <si>
    <t>Lamb Death Loss (birth to wean) - Number</t>
  </si>
  <si>
    <t>Lamb Death Loss (birth to wean) - Percentage</t>
  </si>
  <si>
    <t>Lamb Weaning Percentage</t>
  </si>
  <si>
    <t>Lamb Death Loss (wean to market) - Percentage</t>
  </si>
  <si>
    <t>Lamb Death Loss (wean to market) - Number</t>
  </si>
  <si>
    <t>BREEDING STOCK SALES</t>
  </si>
  <si>
    <t>Breeding Ewe Sales (Number)</t>
  </si>
  <si>
    <t>Breeding Ewe Selling Price ($/Head)</t>
  </si>
  <si>
    <t>Breeding Ram Sales (Number)</t>
  </si>
  <si>
    <t>Breeding Ram Selling Price ($/Head)</t>
  </si>
  <si>
    <t>Breeding Ewe Lambs Sales (Number)</t>
  </si>
  <si>
    <t>Breeding Ewe Lambs Selling Price ($/Head)</t>
  </si>
  <si>
    <t>Annual Principal &amp; Interest Payments</t>
  </si>
  <si>
    <t>Year</t>
  </si>
  <si>
    <t>ending year</t>
  </si>
  <si>
    <t>Interest</t>
  </si>
  <si>
    <t xml:space="preserve">               Loan</t>
  </si>
  <si>
    <t>Payments</t>
  </si>
  <si>
    <t>Breeding Stock Sales</t>
  </si>
  <si>
    <t>Breeding Stock - Rams</t>
  </si>
  <si>
    <t xml:space="preserve">         SHEEP PRODUCTION COST AND PROFORMA FINANCIAL MODEL</t>
  </si>
  <si>
    <t>YEAR #1 - MONTHLY CASH FLOW PROJECTIONS</t>
  </si>
  <si>
    <t>Starting Balance</t>
  </si>
  <si>
    <t>NOTICE:</t>
  </si>
  <si>
    <t>All rights reserved.  Copyright and all other intellectual property rights in EwePLAN, and all manuals,</t>
  </si>
  <si>
    <t xml:space="preserve">documentation and other material pertaining to this software, belong exclusively to the </t>
  </si>
  <si>
    <t xml:space="preserve">Government of Saskatchewan.  This software is provided solely for the personal use of the </t>
  </si>
  <si>
    <t>user under a non-exclusive license, and may not be copied, modified, published, sold or</t>
  </si>
  <si>
    <t xml:space="preserve">distributed to any third party, or transmitted in any form or by any mean whether electronic, </t>
  </si>
  <si>
    <t xml:space="preserve">mechanical, photocopying, recording or otherwise, in whole or in part, without the express </t>
  </si>
  <si>
    <t>written permission of the Saskatchewan Ministry of Agriculture.</t>
  </si>
  <si>
    <t>DISCLAIMER:</t>
  </si>
  <si>
    <t xml:space="preserve">This software is provided without warranty on an "as is" basis.  The Government of </t>
  </si>
  <si>
    <t xml:space="preserve">Saskatchewan and its agents assume no liability or responsibility whatsoever with respect to </t>
  </si>
  <si>
    <t>loss or damage caused by or alleged to be caused by the use or operation of this software.</t>
  </si>
  <si>
    <t>ACTUAL MONTHLY CASH FLOW</t>
  </si>
  <si>
    <t>Introduction</t>
  </si>
  <si>
    <t>Planner</t>
  </si>
  <si>
    <t>The EwePLAN is an excel based tool used to make five-year annual projections for a new or existing ewe-lamb operation.</t>
  </si>
  <si>
    <t>COP Calculation (Cost Of Production Calculation)</t>
  </si>
  <si>
    <t>Input</t>
  </si>
  <si>
    <t>The "Input" worksheet is the main area in the model where all the production and financial numbers are inputted into the model to complete the financial projections.</t>
  </si>
  <si>
    <t>Monthly</t>
  </si>
  <si>
    <t xml:space="preserve">The "Monthly" worksheet contains the projected monthly revenues and expenses including cash flow requirements for the first year.  Producers can go into the monthly sheet and change the timing of revenues and expenses to more acurately reflect the projected monthly cash flows for their operation. The worksheet also has an actual monthly cash flow sheet where producers can put their actual revenues and expenses enabling them to compare year-to-date actuals versus their projections. </t>
  </si>
  <si>
    <t>Income Expense</t>
  </si>
  <si>
    <t>The "Income Expense" worksheet is the summary sheet with the projected revenues, expenses, and cash flow for the five years projected in the model.</t>
  </si>
  <si>
    <t>Balance Sheet</t>
  </si>
  <si>
    <t>The "Balance Sheet" worksheet is the summary of the estimated assets and liabilities of the operation at the end of each year.</t>
  </si>
  <si>
    <t>Financing Sheet</t>
  </si>
  <si>
    <t>The "Financing" worksheet is the summary of the payment schedule broken down into interest and principal payments for each loan, per year, set out in the input sheet.</t>
  </si>
  <si>
    <t>The "Depreciation" worksheet is the schedule for the depreciation of assets that are inputted in the input worksheet, in the balance sheet section.  The depreciation rate can be changed for different categories in the depreciation work sheet, in the yellow boxes.  The depreciation schedule is initially setup with estimated rates on a declining balance. Maximum Capital Cost Allowance (CCA) rates are not used.</t>
  </si>
  <si>
    <t>Buildings and Fences (CCA - 10% dep)</t>
  </si>
  <si>
    <t xml:space="preserve">Machinery and Equipment (CCA - 20% dep)  </t>
  </si>
  <si>
    <t>Infrastructure and Site Development (CCA - 8%)</t>
  </si>
  <si>
    <t>A five year annual projection for a sheep operation. </t>
  </si>
  <si>
    <t>Days</t>
  </si>
  <si>
    <t>Ram Pasture Grazing Costs</t>
  </si>
  <si>
    <t>Lamb Pasture Grazing Costs</t>
  </si>
  <si>
    <t>$/Ewe</t>
  </si>
  <si>
    <t>$/Lamb</t>
  </si>
  <si>
    <t>Ewe Pasture Grazing Costs $/Head/Day</t>
  </si>
  <si>
    <t>Lamb Pasture Grazing Costs $/Head/Day</t>
  </si>
  <si>
    <t>Building and Equipment Repairs</t>
  </si>
  <si>
    <t>Building and Machinery Repairs</t>
  </si>
  <si>
    <t>Feed, Pasture, &amp; Hay Costs</t>
  </si>
  <si>
    <t>Pasture - seed, fert., water, fencing, etc.</t>
  </si>
  <si>
    <t>Hay - seed, fert., cutting, baling, hauling, etc.</t>
  </si>
  <si>
    <t>Grain - seed, fert., chem., field work, etc.</t>
  </si>
  <si>
    <t>Other annual custom work</t>
  </si>
  <si>
    <t>Breeding Stock Purchases &amp; Supplies</t>
  </si>
  <si>
    <t>Estimated annual breeding supply costs</t>
  </si>
  <si>
    <t>Enterprise Type:</t>
  </si>
  <si>
    <t>Lambs Born During the year</t>
  </si>
  <si>
    <t>Lamb Death Losses (birth to wean)</t>
  </si>
  <si>
    <t>Lamb Death Losses (wean to market)</t>
  </si>
  <si>
    <t>LAMB SALES</t>
  </si>
  <si>
    <t># Head</t>
  </si>
  <si>
    <t>Total Weight</t>
  </si>
  <si>
    <t>Total Value</t>
  </si>
  <si>
    <t>$/Head</t>
  </si>
  <si>
    <t>Bottle Babies Sold</t>
  </si>
  <si>
    <t>CULL SALES</t>
  </si>
  <si>
    <t>Cull Ewe Sales During the year</t>
  </si>
  <si>
    <t>Cull Ram Sales During the year</t>
  </si>
  <si>
    <t>$/ Head</t>
  </si>
  <si>
    <t>REVENUES</t>
  </si>
  <si>
    <t>Value/Head</t>
  </si>
  <si>
    <t>Breeding Ewe Sales During the year</t>
  </si>
  <si>
    <t>Breeding Ram Sales During the year</t>
  </si>
  <si>
    <t>Market Lambs Slaughtered</t>
  </si>
  <si>
    <t>Wool Weight</t>
  </si>
  <si>
    <t>Meat Weight</t>
  </si>
  <si>
    <t>$/Unit</t>
  </si>
  <si>
    <t>Total Cost</t>
  </si>
  <si>
    <t>Units</t>
  </si>
  <si>
    <t>BREEDING STOCK PURCHASES AND SUPPLIES</t>
  </si>
  <si>
    <t>VETERINARY SERVICES AND MEDICATION</t>
  </si>
  <si>
    <t>Veterinary Services</t>
  </si>
  <si>
    <t>Medication</t>
  </si>
  <si>
    <t>FEED, PASTURE &amp; HAY COSTS</t>
  </si>
  <si>
    <t>GUARDIAN AND HERD DOG COSTS</t>
  </si>
  <si>
    <t>LABOUR COSTS</t>
  </si>
  <si>
    <t>CUSTOM WORK/MANURE REMOVAL COSTS</t>
  </si>
  <si>
    <t>Grains Produced -</t>
  </si>
  <si>
    <t>Pasture - Production Costs</t>
  </si>
  <si>
    <t>Pasture - Rental/Lease Costs</t>
  </si>
  <si>
    <t xml:space="preserve">Hay - Purchase Costs </t>
  </si>
  <si>
    <t>Hay - Production Costs</t>
  </si>
  <si>
    <t>Guardian dog purchase costs</t>
  </si>
  <si>
    <t>Guardian dog operating costs (vet., feed, etc.)</t>
  </si>
  <si>
    <t>Herd dog purchase costs</t>
  </si>
  <si>
    <t>Herd dog operating costs (vet., feed, etc.)</t>
  </si>
  <si>
    <t>Breeding Supplies (sponges or MGA, and ultrasound costs)</t>
  </si>
  <si>
    <t># Workers</t>
  </si>
  <si>
    <t>Annual Manure Removal Cost</t>
  </si>
  <si>
    <t>Other Annual Custom Work</t>
  </si>
  <si>
    <t>FUEL AND UTILITY COSTS</t>
  </si>
  <si>
    <t>BUILDING AND EQUIPMENT REPAIRS</t>
  </si>
  <si>
    <t>Transportation Costs - Lamb/Ewe/Ram</t>
  </si>
  <si>
    <t>SHEARING AND WOOL PRODUCTION COSTS</t>
  </si>
  <si>
    <t>Shearing Costs</t>
  </si>
  <si>
    <t>Packing/Bagging/transportation Costs</t>
  </si>
  <si>
    <t>SLAUGHTERING AND MEAT PRODUCTION COSTS</t>
  </si>
  <si>
    <t>Slaughter, Packing, and Trasportation Costs</t>
  </si>
  <si>
    <t>ACCOUNTING, PROPERTY TAXES, AND LISCENSES</t>
  </si>
  <si>
    <t>Accounting Fees</t>
  </si>
  <si>
    <t>Property Taxes</t>
  </si>
  <si>
    <t>Vehicle Plates/Liscenses</t>
  </si>
  <si>
    <t>OPERATING INTEREST COSTS</t>
  </si>
  <si>
    <t>Annual Operating Interest Costs</t>
  </si>
  <si>
    <t>INSURANCE COSTS</t>
  </si>
  <si>
    <t>Building and Equipment Costs</t>
  </si>
  <si>
    <t>Sheep Insurance Costs</t>
  </si>
  <si>
    <t>DEPRECIATION COSTS</t>
  </si>
  <si>
    <t>Buildings</t>
  </si>
  <si>
    <t>Equipment</t>
  </si>
  <si>
    <t>EXPENSES - OPERATING - ACTUAL YEAR USED</t>
  </si>
  <si>
    <t>EXPENSES - FIXED</t>
  </si>
  <si>
    <t>LONG TERM INTEREST COSTS</t>
  </si>
  <si>
    <t>Long Term Interest Costs</t>
  </si>
  <si>
    <t>Grains Purchased -</t>
  </si>
  <si>
    <t>Other Purchased -</t>
  </si>
  <si>
    <t>INVENTORY AND PRODUCTIVITY</t>
  </si>
  <si>
    <t>Ewe Flock at Start of Year</t>
  </si>
  <si>
    <t>Ewe Flock at End of Year</t>
  </si>
  <si>
    <t>Lambs in Inventory at Start of Year</t>
  </si>
  <si>
    <t>Lambs in Inventory at End of Year</t>
  </si>
  <si>
    <t>Grazing/Pasture Lambing</t>
  </si>
  <si>
    <t>Confined/Drylot</t>
  </si>
  <si>
    <t>Feeder Lambs Sold (under 90lbs)</t>
  </si>
  <si>
    <t>Ewe Lambs Kept For Breeding</t>
  </si>
  <si>
    <t>Market Lambs Sold (90lbs+)</t>
  </si>
  <si>
    <t>Mutton Sales</t>
  </si>
  <si>
    <t>OTHER SALES</t>
  </si>
  <si>
    <t>Other Produced -</t>
  </si>
  <si>
    <t>Lambing Supplies</t>
  </si>
  <si>
    <t>Producer Name / Number:</t>
  </si>
  <si>
    <t>Feeder Lamb Sales (under 90lbs)</t>
  </si>
  <si>
    <t>Market Lamb Sales (90lbs+)</t>
  </si>
  <si>
    <t>Other Sales</t>
  </si>
  <si>
    <t xml:space="preserve">                                HISTORICAL COST OF PRODUCTION ANALYSIS</t>
  </si>
  <si>
    <t>Ram Purchases</t>
  </si>
  <si>
    <t>Ram Flock at Start of Year</t>
  </si>
  <si>
    <t>Ram Flock at End of Year</t>
  </si>
  <si>
    <t>Ram Flock - Start of the year (Number Head)</t>
  </si>
  <si>
    <t>The "COP Calculation" worksheet is a cost of production worksheet that is used to calculate a producers historical cost of production using previous years revenues, expenses, and marketing numbers. Numbers are calculated on an accrual basis.</t>
  </si>
  <si>
    <t>Lambing supplies per ewe</t>
  </si>
  <si>
    <t>Check-Off Fees</t>
  </si>
  <si>
    <t>MARKETING, CHECK-OFF FEES,  AND TRANSPORTATION COSTS</t>
  </si>
  <si>
    <t>Lamb selling commissions - $/lamb</t>
  </si>
  <si>
    <t>Lamb check-off fees - $/lamb</t>
  </si>
  <si>
    <t>Annual check-off fees</t>
  </si>
  <si>
    <t>Cull Ewe/Ram check-off fees - $/head</t>
  </si>
  <si>
    <t>Cull Ewe/Ram transportation costs -$/head</t>
  </si>
  <si>
    <t>Cull Ewe/Ram commissions - $/head</t>
  </si>
  <si>
    <t>Input 227</t>
  </si>
  <si>
    <t>Input 228</t>
  </si>
  <si>
    <t>Input 229</t>
  </si>
  <si>
    <t>Input 230</t>
  </si>
  <si>
    <t>Input 231</t>
  </si>
  <si>
    <t>Marketing, Check-Off, &amp; Transportation Costs</t>
  </si>
  <si>
    <t>Check-Off Fees - Lamb/Ewe/Ram</t>
  </si>
  <si>
    <t>Marketing Commissions - Lamb/Ewe/Ram</t>
  </si>
  <si>
    <t>Feeder Lamb and Bottle Baby Selling Expenses</t>
  </si>
  <si>
    <t>Semi Confined/Jug Lambing/Partial Grazing</t>
  </si>
  <si>
    <t>Other Revenue</t>
  </si>
  <si>
    <t>Ewe/Ewe Lamb Purchases</t>
  </si>
  <si>
    <t>Developed In Conjunction With The Saskatchewan Sheep Development Board</t>
  </si>
  <si>
    <t>Copyright: Government of Saskatchewan, 2008</t>
  </si>
  <si>
    <t>Developed In Conjunction With The Saskatchewan Sheep Development Board.</t>
  </si>
  <si>
    <t>EwePLAN: Developed By Brad Marceniuk, Saskatchewan Ministry of Agriculture.</t>
  </si>
  <si>
    <t>Ewe Lambs Kept for Breeding</t>
  </si>
  <si>
    <t>1) When do you typically lamb? (month)</t>
  </si>
  <si>
    <t>Number of Ewes Lambing During The Year</t>
  </si>
  <si>
    <t>3) When do you sell your lambs? (month)</t>
  </si>
  <si>
    <t>2) Do you lamb on pasture or in a confined area?</t>
  </si>
  <si>
    <t>Grazing Revenue</t>
  </si>
  <si>
    <t>Grain Sales</t>
  </si>
  <si>
    <t>Number of Ewes Lambinig During The Year</t>
  </si>
  <si>
    <t>Total Lambs Sold During TheYear (All Sizes)</t>
  </si>
  <si>
    <t>Lambs Available For Sale</t>
  </si>
  <si>
    <t>Net Income</t>
  </si>
  <si>
    <t>$/Per Ewe</t>
  </si>
  <si>
    <t>Market Price</t>
  </si>
  <si>
    <t>$ Per LB</t>
  </si>
  <si>
    <t>Productivity</t>
  </si>
  <si>
    <t>Lamb. Rate</t>
  </si>
  <si>
    <t>Net Income, Before Taxes</t>
  </si>
  <si>
    <t>Revenue</t>
  </si>
  <si>
    <t>ML 90+</t>
  </si>
  <si>
    <t>FL 90-</t>
  </si>
  <si>
    <t>Base Prices</t>
  </si>
  <si>
    <t>Weight</t>
  </si>
  <si>
    <t>Variable</t>
  </si>
  <si>
    <t>Fixed</t>
  </si>
  <si>
    <t>Per Ewe</t>
  </si>
  <si>
    <t>Per Lamb</t>
  </si>
  <si>
    <t>Number of Animals - Marketings</t>
  </si>
  <si>
    <t>BASE</t>
  </si>
  <si>
    <t>Born</t>
  </si>
  <si>
    <t>birth-wean</t>
  </si>
  <si>
    <t>Loss</t>
  </si>
  <si>
    <t>Lambs</t>
  </si>
  <si>
    <t>weaned</t>
  </si>
  <si>
    <t>wean-market</t>
  </si>
  <si>
    <t>Available</t>
  </si>
  <si>
    <t>Percent</t>
  </si>
  <si>
    <t>Market</t>
  </si>
  <si>
    <t>Feeder</t>
  </si>
  <si>
    <t>Market and Feeder Lambs</t>
  </si>
  <si>
    <t>Variable Expenses</t>
  </si>
  <si>
    <t>Feed</t>
  </si>
  <si>
    <t>Marketing</t>
  </si>
  <si>
    <t>Other Var.</t>
  </si>
  <si>
    <t>Base</t>
  </si>
  <si>
    <t>Expenses</t>
  </si>
  <si>
    <t xml:space="preserve">Total </t>
  </si>
  <si>
    <t>Costs</t>
  </si>
  <si>
    <t>Ewes K.B.</t>
  </si>
  <si>
    <t>Other Rev.</t>
  </si>
  <si>
    <t>Other Marketing Expenses</t>
  </si>
  <si>
    <t xml:space="preserve">       Variable Expenses</t>
  </si>
  <si>
    <t>Sensitivity to Lambing Productivity</t>
  </si>
  <si>
    <t>Sensitivity To Feed and Pasture Costs</t>
  </si>
  <si>
    <t>Percent Rams Culled Annually</t>
  </si>
  <si>
    <t>Cull Ram Sales During the year (Number Head)</t>
  </si>
  <si>
    <t>Estimated Ram Mortality (Number)</t>
  </si>
  <si>
    <t>Slaughter Weight Lambs sold (Number)</t>
  </si>
  <si>
    <t>Slaughter Weight Lambs selling weight (LBS)</t>
  </si>
  <si>
    <t>Slaughter Weight Lambs selling price ($/LB)</t>
  </si>
  <si>
    <t>Slaughter Weight Lambs selling value ($/Head)</t>
  </si>
  <si>
    <t>LAMBS SALES</t>
  </si>
  <si>
    <t>Input 31</t>
  </si>
  <si>
    <t>Input 32</t>
  </si>
  <si>
    <t>Input 33</t>
  </si>
  <si>
    <t>Input 34</t>
  </si>
  <si>
    <t>Input 35</t>
  </si>
  <si>
    <t>Pellets ($/tonne)</t>
  </si>
  <si>
    <t>Input 48</t>
  </si>
  <si>
    <t>Pellets</t>
  </si>
  <si>
    <t>Other - 4</t>
  </si>
  <si>
    <r>
      <t xml:space="preserve">Other - 2  </t>
    </r>
    <r>
      <rPr>
        <sz val="10"/>
        <color indexed="10"/>
        <rFont val="Arial"/>
        <family val="2"/>
      </rPr>
      <t>(other 1-4 can be changed where)</t>
    </r>
  </si>
  <si>
    <t>Medication &amp; vet services per Ewe/Ram year</t>
  </si>
  <si>
    <t>Annual Vehicle registration/insurance</t>
  </si>
  <si>
    <t xml:space="preserve">         INCOME AND EXPENSE PROJECTIONS</t>
  </si>
  <si>
    <t>Slaughter Lamb Sales (90lbs+)</t>
  </si>
  <si>
    <t>EWES</t>
  </si>
  <si>
    <t xml:space="preserve">LB./Year -1 </t>
  </si>
  <si>
    <t>LB./Year -2</t>
  </si>
  <si>
    <t>LB./Year -3</t>
  </si>
  <si>
    <t>LB./Year -4</t>
  </si>
  <si>
    <t>LB./Year -5</t>
  </si>
  <si>
    <t>Barley - LB.</t>
  </si>
  <si>
    <t>Hay - LB.</t>
  </si>
  <si>
    <t>Barley - Bu</t>
  </si>
  <si>
    <t>Hay - Tonne</t>
  </si>
  <si>
    <t>RAMS</t>
  </si>
  <si>
    <t>LAMBS</t>
  </si>
  <si>
    <t>EWE HERD TOTAL</t>
  </si>
  <si>
    <t>TOTAL PER LAMB</t>
  </si>
  <si>
    <t>RAM HERD TOTAL</t>
  </si>
  <si>
    <t>LAMB HERD TOTAL</t>
  </si>
  <si>
    <t>ANNUAL BARLEY AND HAY REQUIREMENTS</t>
  </si>
  <si>
    <t>Input 46</t>
  </si>
  <si>
    <t>Input 47</t>
  </si>
  <si>
    <t>TOTAL LB. PER EWE</t>
  </si>
  <si>
    <t>Input 59</t>
  </si>
  <si>
    <t>Input 60</t>
  </si>
  <si>
    <t>Ewe standing grass/hay consumption (LB./Day)</t>
  </si>
  <si>
    <t>Total grass/hay requirement per Ewe (Lb.)</t>
  </si>
  <si>
    <t>Total Estimated Pasture Feed Cost Per Ewe</t>
  </si>
  <si>
    <t>Total Ewe Days on Feed Grain &amp; Hay</t>
  </si>
  <si>
    <t>Total Feed Cost of Grain &amp; Hay Per Ewe</t>
  </si>
  <si>
    <t>Ewe Pasture Grazing Costs</t>
  </si>
  <si>
    <t>Ram standing grass/hay consumption (LB./Day)</t>
  </si>
  <si>
    <t>Total grass/hay requirement per Ram (Lb.)</t>
  </si>
  <si>
    <t>Total Estimated Pasture Feed Cost Per Ram</t>
  </si>
  <si>
    <t>Total Feed Cost of Grain &amp; Hay Per Lamb</t>
  </si>
  <si>
    <t>Lamb standing grass/hay consumption (LB./Day)</t>
  </si>
  <si>
    <t>Total grass/hay requirement per Lamb (Lb.)</t>
  </si>
  <si>
    <t>Total grass/hay requirement per Lamb Herd (LB.)</t>
  </si>
  <si>
    <t>Lamb herd grass/hay requirements in tonnes</t>
  </si>
  <si>
    <t>Total Pasture Feed Cost Per Lamb</t>
  </si>
  <si>
    <t>Ewes</t>
  </si>
  <si>
    <t>LBS.</t>
  </si>
  <si>
    <t>Ewes - LBS.</t>
  </si>
  <si>
    <t>Rams - LBS.</t>
  </si>
  <si>
    <t>Lambs - LBS.</t>
  </si>
  <si>
    <t>Tonnes</t>
  </si>
  <si>
    <t xml:space="preserve">Rams </t>
  </si>
  <si>
    <t xml:space="preserve">Lambs </t>
  </si>
  <si>
    <t>TOTAL - LBS.</t>
  </si>
  <si>
    <t>Farm Produced Pasture Costs Per Head:</t>
  </si>
  <si>
    <t>Input 232</t>
  </si>
  <si>
    <t>Input 233</t>
  </si>
  <si>
    <t>Input 234</t>
  </si>
  <si>
    <t>Input 235</t>
  </si>
  <si>
    <t>Input 236</t>
  </si>
  <si>
    <t>Input 237</t>
  </si>
  <si>
    <t>Feed &amp; Hay Costs</t>
  </si>
  <si>
    <t>Pasture &amp; Grazing Costs</t>
  </si>
  <si>
    <t>Feed Grain/Pellets, Hay &amp; Minerals</t>
  </si>
  <si>
    <t>Pasture and Grazing</t>
  </si>
  <si>
    <t>Estimated Pasture Feed Cost Per Ewe/Day</t>
  </si>
  <si>
    <t>Estimated Pasture Feed Cost Per Ram/Day</t>
  </si>
  <si>
    <t>Estimated Pasture Feed Cost Per Lamb/Day</t>
  </si>
  <si>
    <t>Grain &amp; Hay Production Costs</t>
  </si>
  <si>
    <t>Cull Rams &amp; Ewes</t>
  </si>
  <si>
    <t>Market Lamb</t>
  </si>
  <si>
    <t>base</t>
  </si>
  <si>
    <t>Price/Head</t>
  </si>
  <si>
    <t>&gt;90</t>
  </si>
  <si>
    <t>&lt;90</t>
  </si>
  <si>
    <t xml:space="preserve">total </t>
  </si>
  <si>
    <t>Revenues</t>
  </si>
  <si>
    <t xml:space="preserve">The "Feed" worksheet is the summary sheet showing the annual feed barley and hay requirements for both individual feed rations and totals for the ewes, rams, and lambs. </t>
  </si>
  <si>
    <t>ANNUAL PASTURE REQUIREMENTS</t>
  </si>
  <si>
    <t>Lamb Grazing Costs (Lamb) - RENTED</t>
  </si>
  <si>
    <t>Total Pasture Feed Requirements (LB.)</t>
  </si>
  <si>
    <t>Total Estimated Pasture Feed Cost Ewe Flock</t>
  </si>
  <si>
    <t>Pasture Grazing Costs (Ram) - RENTED</t>
  </si>
  <si>
    <t>Ewe Pasture Grazing Costs (Ewe) - RENTED</t>
  </si>
  <si>
    <t>Total Pasture Feed Cost for Lamb Flock</t>
  </si>
  <si>
    <t>FARM PRODUCED FEED PRODUCTION COSTS</t>
  </si>
  <si>
    <t>Total Feed Cost of Grain &amp; Hay Ewe Flock</t>
  </si>
  <si>
    <t>Total Feed Cost of Grain &amp; Hay Lamb Flock</t>
  </si>
  <si>
    <t>PASTURE COST</t>
  </si>
  <si>
    <t>Breed Sheep</t>
  </si>
  <si>
    <t>Actual Days</t>
  </si>
  <si>
    <t>PER EWE</t>
  </si>
  <si>
    <t>TOTAL EWE HERD</t>
  </si>
  <si>
    <t>PER RAM</t>
  </si>
  <si>
    <t>In Each Ration</t>
  </si>
  <si>
    <t>Can Change Manually</t>
  </si>
  <si>
    <t>Total Assets</t>
  </si>
  <si>
    <t>Total Liabilities</t>
  </si>
  <si>
    <t>Total Equity</t>
  </si>
  <si>
    <t>Pre-tax Earnings</t>
  </si>
  <si>
    <t>Return on Equity</t>
  </si>
  <si>
    <t>Average</t>
  </si>
  <si>
    <t>Start of Year</t>
  </si>
  <si>
    <t>Year-End</t>
  </si>
  <si>
    <t>NOMINAL INVESTMENT RETURNS ON EQUITY</t>
  </si>
  <si>
    <t>End of Year</t>
  </si>
  <si>
    <t>(Note: For a proper return on equity calculation, labour costs/or opportunity cost must be included)</t>
  </si>
  <si>
    <r>
      <t xml:space="preserve">Other - 3   </t>
    </r>
    <r>
      <rPr>
        <sz val="10"/>
        <color indexed="10"/>
        <rFont val="Arial"/>
        <family val="2"/>
      </rPr>
      <t>(feed ingredients first listed/priced)</t>
    </r>
  </si>
  <si>
    <t>Ram Pasture Grazing Costs $/Head/Day</t>
  </si>
  <si>
    <t>Replacement Ewes Needed</t>
  </si>
  <si>
    <t>Lambs Per Ewe to Market (Available)</t>
  </si>
  <si>
    <t>Labour Cost per Hour (value)</t>
  </si>
  <si>
    <t>Total Hours</t>
  </si>
  <si>
    <t>Annual Labour Hours Required</t>
  </si>
  <si>
    <t>Total Operation Salaries and Benefits ($ Value)</t>
  </si>
  <si>
    <t>Kept For Breeding</t>
  </si>
  <si>
    <t>Weekly labour hours required (excludes lambing)</t>
  </si>
  <si>
    <t>Annual hours to manage operation</t>
  </si>
  <si>
    <t>Annual hours required for lambing/marketing.</t>
  </si>
  <si>
    <t>Total annual hours required for operation</t>
  </si>
  <si>
    <t>INCOME AND EXPENSE - $/Per Ewe</t>
  </si>
  <si>
    <t xml:space="preserve">INCOME AND EXPENSE - $/Per Lamb </t>
  </si>
  <si>
    <t>Lambs Sold (does not include kept for breeding)</t>
  </si>
  <si>
    <t>Sensitivity To Market Price, (&lt;90lbs) Feeder Lambs</t>
  </si>
  <si>
    <t>Sensitivity To Market Price, (&gt;90lbs) Slaughter Lambs</t>
  </si>
  <si>
    <t>Farm Pasture Costs</t>
  </si>
  <si>
    <t>Shearing and Wool Production</t>
  </si>
  <si>
    <t>Slaughtering and Meat Production</t>
  </si>
  <si>
    <t>Marketing, Check-Off, &amp; Transport.</t>
  </si>
  <si>
    <t>Custom Work/Manure Removal</t>
  </si>
  <si>
    <t>Total Pasture Feed Cost for Ram Flock</t>
  </si>
  <si>
    <t>Total Cost Per Head/Feed Ration</t>
  </si>
  <si>
    <t>Maintenance Ration (#3)</t>
  </si>
  <si>
    <t>Ram Feed Cost Per Day/Head</t>
  </si>
  <si>
    <t>Total Ram Feed Cost Per Head/Ration</t>
  </si>
  <si>
    <t>Lambs Weaning Ration (#6)</t>
  </si>
  <si>
    <t>Lambs Creep Ration (#5)</t>
  </si>
  <si>
    <t xml:space="preserve">                                    INPUT PAGE FOR 5 YEAR CONVENTIONAL SHEEP OPERATION</t>
  </si>
  <si>
    <t>Ram - General Feed Ration (#4)</t>
  </si>
  <si>
    <t>Monthly Average Account Balance</t>
  </si>
  <si>
    <t>Conventional - Annual Production</t>
  </si>
  <si>
    <t>Total Days Lambs on Feed</t>
  </si>
  <si>
    <t>Total grass/hay requirement for Ewe Herd (LB.)</t>
  </si>
  <si>
    <t>Total grass/hay requirement for Ram Herd (LB.)</t>
  </si>
  <si>
    <t>Lambs Sold</t>
  </si>
  <si>
    <t>Sold</t>
  </si>
  <si>
    <t>Cash Flow</t>
  </si>
  <si>
    <t>Year#1</t>
  </si>
  <si>
    <t>$C.F./Lamb</t>
  </si>
  <si>
    <t>Fixed Costs</t>
  </si>
  <si>
    <t>$ Per Lamb</t>
  </si>
  <si>
    <t>Net C. F.</t>
  </si>
  <si>
    <t>Net. Cash</t>
  </si>
  <si>
    <t>sales</t>
  </si>
  <si>
    <t>total available</t>
  </si>
  <si>
    <t>available</t>
  </si>
  <si>
    <t>Held Breed</t>
  </si>
  <si>
    <t>Total Prod.</t>
  </si>
  <si>
    <t>Produced</t>
  </si>
  <si>
    <t>$C.F./Per Lamb</t>
  </si>
  <si>
    <t>Per Available Lamb Sales</t>
  </si>
  <si>
    <t>Total Ram Feed Cost for Ram Flock</t>
  </si>
  <si>
    <t>$N.I./ Lamb</t>
  </si>
  <si>
    <r>
      <rPr>
        <b/>
        <sz val="10"/>
        <rFont val="Calibri"/>
        <family val="2"/>
        <scheme val="minor"/>
      </rPr>
      <t>Address</t>
    </r>
    <r>
      <rPr>
        <b/>
        <sz val="10"/>
        <color rgb="FFFF0000"/>
        <rFont val="Calibri"/>
        <family val="2"/>
        <scheme val="minor"/>
      </rPr>
      <t>: NOTE: Feed &amp; Animal Prices Will Vary With Time &amp; Location and Should Be Reviewed!</t>
    </r>
  </si>
  <si>
    <t>$NCF/Lamb</t>
  </si>
  <si>
    <t>$NI/Lamb</t>
  </si>
  <si>
    <t>Accounting, Property Taxes, and Licenses</t>
  </si>
  <si>
    <t>TOTAL LAMBS SOLD &amp; KEPT FOR BREEDING</t>
  </si>
  <si>
    <t>Fall</t>
  </si>
  <si>
    <t>Early and Late Gestation Ration (#1)</t>
  </si>
  <si>
    <t>Early and Late Lactation Ration (#2)</t>
  </si>
  <si>
    <t>Early Gestation (Oct.12-Dec21) 70 days</t>
  </si>
  <si>
    <t>3 lb. hay</t>
  </si>
  <si>
    <t>1 lb. barley</t>
  </si>
  <si>
    <t>0.02 mineral</t>
  </si>
  <si>
    <t>2.5 lb. hay</t>
  </si>
  <si>
    <t>2.25 lb. barley</t>
  </si>
  <si>
    <t>Late Gestation (Dec.21-Feb.1st) 42 days</t>
  </si>
  <si>
    <t>Early Lactation (Feb.1-March14) 42 days</t>
  </si>
  <si>
    <t>3.0 lb. hay</t>
  </si>
  <si>
    <t>Late Lactation (March14-Apr.25) 42 days</t>
  </si>
  <si>
    <t>2 lb. barley</t>
  </si>
  <si>
    <t>Maintenance (Apr.21-June1) - 37 days</t>
  </si>
  <si>
    <t>0.5 lb. barley</t>
  </si>
  <si>
    <t>0.02 lb. vit/minerals</t>
  </si>
  <si>
    <t>Pasture (June 1 - Oct.12) 132 days</t>
  </si>
  <si>
    <t>Creep Feed - Lambs ($/tonne)</t>
  </si>
  <si>
    <t>Ewes - Gestation</t>
  </si>
  <si>
    <t>Lambs Grower Ration (#7)</t>
  </si>
  <si>
    <t>Gestation Combined</t>
  </si>
  <si>
    <t>hay</t>
  </si>
  <si>
    <t>barley</t>
  </si>
  <si>
    <t>mineral</t>
  </si>
  <si>
    <t>Lacation Combined</t>
  </si>
  <si>
    <t>Weight Gain (lb.)</t>
  </si>
  <si>
    <t xml:space="preserve">ADG 0.80 </t>
  </si>
  <si>
    <t>ADG 0.90</t>
  </si>
  <si>
    <t>Starting 12 lb.</t>
  </si>
  <si>
    <t>Starting Weight (lb.)</t>
  </si>
  <si>
    <t>early gest - Oct. 12</t>
  </si>
  <si>
    <t>late gest Dec 21</t>
  </si>
  <si>
    <t>early lact Feb.1</t>
  </si>
  <si>
    <t>late lact march 14</t>
  </si>
  <si>
    <t>End Weight (lb.)</t>
  </si>
  <si>
    <t>ADG 0.70 Days Feed</t>
  </si>
  <si>
    <t>ADG 0.80 Days Feed</t>
  </si>
  <si>
    <t>Days Feed</t>
  </si>
  <si>
    <t>End Weight</t>
  </si>
  <si>
    <t>ADG 0.60</t>
  </si>
  <si>
    <t>Creep - Tonne</t>
  </si>
  <si>
    <t>Creep - LB</t>
  </si>
  <si>
    <t>Creep - LB.</t>
  </si>
  <si>
    <t>Cedar and Hormones per ewe</t>
  </si>
  <si>
    <t>Year#3</t>
  </si>
  <si>
    <t>corn silage</t>
  </si>
  <si>
    <t>Loan#5 - Building Purchase #3 (Year #3)</t>
  </si>
  <si>
    <t>Base 400 Herd</t>
  </si>
  <si>
    <t>EwePLAN, Version 6.0A - September 2026</t>
  </si>
  <si>
    <t>X</t>
  </si>
  <si>
    <t>XYZ Farms</t>
  </si>
  <si>
    <t>Confined</t>
  </si>
  <si>
    <t>EwePLAN - Version 6.0A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</si>
</sst>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_);[Red]\(&quot;$&quot;#,##0\)"/>
    <numFmt numFmtId="8" formatCode="&quot;$&quot;#,##0.00_);[Red]\(&quot;$&quot;#,##0.00\)"/>
    <numFmt numFmtId="43" formatCode="_(* #,##0.00_);_(* \(#,##0.00\);_(* &quot;-&quot;??_);_(@_)"/>
    <numFmt numFmtId="164" formatCode="&quot;$&quot;#,##0"/>
    <numFmt numFmtId="165" formatCode="&quot;$&quot;#,##0.00"/>
    <numFmt numFmtId="166" formatCode="&quot;$&quot;#,##0.000"/>
    <numFmt numFmtId="167" formatCode="0.0"/>
    <numFmt numFmtId="168" formatCode="#,##0.0"/>
    <numFmt numFmtId="169" formatCode="dd\-mmm\-yy"/>
    <numFmt numFmtId="170" formatCode="0_);[Red]\(0\)"/>
    <numFmt numFmtId="171" formatCode="m/d/yy;@"/>
    <numFmt numFmtId="172" formatCode="0.0%"/>
    <numFmt numFmtId="173" formatCode="[$-409]mmm\-yy;@"/>
  </numFmts>
  <fonts count="46" x14ac:knownFonts="1">
    <font>
      <sz val="10"/>
      <name val="Arial"/>
    </font>
    <font>
      <sz val="10"/>
      <name val="Arial"/>
      <family val="2"/>
    </font>
    <font>
      <b/>
      <sz val="10"/>
      <name val="Arial"/>
      <family val="2"/>
    </font>
    <font>
      <b/>
      <sz val="14"/>
      <name val="Arial"/>
      <family val="2"/>
    </font>
    <font>
      <sz val="10"/>
      <name val="Arial"/>
      <family val="2"/>
    </font>
    <font>
      <b/>
      <i/>
      <sz val="10"/>
      <color indexed="10"/>
      <name val="Arial"/>
      <family val="2"/>
    </font>
    <font>
      <b/>
      <sz val="12"/>
      <name val="MS Sans Serif"/>
      <family val="2"/>
    </font>
    <font>
      <sz val="10"/>
      <name val="MS Sans Serif"/>
      <family val="2"/>
    </font>
    <font>
      <b/>
      <sz val="13.5"/>
      <name val="MS Sans Serif"/>
      <family val="2"/>
    </font>
    <font>
      <b/>
      <sz val="10"/>
      <name val="MS Sans Serif"/>
      <family val="2"/>
    </font>
    <font>
      <sz val="8"/>
      <name val="Arial"/>
      <family val="2"/>
    </font>
    <font>
      <sz val="8"/>
      <color indexed="81"/>
      <name val="Tahoma"/>
      <family val="2"/>
    </font>
    <font>
      <b/>
      <sz val="8"/>
      <color indexed="81"/>
      <name val="Tahoma"/>
      <family val="2"/>
    </font>
    <font>
      <b/>
      <sz val="10"/>
      <color indexed="10"/>
      <name val="Arial"/>
      <family val="2"/>
    </font>
    <font>
      <b/>
      <sz val="14"/>
      <name val="MS Sans Serif"/>
      <family val="2"/>
    </font>
    <font>
      <b/>
      <sz val="11"/>
      <name val="Arial"/>
      <family val="2"/>
    </font>
    <font>
      <b/>
      <sz val="12"/>
      <name val="Arial"/>
      <family val="2"/>
    </font>
    <font>
      <b/>
      <sz val="12"/>
      <color indexed="10"/>
      <name val="Arial"/>
      <family val="2"/>
    </font>
    <font>
      <sz val="11"/>
      <name val="Arial"/>
      <family val="2"/>
    </font>
    <font>
      <b/>
      <u/>
      <sz val="12"/>
      <name val="Arial"/>
      <family val="2"/>
    </font>
    <font>
      <b/>
      <sz val="10"/>
      <color indexed="12"/>
      <name val="Arial"/>
      <family val="2"/>
    </font>
    <font>
      <sz val="12"/>
      <name val="Arial"/>
      <family val="2"/>
    </font>
    <font>
      <sz val="10"/>
      <color indexed="81"/>
      <name val="Tahoma"/>
      <family val="2"/>
    </font>
    <font>
      <b/>
      <sz val="10"/>
      <color indexed="81"/>
      <name val="Tahoma"/>
      <family val="2"/>
    </font>
    <font>
      <b/>
      <sz val="11"/>
      <name val="MS Sans Serif"/>
      <family val="2"/>
    </font>
    <font>
      <sz val="10"/>
      <color indexed="10"/>
      <name val="Arial"/>
      <family val="2"/>
    </font>
    <font>
      <sz val="9"/>
      <color indexed="81"/>
      <name val="Tahoma"/>
      <family val="2"/>
    </font>
    <font>
      <b/>
      <sz val="9"/>
      <color indexed="81"/>
      <name val="Tahoma"/>
      <family val="2"/>
    </font>
    <font>
      <b/>
      <i/>
      <sz val="10"/>
      <color rgb="FFFF0000"/>
      <name val="Arial"/>
      <family val="2"/>
    </font>
    <font>
      <b/>
      <sz val="10"/>
      <color rgb="FFFF0000"/>
      <name val="Arial"/>
      <family val="2"/>
    </font>
    <font>
      <b/>
      <sz val="10"/>
      <color theme="1"/>
      <name val="Arial"/>
      <family val="2"/>
    </font>
    <font>
      <b/>
      <sz val="11"/>
      <color rgb="FF000000"/>
      <name val="Arial"/>
      <family val="2"/>
    </font>
    <font>
      <b/>
      <sz val="12"/>
      <color rgb="FF000000"/>
      <name val="Arial"/>
      <family val="2"/>
    </font>
    <font>
      <sz val="10"/>
      <color rgb="FF000000"/>
      <name val="Arial"/>
      <family val="2"/>
    </font>
    <font>
      <b/>
      <sz val="9"/>
      <name val="Arial"/>
      <family val="2"/>
    </font>
    <font>
      <sz val="9"/>
      <name val="Arial"/>
      <family val="2"/>
    </font>
    <font>
      <b/>
      <u/>
      <sz val="9"/>
      <color rgb="FFFF0000"/>
      <name val="Arial"/>
      <family val="2"/>
    </font>
    <font>
      <u/>
      <sz val="9"/>
      <color rgb="FFFF0000"/>
      <name val="Arial"/>
      <family val="2"/>
    </font>
    <font>
      <b/>
      <sz val="13"/>
      <name val="MS Sans Serif"/>
      <family val="2"/>
    </font>
    <font>
      <b/>
      <sz val="10"/>
      <color rgb="FFFF0000"/>
      <name val="MS Sans Serif"/>
      <family val="2"/>
    </font>
    <font>
      <sz val="9"/>
      <color rgb="FFFF0000"/>
      <name val="Arial"/>
      <family val="2"/>
    </font>
    <font>
      <b/>
      <sz val="9"/>
      <color rgb="FFFF0000"/>
      <name val="Arial"/>
      <family val="2"/>
    </font>
    <font>
      <b/>
      <sz val="10"/>
      <color rgb="FFFF0000"/>
      <name val="Calibri"/>
      <family val="2"/>
      <scheme val="minor"/>
    </font>
    <font>
      <b/>
      <sz val="10"/>
      <name val="Calibri"/>
      <family val="2"/>
      <scheme val="minor"/>
    </font>
    <font>
      <sz val="10"/>
      <name val="Calibri"/>
      <family val="2"/>
      <scheme val="minor"/>
    </font>
    <font>
      <b/>
      <sz val="10"/>
      <color rgb="FF0000FF"/>
      <name val="Arial"/>
      <family val="2"/>
    </font>
  </fonts>
  <fills count="16">
    <fill>
      <patternFill patternType="none"/>
    </fill>
    <fill>
      <patternFill patternType="gray125"/>
    </fill>
    <fill>
      <patternFill patternType="solid">
        <fgColor indexed="31"/>
        <bgColor indexed="64"/>
      </patternFill>
    </fill>
    <fill>
      <patternFill patternType="solid">
        <fgColor indexed="26"/>
        <bgColor indexed="64"/>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6" tint="0.59996337778862885"/>
        <bgColor indexed="64"/>
      </patternFill>
    </fill>
    <fill>
      <patternFill patternType="solid">
        <fgColor theme="9" tint="0.59996337778862885"/>
        <bgColor indexed="64"/>
      </patternFill>
    </fill>
    <fill>
      <patternFill patternType="solid">
        <fgColor rgb="FFFF0000"/>
        <bgColor indexed="64"/>
      </patternFill>
    </fill>
    <fill>
      <patternFill patternType="solid">
        <fgColor theme="6" tint="0.79998168889431442"/>
        <bgColor indexed="64"/>
      </patternFill>
    </fill>
    <fill>
      <patternFill patternType="solid">
        <fgColor theme="2"/>
        <bgColor indexed="64"/>
      </patternFill>
    </fill>
    <fill>
      <patternFill patternType="solid">
        <fgColor theme="0" tint="-0.24994659260841701"/>
        <bgColor indexed="64"/>
      </patternFill>
    </fill>
    <fill>
      <patternFill patternType="solid">
        <fgColor theme="3" tint="0.7999816888943144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FFF00"/>
        <bgColor indexed="64"/>
      </patternFill>
    </fill>
  </fills>
  <borders count="11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10"/>
      </left>
      <right/>
      <top/>
      <bottom/>
      <diagonal/>
    </border>
    <border>
      <left style="medium">
        <color indexed="10"/>
      </left>
      <right/>
      <top style="medium">
        <color indexed="10"/>
      </top>
      <bottom style="thin">
        <color indexed="10"/>
      </bottom>
      <diagonal/>
    </border>
    <border>
      <left style="medium">
        <color indexed="10"/>
      </left>
      <right/>
      <top style="thin">
        <color indexed="10"/>
      </top>
      <bottom style="medium">
        <color indexed="10"/>
      </bottom>
      <diagonal/>
    </border>
    <border>
      <left/>
      <right/>
      <top style="thin">
        <color indexed="10"/>
      </top>
      <bottom style="medium">
        <color indexed="10"/>
      </bottom>
      <diagonal/>
    </border>
    <border>
      <left/>
      <right style="medium">
        <color indexed="10"/>
      </right>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10"/>
      </left>
      <right/>
      <top style="medium">
        <color indexed="10"/>
      </top>
      <bottom/>
      <diagonal/>
    </border>
    <border>
      <left/>
      <right/>
      <top style="medium">
        <color indexed="10"/>
      </top>
      <bottom/>
      <diagonal/>
    </border>
    <border>
      <left/>
      <right style="medium">
        <color indexed="10"/>
      </right>
      <top style="medium">
        <color indexed="10"/>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right/>
      <top style="medium">
        <color indexed="10"/>
      </top>
      <bottom style="thin">
        <color indexed="10"/>
      </bottom>
      <diagonal/>
    </border>
    <border>
      <left/>
      <right style="medium">
        <color indexed="10"/>
      </right>
      <top style="medium">
        <color indexed="10"/>
      </top>
      <bottom style="thin">
        <color indexed="10"/>
      </bottom>
      <diagonal/>
    </border>
    <border>
      <left/>
      <right style="medium">
        <color indexed="10"/>
      </right>
      <top style="thin">
        <color indexed="10"/>
      </top>
      <bottom style="medium">
        <color indexed="10"/>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top style="medium">
        <color indexed="64"/>
      </top>
      <bottom/>
      <diagonal/>
    </border>
    <border>
      <left style="thin">
        <color indexed="64"/>
      </left>
      <right/>
      <top style="double">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10"/>
      </left>
      <right/>
      <top/>
      <bottom style="medium">
        <color indexed="10"/>
      </bottom>
      <diagonal/>
    </border>
    <border>
      <left/>
      <right/>
      <top/>
      <bottom style="medium">
        <color indexed="10"/>
      </bottom>
      <diagonal/>
    </border>
    <border>
      <left/>
      <right style="medium">
        <color indexed="10"/>
      </right>
      <top/>
      <bottom style="medium">
        <color indexed="10"/>
      </bottom>
      <diagonal/>
    </border>
    <border>
      <left style="medium">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thin">
        <color auto="1"/>
      </top>
      <bottom style="thin">
        <color auto="1"/>
      </bottom>
      <diagonal/>
    </border>
    <border>
      <left style="thin">
        <color indexed="64"/>
      </left>
      <right/>
      <top style="medium">
        <color indexed="64"/>
      </top>
      <bottom style="thin">
        <color indexed="64"/>
      </bottom>
      <diagonal/>
    </border>
    <border>
      <left/>
      <right/>
      <top style="thin">
        <color auto="1"/>
      </top>
      <bottom style="medium">
        <color auto="1"/>
      </bottom>
      <diagonal/>
    </border>
    <border>
      <left style="thin">
        <color auto="1"/>
      </left>
      <right style="thin">
        <color auto="1"/>
      </right>
      <top style="thin">
        <color auto="1"/>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indexed="64"/>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209">
    <xf numFmtId="0" fontId="0" fillId="0" borderId="0" xfId="0"/>
    <xf numFmtId="165" fontId="0" fillId="0" borderId="0" xfId="0" applyNumberFormat="1"/>
    <xf numFmtId="0" fontId="2" fillId="0" borderId="1" xfId="0" applyFont="1" applyBorder="1"/>
    <xf numFmtId="0" fontId="4" fillId="0" borderId="2" xfId="0" applyFont="1" applyBorder="1"/>
    <xf numFmtId="0" fontId="2" fillId="0" borderId="3" xfId="0" applyFont="1" applyBorder="1"/>
    <xf numFmtId="0" fontId="4" fillId="0" borderId="0" xfId="0" applyFont="1"/>
    <xf numFmtId="6" fontId="4" fillId="0" borderId="0" xfId="0" applyNumberFormat="1" applyFont="1" applyAlignment="1">
      <alignment horizontal="right"/>
    </xf>
    <xf numFmtId="8" fontId="4" fillId="0" borderId="4" xfId="1" applyNumberFormat="1" applyFont="1" applyBorder="1" applyAlignment="1" applyProtection="1">
      <alignment horizontal="right"/>
    </xf>
    <xf numFmtId="10" fontId="4" fillId="0" borderId="0" xfId="2" applyNumberFormat="1" applyFont="1" applyBorder="1" applyAlignment="1" applyProtection="1">
      <alignment horizontal="center"/>
    </xf>
    <xf numFmtId="38" fontId="4" fillId="0" borderId="0" xfId="1" applyNumberFormat="1" applyFont="1" applyBorder="1" applyAlignment="1" applyProtection="1">
      <alignment horizontal="center"/>
    </xf>
    <xf numFmtId="0" fontId="4" fillId="0" borderId="5" xfId="0" applyFont="1" applyBorder="1"/>
    <xf numFmtId="170" fontId="4" fillId="0" borderId="0" xfId="0" applyNumberFormat="1" applyFont="1" applyAlignment="1">
      <alignment horizontal="center"/>
    </xf>
    <xf numFmtId="17" fontId="2" fillId="0" borderId="0" xfId="0" applyNumberFormat="1" applyFont="1" applyAlignment="1">
      <alignment horizontal="center"/>
    </xf>
    <xf numFmtId="6" fontId="4" fillId="0" borderId="0" xfId="1" applyNumberFormat="1" applyFont="1" applyBorder="1" applyAlignment="1" applyProtection="1">
      <alignment horizontal="right"/>
    </xf>
    <xf numFmtId="170" fontId="4" fillId="0" borderId="6" xfId="0" applyNumberFormat="1" applyFont="1" applyBorder="1" applyAlignment="1">
      <alignment horizontal="center"/>
    </xf>
    <xf numFmtId="17" fontId="2" fillId="0" borderId="7" xfId="0" applyNumberFormat="1" applyFont="1" applyBorder="1" applyAlignment="1">
      <alignment horizontal="center"/>
    </xf>
    <xf numFmtId="6" fontId="4" fillId="0" borderId="7" xfId="1" applyNumberFormat="1" applyFont="1" applyBorder="1" applyAlignment="1" applyProtection="1">
      <alignment horizontal="right"/>
    </xf>
    <xf numFmtId="6" fontId="4" fillId="0" borderId="7" xfId="0" applyNumberFormat="1" applyFont="1" applyBorder="1" applyAlignment="1">
      <alignment horizontal="right"/>
    </xf>
    <xf numFmtId="6" fontId="4" fillId="0" borderId="8" xfId="0" applyNumberFormat="1" applyFont="1" applyBorder="1" applyAlignment="1">
      <alignment horizontal="right"/>
    </xf>
    <xf numFmtId="0" fontId="4" fillId="0" borderId="9" xfId="0" applyFont="1" applyBorder="1" applyAlignment="1">
      <alignment horizontal="center"/>
    </xf>
    <xf numFmtId="0" fontId="4" fillId="0" borderId="10"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6" fontId="2" fillId="0" borderId="13" xfId="0" applyNumberFormat="1" applyFont="1" applyBorder="1" applyAlignment="1">
      <alignment horizontal="right"/>
    </xf>
    <xf numFmtId="165" fontId="4" fillId="0" borderId="5" xfId="0" applyNumberFormat="1" applyFont="1" applyBorder="1" applyAlignment="1">
      <alignment horizontal="center"/>
    </xf>
    <xf numFmtId="10" fontId="4" fillId="0" borderId="0" xfId="0" applyNumberFormat="1" applyFont="1" applyAlignment="1">
      <alignment horizontal="center"/>
    </xf>
    <xf numFmtId="2" fontId="4" fillId="0" borderId="0" xfId="0" applyNumberFormat="1" applyFont="1" applyAlignment="1">
      <alignment horizontal="center"/>
    </xf>
    <xf numFmtId="6" fontId="2" fillId="0" borderId="0" xfId="0" applyNumberFormat="1" applyFont="1" applyAlignment="1">
      <alignment horizontal="center"/>
    </xf>
    <xf numFmtId="0" fontId="0" fillId="0" borderId="0" xfId="0" applyAlignment="1">
      <alignment horizontal="center"/>
    </xf>
    <xf numFmtId="0" fontId="0" fillId="0" borderId="0" xfId="0" applyProtection="1">
      <protection locked="0"/>
    </xf>
    <xf numFmtId="0" fontId="0" fillId="0" borderId="3" xfId="0" applyBorder="1"/>
    <xf numFmtId="165" fontId="0" fillId="0" borderId="0" xfId="0" applyNumberFormat="1" applyAlignment="1">
      <alignment horizontal="center"/>
    </xf>
    <xf numFmtId="8" fontId="4" fillId="0" borderId="4" xfId="0" applyNumberFormat="1" applyFont="1" applyBorder="1"/>
    <xf numFmtId="8" fontId="4" fillId="0" borderId="14" xfId="0" applyNumberFormat="1" applyFont="1" applyBorder="1"/>
    <xf numFmtId="8" fontId="4" fillId="0" borderId="15" xfId="0" applyNumberFormat="1" applyFont="1" applyBorder="1"/>
    <xf numFmtId="164" fontId="2" fillId="0" borderId="0" xfId="0" applyNumberFormat="1" applyFont="1" applyProtection="1">
      <protection locked="0"/>
    </xf>
    <xf numFmtId="165" fontId="2" fillId="0" borderId="0" xfId="0" applyNumberFormat="1" applyFont="1" applyProtection="1">
      <protection locked="0"/>
    </xf>
    <xf numFmtId="0" fontId="0" fillId="0" borderId="16" xfId="0" applyBorder="1" applyProtection="1">
      <protection locked="0"/>
    </xf>
    <xf numFmtId="0" fontId="0" fillId="0" borderId="17" xfId="0" applyBorder="1" applyProtection="1">
      <protection locked="0"/>
    </xf>
    <xf numFmtId="0" fontId="0" fillId="0" borderId="18" xfId="0" applyBorder="1" applyProtection="1">
      <protection locked="0"/>
    </xf>
    <xf numFmtId="0" fontId="9" fillId="0" borderId="20" xfId="0" applyFont="1" applyBorder="1" applyProtection="1">
      <protection locked="0"/>
    </xf>
    <xf numFmtId="0" fontId="2" fillId="0" borderId="0" xfId="0" applyFont="1" applyAlignment="1" applyProtection="1">
      <alignment horizontal="center"/>
      <protection locked="0"/>
    </xf>
    <xf numFmtId="164" fontId="5" fillId="0" borderId="0" xfId="0" applyNumberFormat="1" applyFont="1" applyProtection="1">
      <protection locked="0"/>
    </xf>
    <xf numFmtId="0" fontId="0" fillId="0" borderId="1" xfId="0" applyBorder="1"/>
    <xf numFmtId="0" fontId="0" fillId="0" borderId="2" xfId="0" applyBorder="1"/>
    <xf numFmtId="0" fontId="2" fillId="0" borderId="21" xfId="0" applyFont="1" applyBorder="1"/>
    <xf numFmtId="0" fontId="0" fillId="0" borderId="22" xfId="0" applyBorder="1"/>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0" fillId="0" borderId="10" xfId="0" applyBorder="1"/>
    <xf numFmtId="0" fontId="0" fillId="0" borderId="25" xfId="0" applyBorder="1"/>
    <xf numFmtId="164" fontId="0" fillId="0" borderId="26" xfId="0" applyNumberFormat="1" applyBorder="1"/>
    <xf numFmtId="164" fontId="0" fillId="0" borderId="25" xfId="0" applyNumberFormat="1" applyBorder="1"/>
    <xf numFmtId="164" fontId="0" fillId="0" borderId="15" xfId="0" applyNumberFormat="1" applyBorder="1"/>
    <xf numFmtId="0" fontId="2" fillId="0" borderId="27" xfId="0" applyFont="1" applyBorder="1"/>
    <xf numFmtId="0" fontId="0" fillId="0" borderId="28" xfId="0" applyBorder="1"/>
    <xf numFmtId="165" fontId="0" fillId="0" borderId="29" xfId="0" applyNumberFormat="1" applyBorder="1"/>
    <xf numFmtId="165" fontId="0" fillId="0" borderId="30" xfId="0" applyNumberFormat="1" applyBorder="1"/>
    <xf numFmtId="164" fontId="0" fillId="0" borderId="28" xfId="0" applyNumberFormat="1" applyBorder="1"/>
    <xf numFmtId="164" fontId="0" fillId="0" borderId="32" xfId="0" applyNumberFormat="1" applyBorder="1"/>
    <xf numFmtId="164" fontId="0" fillId="0" borderId="31" xfId="0" applyNumberFormat="1" applyBorder="1"/>
    <xf numFmtId="0" fontId="0" fillId="0" borderId="33" xfId="0" applyBorder="1"/>
    <xf numFmtId="0" fontId="2" fillId="0" borderId="34" xfId="0" applyFont="1" applyBorder="1" applyAlignment="1">
      <alignment horizontal="right"/>
    </xf>
    <xf numFmtId="165" fontId="2" fillId="2" borderId="35" xfId="0" applyNumberFormat="1" applyFont="1" applyFill="1" applyBorder="1"/>
    <xf numFmtId="164" fontId="2" fillId="0" borderId="35" xfId="0" applyNumberFormat="1" applyFont="1" applyBorder="1"/>
    <xf numFmtId="164" fontId="2" fillId="0" borderId="36" xfId="0" applyNumberFormat="1" applyFont="1" applyBorder="1"/>
    <xf numFmtId="164" fontId="0" fillId="0" borderId="0" xfId="0" applyNumberFormat="1"/>
    <xf numFmtId="0" fontId="2" fillId="0" borderId="0" xfId="0" applyFont="1"/>
    <xf numFmtId="0" fontId="0" fillId="0" borderId="37" xfId="0" applyBorder="1"/>
    <xf numFmtId="165" fontId="2" fillId="2" borderId="30" xfId="0" applyNumberFormat="1" applyFont="1" applyFill="1" applyBorder="1"/>
    <xf numFmtId="164" fontId="2" fillId="0" borderId="0" xfId="0" applyNumberFormat="1" applyFont="1" applyAlignment="1">
      <alignment horizontal="right"/>
    </xf>
    <xf numFmtId="164" fontId="2" fillId="0" borderId="35" xfId="0" applyNumberFormat="1" applyFont="1" applyBorder="1" applyProtection="1">
      <protection locked="0"/>
    </xf>
    <xf numFmtId="0" fontId="0" fillId="0" borderId="2" xfId="0" applyBorder="1" applyProtection="1">
      <protection locked="0"/>
    </xf>
    <xf numFmtId="0" fontId="5" fillId="0" borderId="0" xfId="0" applyFont="1" applyAlignment="1" applyProtection="1">
      <alignment horizontal="center"/>
      <protection locked="0"/>
    </xf>
    <xf numFmtId="3" fontId="2" fillId="0" borderId="28" xfId="0" applyNumberFormat="1" applyFont="1" applyBorder="1" applyProtection="1">
      <protection locked="0"/>
    </xf>
    <xf numFmtId="165" fontId="5" fillId="0" borderId="0" xfId="0" applyNumberFormat="1" applyFont="1" applyProtection="1">
      <protection locked="0"/>
    </xf>
    <xf numFmtId="0" fontId="0" fillId="0" borderId="40" xfId="0" applyBorder="1"/>
    <xf numFmtId="2" fontId="6" fillId="0" borderId="41" xfId="0" applyNumberFormat="1" applyFont="1" applyBorder="1" applyAlignment="1">
      <alignment horizontal="left"/>
    </xf>
    <xf numFmtId="0" fontId="0" fillId="0" borderId="41" xfId="0" applyBorder="1"/>
    <xf numFmtId="0" fontId="8" fillId="0" borderId="41" xfId="0" applyFont="1" applyBorder="1"/>
    <xf numFmtId="0" fontId="7" fillId="0" borderId="42" xfId="0" applyFont="1" applyBorder="1"/>
    <xf numFmtId="0" fontId="0" fillId="0" borderId="16" xfId="0" applyBorder="1"/>
    <xf numFmtId="0" fontId="7" fillId="0" borderId="0" xfId="0" applyFont="1"/>
    <xf numFmtId="0" fontId="7" fillId="0" borderId="20" xfId="0" applyFont="1" applyBorder="1"/>
    <xf numFmtId="2" fontId="9" fillId="0" borderId="0" xfId="0" applyNumberFormat="1" applyFont="1" applyAlignment="1">
      <alignment horizontal="left"/>
    </xf>
    <xf numFmtId="0" fontId="2" fillId="0" borderId="0" xfId="0" applyFont="1" applyAlignment="1">
      <alignment horizontal="center"/>
    </xf>
    <xf numFmtId="0" fontId="0" fillId="0" borderId="7" xfId="0" applyBorder="1"/>
    <xf numFmtId="164" fontId="0" fillId="0" borderId="4" xfId="0" applyNumberFormat="1" applyBorder="1"/>
    <xf numFmtId="164" fontId="0" fillId="0" borderId="22" xfId="0" applyNumberFormat="1" applyBorder="1"/>
    <xf numFmtId="164" fontId="0" fillId="0" borderId="43" xfId="0" applyNumberFormat="1" applyBorder="1"/>
    <xf numFmtId="167" fontId="4" fillId="0" borderId="0" xfId="0" applyNumberFormat="1" applyFont="1" applyAlignment="1">
      <alignment horizontal="center"/>
    </xf>
    <xf numFmtId="168" fontId="4" fillId="0" borderId="0" xfId="0" applyNumberFormat="1" applyFont="1" applyAlignment="1">
      <alignment horizontal="center"/>
    </xf>
    <xf numFmtId="38" fontId="4" fillId="0" borderId="7" xfId="0" applyNumberFormat="1" applyFont="1" applyBorder="1" applyAlignment="1">
      <alignment horizontal="center"/>
    </xf>
    <xf numFmtId="0" fontId="5" fillId="0" borderId="0" xfId="0" applyFont="1" applyAlignment="1">
      <alignment horizontal="center"/>
    </xf>
    <xf numFmtId="164" fontId="0" fillId="0" borderId="38" xfId="0" applyNumberFormat="1" applyBorder="1"/>
    <xf numFmtId="164" fontId="0" fillId="0" borderId="45" xfId="0" applyNumberFormat="1" applyBorder="1"/>
    <xf numFmtId="0" fontId="16" fillId="0" borderId="0" xfId="0" applyFont="1" applyProtection="1">
      <protection locked="0"/>
    </xf>
    <xf numFmtId="0" fontId="16" fillId="0" borderId="0" xfId="0" applyFont="1" applyAlignment="1">
      <alignment horizontal="left"/>
    </xf>
    <xf numFmtId="164" fontId="2" fillId="0" borderId="22" xfId="0" applyNumberFormat="1" applyFont="1" applyBorder="1" applyProtection="1">
      <protection locked="0"/>
    </xf>
    <xf numFmtId="164" fontId="0" fillId="0" borderId="23" xfId="0" applyNumberFormat="1" applyBorder="1"/>
    <xf numFmtId="164" fontId="0" fillId="0" borderId="24" xfId="0" applyNumberFormat="1" applyBorder="1"/>
    <xf numFmtId="167" fontId="5" fillId="0" borderId="22" xfId="0" applyNumberFormat="1" applyFont="1" applyBorder="1" applyProtection="1">
      <protection locked="0"/>
    </xf>
    <xf numFmtId="3" fontId="2" fillId="0" borderId="25" xfId="0" applyNumberFormat="1" applyFont="1" applyBorder="1" applyProtection="1">
      <protection locked="0"/>
    </xf>
    <xf numFmtId="167" fontId="5" fillId="0" borderId="28" xfId="0" applyNumberFormat="1" applyFont="1" applyBorder="1" applyProtection="1">
      <protection locked="0"/>
    </xf>
    <xf numFmtId="171" fontId="9" fillId="0" borderId="48" xfId="0" applyNumberFormat="1" applyFont="1" applyBorder="1" applyAlignment="1" applyProtection="1">
      <alignment horizontal="left"/>
      <protection locked="0"/>
    </xf>
    <xf numFmtId="0" fontId="9" fillId="0" borderId="49" xfId="0" applyFont="1" applyBorder="1" applyProtection="1">
      <protection locked="0"/>
    </xf>
    <xf numFmtId="169" fontId="9" fillId="0" borderId="50" xfId="0" applyNumberFormat="1" applyFont="1" applyBorder="1" applyProtection="1">
      <protection locked="0"/>
    </xf>
    <xf numFmtId="0" fontId="2" fillId="0" borderId="0" xfId="0" applyFont="1" applyProtection="1">
      <protection locked="0"/>
    </xf>
    <xf numFmtId="165" fontId="5" fillId="0" borderId="0" xfId="0" applyNumberFormat="1" applyFont="1"/>
    <xf numFmtId="165" fontId="5" fillId="0" borderId="22" xfId="0" applyNumberFormat="1" applyFont="1" applyBorder="1"/>
    <xf numFmtId="164" fontId="5" fillId="0" borderId="0" xfId="0" applyNumberFormat="1" applyFont="1"/>
    <xf numFmtId="164" fontId="5" fillId="0" borderId="22" xfId="0" applyNumberFormat="1" applyFont="1" applyBorder="1"/>
    <xf numFmtId="0" fontId="4" fillId="0" borderId="43" xfId="0" applyFont="1" applyBorder="1"/>
    <xf numFmtId="0" fontId="4" fillId="0" borderId="51" xfId="0" applyFont="1" applyBorder="1"/>
    <xf numFmtId="0" fontId="4" fillId="0" borderId="32" xfId="0" applyFont="1" applyBorder="1"/>
    <xf numFmtId="0" fontId="2" fillId="0" borderId="22" xfId="0" applyFont="1" applyBorder="1" applyAlignment="1">
      <alignment horizontal="right"/>
    </xf>
    <xf numFmtId="0" fontId="0" fillId="0" borderId="51" xfId="0" applyBorder="1"/>
    <xf numFmtId="0" fontId="2" fillId="0" borderId="29" xfId="0" applyFont="1" applyBorder="1" applyAlignment="1">
      <alignment horizontal="center"/>
    </xf>
    <xf numFmtId="0" fontId="2" fillId="0" borderId="0" xfId="0" applyFont="1" applyAlignment="1">
      <alignment horizontal="right"/>
    </xf>
    <xf numFmtId="165" fontId="2" fillId="0" borderId="0" xfId="0" applyNumberFormat="1" applyFont="1" applyAlignment="1" applyProtection="1">
      <alignment horizontal="center"/>
      <protection locked="0"/>
    </xf>
    <xf numFmtId="0" fontId="0" fillId="0" borderId="29" xfId="0" applyBorder="1"/>
    <xf numFmtId="8" fontId="0" fillId="0" borderId="0" xfId="0" applyNumberFormat="1"/>
    <xf numFmtId="8" fontId="0" fillId="0" borderId="0" xfId="0" applyNumberFormat="1" applyAlignment="1">
      <alignment horizontal="center"/>
    </xf>
    <xf numFmtId="0" fontId="15" fillId="0" borderId="0" xfId="0" applyFont="1"/>
    <xf numFmtId="0" fontId="16" fillId="0" borderId="0" xfId="0" applyFont="1"/>
    <xf numFmtId="0" fontId="2" fillId="0" borderId="47" xfId="0" applyFont="1" applyBorder="1" applyAlignment="1">
      <alignment horizontal="center"/>
    </xf>
    <xf numFmtId="0" fontId="2" fillId="0" borderId="54" xfId="0" applyFont="1" applyBorder="1" applyAlignment="1">
      <alignment horizontal="center"/>
    </xf>
    <xf numFmtId="0" fontId="2" fillId="0" borderId="39" xfId="0" applyFont="1" applyBorder="1" applyAlignment="1">
      <alignment horizontal="center"/>
    </xf>
    <xf numFmtId="164" fontId="4" fillId="0" borderId="39" xfId="0" applyNumberFormat="1" applyFont="1" applyBorder="1" applyAlignment="1">
      <alignment horizontal="right"/>
    </xf>
    <xf numFmtId="0" fontId="2" fillId="0" borderId="53" xfId="0" applyFont="1" applyBorder="1" applyAlignment="1">
      <alignment horizontal="center"/>
    </xf>
    <xf numFmtId="164" fontId="0" fillId="0" borderId="4" xfId="0" applyNumberFormat="1" applyBorder="1" applyAlignment="1">
      <alignment horizontal="right"/>
    </xf>
    <xf numFmtId="164" fontId="4" fillId="0" borderId="15" xfId="0" applyNumberFormat="1" applyFont="1" applyBorder="1" applyAlignment="1">
      <alignment horizontal="right"/>
    </xf>
    <xf numFmtId="0" fontId="2" fillId="0" borderId="55" xfId="0" applyFont="1" applyBorder="1" applyAlignment="1">
      <alignment horizontal="right"/>
    </xf>
    <xf numFmtId="164" fontId="2" fillId="0" borderId="56" xfId="0" applyNumberFormat="1" applyFont="1" applyBorder="1"/>
    <xf numFmtId="164" fontId="2" fillId="0" borderId="57" xfId="0" applyNumberFormat="1" applyFont="1" applyBorder="1"/>
    <xf numFmtId="0" fontId="2" fillId="0" borderId="39" xfId="0" applyFont="1" applyBorder="1"/>
    <xf numFmtId="0" fontId="0" fillId="0" borderId="39" xfId="0" applyBorder="1"/>
    <xf numFmtId="0" fontId="0" fillId="0" borderId="53" xfId="0" applyBorder="1"/>
    <xf numFmtId="0" fontId="2" fillId="0" borderId="58" xfId="0" applyFont="1" applyBorder="1" applyAlignment="1">
      <alignment horizontal="right"/>
    </xf>
    <xf numFmtId="164" fontId="2" fillId="0" borderId="59" xfId="0" applyNumberFormat="1" applyFont="1" applyBorder="1"/>
    <xf numFmtId="164" fontId="2" fillId="0" borderId="60" xfId="0" applyNumberFormat="1" applyFont="1" applyBorder="1"/>
    <xf numFmtId="0" fontId="2" fillId="0" borderId="33" xfId="0" applyFont="1" applyBorder="1" applyAlignment="1">
      <alignment horizontal="right"/>
    </xf>
    <xf numFmtId="0" fontId="2" fillId="0" borderId="61" xfId="0" applyFont="1" applyBorder="1"/>
    <xf numFmtId="0" fontId="0" fillId="0" borderId="6" xfId="0" applyBorder="1"/>
    <xf numFmtId="164" fontId="2" fillId="0" borderId="62" xfId="0" applyNumberFormat="1" applyFont="1" applyBorder="1"/>
    <xf numFmtId="0" fontId="2" fillId="0" borderId="32" xfId="0" applyFont="1" applyBorder="1"/>
    <xf numFmtId="0" fontId="0" fillId="0" borderId="9" xfId="0" applyBorder="1"/>
    <xf numFmtId="164" fontId="0" fillId="0" borderId="63" xfId="0" applyNumberFormat="1" applyBorder="1"/>
    <xf numFmtId="164" fontId="0" fillId="0" borderId="64" xfId="0" applyNumberFormat="1" applyBorder="1"/>
    <xf numFmtId="6" fontId="2" fillId="0" borderId="56" xfId="0" applyNumberFormat="1" applyFont="1" applyBorder="1"/>
    <xf numFmtId="0" fontId="2" fillId="0" borderId="3" xfId="0" applyFont="1" applyBorder="1" applyAlignment="1">
      <alignment horizontal="right"/>
    </xf>
    <xf numFmtId="164" fontId="2" fillId="0" borderId="39" xfId="0" applyNumberFormat="1" applyFont="1" applyBorder="1"/>
    <xf numFmtId="164" fontId="2" fillId="0" borderId="7" xfId="0" applyNumberFormat="1" applyFont="1" applyBorder="1"/>
    <xf numFmtId="164" fontId="2" fillId="0" borderId="65" xfId="0" applyNumberFormat="1" applyFont="1" applyBorder="1"/>
    <xf numFmtId="0" fontId="0" fillId="0" borderId="4" xfId="0" applyBorder="1" applyAlignment="1">
      <alignment horizontal="right"/>
    </xf>
    <xf numFmtId="0" fontId="0" fillId="0" borderId="0" xfId="0" applyAlignment="1">
      <alignment horizontal="right"/>
    </xf>
    <xf numFmtId="172" fontId="0" fillId="3" borderId="47" xfId="0" applyNumberFormat="1" applyFill="1" applyBorder="1" applyProtection="1">
      <protection locked="0"/>
    </xf>
    <xf numFmtId="172" fontId="0" fillId="3" borderId="4" xfId="0" applyNumberFormat="1" applyFill="1" applyBorder="1" applyProtection="1">
      <protection locked="0"/>
    </xf>
    <xf numFmtId="1" fontId="0" fillId="0" borderId="0" xfId="0" applyNumberFormat="1" applyAlignment="1">
      <alignment horizontal="center"/>
    </xf>
    <xf numFmtId="0" fontId="0" fillId="0" borderId="3" xfId="0" applyBorder="1" applyProtection="1">
      <protection locked="0"/>
    </xf>
    <xf numFmtId="0" fontId="0" fillId="0" borderId="7" xfId="0" applyBorder="1" applyProtection="1">
      <protection locked="0"/>
    </xf>
    <xf numFmtId="0" fontId="0" fillId="0" borderId="14" xfId="0" applyBorder="1" applyProtection="1">
      <protection locked="0"/>
    </xf>
    <xf numFmtId="0" fontId="0" fillId="0" borderId="4" xfId="0" applyBorder="1" applyProtection="1">
      <protection locked="0"/>
    </xf>
    <xf numFmtId="0" fontId="0" fillId="0" borderId="66" xfId="0" applyBorder="1" applyProtection="1">
      <protection locked="0"/>
    </xf>
    <xf numFmtId="0" fontId="0" fillId="0" borderId="28" xfId="0" applyBorder="1" applyProtection="1">
      <protection locked="0"/>
    </xf>
    <xf numFmtId="165" fontId="0" fillId="0" borderId="0" xfId="0" applyNumberFormat="1" applyAlignment="1" applyProtection="1">
      <alignment horizontal="center"/>
      <protection locked="0"/>
    </xf>
    <xf numFmtId="0" fontId="0" fillId="0" borderId="4" xfId="0" applyBorder="1" applyAlignment="1" applyProtection="1">
      <alignment horizontal="center"/>
      <protection locked="0"/>
    </xf>
    <xf numFmtId="0" fontId="0" fillId="0" borderId="26" xfId="0" applyBorder="1" applyProtection="1">
      <protection locked="0"/>
    </xf>
    <xf numFmtId="0" fontId="0" fillId="0" borderId="63" xfId="0" applyBorder="1" applyProtection="1">
      <protection locked="0"/>
    </xf>
    <xf numFmtId="165" fontId="4" fillId="0" borderId="0" xfId="0" applyNumberFormat="1" applyFont="1" applyAlignment="1">
      <alignment horizontal="center"/>
    </xf>
    <xf numFmtId="0" fontId="4" fillId="0" borderId="69" xfId="0" applyFont="1" applyBorder="1" applyAlignment="1">
      <alignment horizontal="center"/>
    </xf>
    <xf numFmtId="8" fontId="4" fillId="0" borderId="23" xfId="1" applyNumberFormat="1" applyFont="1" applyBorder="1" applyAlignment="1" applyProtection="1">
      <alignment horizontal="right"/>
    </xf>
    <xf numFmtId="8" fontId="4" fillId="0" borderId="23" xfId="0" applyNumberFormat="1" applyFont="1" applyBorder="1"/>
    <xf numFmtId="8" fontId="4" fillId="0" borderId="24" xfId="0" applyNumberFormat="1" applyFont="1" applyBorder="1"/>
    <xf numFmtId="0" fontId="4" fillId="0" borderId="2" xfId="0" applyFont="1" applyBorder="1" applyAlignment="1">
      <alignment horizontal="center"/>
    </xf>
    <xf numFmtId="8" fontId="4" fillId="0" borderId="2" xfId="1" applyNumberFormat="1" applyFont="1" applyBorder="1" applyAlignment="1" applyProtection="1">
      <alignment horizontal="right"/>
    </xf>
    <xf numFmtId="8" fontId="4" fillId="0" borderId="2" xfId="0" applyNumberFormat="1" applyFont="1" applyBorder="1"/>
    <xf numFmtId="0" fontId="4" fillId="0" borderId="0" xfId="0" applyFont="1" applyAlignment="1">
      <alignment horizontal="center"/>
    </xf>
    <xf numFmtId="8" fontId="4" fillId="0" borderId="0" xfId="1" applyNumberFormat="1" applyFont="1" applyBorder="1" applyAlignment="1" applyProtection="1">
      <alignment horizontal="right"/>
    </xf>
    <xf numFmtId="8" fontId="4" fillId="0" borderId="0" xfId="0" applyNumberFormat="1" applyFont="1"/>
    <xf numFmtId="0" fontId="4" fillId="0" borderId="70" xfId="0" applyFont="1" applyBorder="1" applyAlignment="1">
      <alignment horizontal="center"/>
    </xf>
    <xf numFmtId="8" fontId="4" fillId="0" borderId="38" xfId="1" applyNumberFormat="1" applyFont="1" applyBorder="1" applyAlignment="1" applyProtection="1">
      <alignment horizontal="right"/>
    </xf>
    <xf numFmtId="8" fontId="4" fillId="0" borderId="38" xfId="0" applyNumberFormat="1" applyFont="1" applyBorder="1"/>
    <xf numFmtId="8" fontId="4" fillId="0" borderId="45" xfId="0" applyNumberFormat="1" applyFont="1" applyBorder="1"/>
    <xf numFmtId="0" fontId="4" fillId="0" borderId="0" xfId="0" applyFont="1" applyAlignment="1">
      <alignment horizontal="right"/>
    </xf>
    <xf numFmtId="8" fontId="4" fillId="0" borderId="0" xfId="0" applyNumberFormat="1" applyFont="1" applyAlignment="1">
      <alignment horizontal="center"/>
    </xf>
    <xf numFmtId="8" fontId="4" fillId="0" borderId="43" xfId="1" applyNumberFormat="1" applyFont="1" applyBorder="1" applyAlignment="1" applyProtection="1">
      <alignment horizontal="right"/>
    </xf>
    <xf numFmtId="8" fontId="4" fillId="0" borderId="22" xfId="0" applyNumberFormat="1" applyFont="1" applyBorder="1"/>
    <xf numFmtId="8" fontId="4" fillId="0" borderId="64" xfId="0" applyNumberFormat="1" applyFont="1" applyBorder="1"/>
    <xf numFmtId="8" fontId="4" fillId="0" borderId="51" xfId="1" applyNumberFormat="1" applyFont="1" applyBorder="1" applyAlignment="1" applyProtection="1">
      <alignment horizontal="right"/>
    </xf>
    <xf numFmtId="8" fontId="4" fillId="0" borderId="52" xfId="0" applyNumberFormat="1" applyFont="1" applyBorder="1" applyAlignment="1">
      <alignment horizontal="center"/>
    </xf>
    <xf numFmtId="1" fontId="4" fillId="0" borderId="51" xfId="1" applyNumberFormat="1" applyFont="1" applyBorder="1" applyAlignment="1" applyProtection="1">
      <alignment horizontal="right"/>
    </xf>
    <xf numFmtId="8" fontId="4" fillId="0" borderId="52" xfId="0" applyNumberFormat="1" applyFont="1" applyBorder="1"/>
    <xf numFmtId="1" fontId="4" fillId="0" borderId="32" xfId="1" applyNumberFormat="1" applyFont="1" applyBorder="1" applyAlignment="1" applyProtection="1">
      <alignment horizontal="right"/>
    </xf>
    <xf numFmtId="8" fontId="4" fillId="0" borderId="28" xfId="0" applyNumberFormat="1" applyFont="1" applyBorder="1"/>
    <xf numFmtId="8" fontId="4" fillId="0" borderId="29" xfId="0" applyNumberFormat="1" applyFont="1" applyBorder="1"/>
    <xf numFmtId="0" fontId="0" fillId="0" borderId="71" xfId="0" applyBorder="1"/>
    <xf numFmtId="0" fontId="0" fillId="0" borderId="5" xfId="0" applyBorder="1"/>
    <xf numFmtId="6" fontId="2" fillId="0" borderId="57" xfId="0" applyNumberFormat="1" applyFont="1" applyBorder="1"/>
    <xf numFmtId="0" fontId="2" fillId="0" borderId="3" xfId="0" applyFont="1" applyBorder="1" applyProtection="1">
      <protection locked="0"/>
    </xf>
    <xf numFmtId="0" fontId="0" fillId="3" borderId="76" xfId="0" applyFill="1" applyBorder="1" applyProtection="1">
      <protection locked="0"/>
    </xf>
    <xf numFmtId="0" fontId="0" fillId="3" borderId="0" xfId="0" applyFill="1" applyProtection="1">
      <protection locked="0"/>
    </xf>
    <xf numFmtId="0" fontId="0" fillId="3" borderId="77" xfId="0" applyFill="1" applyBorder="1" applyProtection="1">
      <protection locked="0"/>
    </xf>
    <xf numFmtId="0" fontId="0" fillId="3" borderId="78" xfId="0" applyFill="1" applyBorder="1" applyProtection="1">
      <protection locked="0"/>
    </xf>
    <xf numFmtId="0" fontId="0" fillId="3" borderId="79" xfId="0" applyFill="1" applyBorder="1" applyProtection="1">
      <protection locked="0"/>
    </xf>
    <xf numFmtId="0" fontId="0" fillId="3" borderId="80" xfId="0" applyFill="1" applyBorder="1" applyProtection="1">
      <protection locked="0"/>
    </xf>
    <xf numFmtId="0" fontId="2" fillId="0" borderId="47" xfId="0" applyFont="1" applyBorder="1"/>
    <xf numFmtId="3" fontId="2" fillId="0" borderId="47" xfId="0" applyNumberFormat="1" applyFont="1" applyBorder="1" applyAlignment="1">
      <alignment horizontal="center"/>
    </xf>
    <xf numFmtId="0" fontId="2" fillId="0" borderId="6" xfId="0" applyFont="1" applyBorder="1" applyAlignment="1">
      <alignment horizontal="center"/>
    </xf>
    <xf numFmtId="164" fontId="0" fillId="0" borderId="47" xfId="0" applyNumberFormat="1" applyBorder="1"/>
    <xf numFmtId="164" fontId="0" fillId="0" borderId="54" xfId="0" applyNumberFormat="1" applyBorder="1"/>
    <xf numFmtId="164" fontId="0" fillId="0" borderId="39" xfId="0" applyNumberFormat="1" applyBorder="1"/>
    <xf numFmtId="0" fontId="2" fillId="0" borderId="35" xfId="0" applyFont="1" applyBorder="1"/>
    <xf numFmtId="168" fontId="5" fillId="0" borderId="22" xfId="0" applyNumberFormat="1" applyFont="1" applyBorder="1" applyProtection="1">
      <protection locked="0"/>
    </xf>
    <xf numFmtId="168" fontId="5" fillId="0" borderId="25" xfId="0" applyNumberFormat="1" applyFont="1" applyBorder="1" applyProtection="1">
      <protection locked="0"/>
    </xf>
    <xf numFmtId="0" fontId="0" fillId="0" borderId="1" xfId="0" applyBorder="1" applyProtection="1">
      <protection locked="0"/>
    </xf>
    <xf numFmtId="0" fontId="19" fillId="0" borderId="0" xfId="0" applyFont="1"/>
    <xf numFmtId="0" fontId="18" fillId="0" borderId="0" xfId="0" applyFont="1" applyAlignment="1">
      <alignment wrapText="1"/>
    </xf>
    <xf numFmtId="172" fontId="0" fillId="3" borderId="39" xfId="0" applyNumberFormat="1" applyFill="1" applyBorder="1" applyProtection="1">
      <protection locked="0"/>
    </xf>
    <xf numFmtId="0" fontId="14" fillId="0" borderId="81" xfId="0" applyFont="1" applyBorder="1"/>
    <xf numFmtId="0" fontId="14" fillId="0" borderId="82" xfId="0" applyFont="1" applyBorder="1"/>
    <xf numFmtId="0" fontId="6" fillId="0" borderId="82" xfId="0" applyFont="1" applyBorder="1"/>
    <xf numFmtId="0" fontId="0" fillId="0" borderId="82" xfId="0" applyBorder="1"/>
    <xf numFmtId="0" fontId="0" fillId="0" borderId="83" xfId="0" applyBorder="1"/>
    <xf numFmtId="0" fontId="0" fillId="0" borderId="77" xfId="0" applyBorder="1"/>
    <xf numFmtId="0" fontId="6" fillId="0" borderId="0" xfId="0" applyFont="1"/>
    <xf numFmtId="0" fontId="0" fillId="0" borderId="76" xfId="0" applyBorder="1"/>
    <xf numFmtId="0" fontId="9" fillId="0" borderId="0" xfId="0" applyFont="1"/>
    <xf numFmtId="0" fontId="9" fillId="3" borderId="76" xfId="0" applyFont="1" applyFill="1" applyBorder="1" applyAlignment="1">
      <alignment horizontal="left"/>
    </xf>
    <xf numFmtId="0" fontId="0" fillId="3" borderId="0" xfId="0" applyFill="1"/>
    <xf numFmtId="0" fontId="0" fillId="3" borderId="77" xfId="0" applyFill="1" applyBorder="1"/>
    <xf numFmtId="0" fontId="18" fillId="3" borderId="76" xfId="0" applyFont="1" applyFill="1" applyBorder="1"/>
    <xf numFmtId="0" fontId="0" fillId="3" borderId="76" xfId="0" applyFill="1" applyBorder="1"/>
    <xf numFmtId="0" fontId="2" fillId="0" borderId="2" xfId="0" applyFont="1" applyBorder="1"/>
    <xf numFmtId="0" fontId="0" fillId="0" borderId="34" xfId="0" applyBorder="1"/>
    <xf numFmtId="0" fontId="0" fillId="0" borderId="52" xfId="0" applyBorder="1"/>
    <xf numFmtId="0" fontId="0" fillId="0" borderId="4" xfId="0" applyBorder="1" applyAlignment="1">
      <alignment horizontal="center"/>
    </xf>
    <xf numFmtId="0" fontId="0" fillId="0" borderId="46" xfId="0" applyBorder="1"/>
    <xf numFmtId="165" fontId="2" fillId="3" borderId="36" xfId="0" applyNumberFormat="1" applyFont="1" applyFill="1" applyBorder="1"/>
    <xf numFmtId="165" fontId="2" fillId="2" borderId="23" xfId="0" applyNumberFormat="1" applyFont="1" applyFill="1" applyBorder="1"/>
    <xf numFmtId="164" fontId="2" fillId="0" borderId="0" xfId="0" applyNumberFormat="1" applyFont="1"/>
    <xf numFmtId="164" fontId="0" fillId="0" borderId="46" xfId="0" applyNumberFormat="1" applyBorder="1"/>
    <xf numFmtId="165" fontId="2" fillId="3" borderId="31" xfId="0" applyNumberFormat="1" applyFont="1" applyFill="1" applyBorder="1"/>
    <xf numFmtId="165" fontId="2" fillId="3" borderId="24" xfId="0" applyNumberFormat="1" applyFont="1" applyFill="1" applyBorder="1"/>
    <xf numFmtId="164" fontId="0" fillId="0" borderId="14" xfId="0" applyNumberFormat="1" applyBorder="1"/>
    <xf numFmtId="0" fontId="2" fillId="0" borderId="52" xfId="0" applyFont="1" applyBorder="1" applyAlignment="1">
      <alignment horizontal="center"/>
    </xf>
    <xf numFmtId="0" fontId="3" fillId="0" borderId="0" xfId="0" applyFont="1"/>
    <xf numFmtId="0" fontId="2" fillId="2" borderId="12" xfId="0" applyFont="1" applyFill="1" applyBorder="1" applyAlignment="1">
      <alignment horizontal="center"/>
    </xf>
    <xf numFmtId="0" fontId="2" fillId="3" borderId="13" xfId="0" applyFont="1" applyFill="1" applyBorder="1" applyAlignment="1">
      <alignment horizontal="center"/>
    </xf>
    <xf numFmtId="165" fontId="2" fillId="2" borderId="4" xfId="0" applyNumberFormat="1" applyFont="1" applyFill="1" applyBorder="1"/>
    <xf numFmtId="165" fontId="2" fillId="3" borderId="15" xfId="0" applyNumberFormat="1" applyFont="1" applyFill="1" applyBorder="1"/>
    <xf numFmtId="0" fontId="0" fillId="0" borderId="21" xfId="0" applyBorder="1"/>
    <xf numFmtId="165" fontId="2" fillId="3" borderId="65" xfId="0" applyNumberFormat="1" applyFont="1" applyFill="1" applyBorder="1"/>
    <xf numFmtId="165" fontId="0" fillId="2" borderId="47" xfId="0" applyNumberFormat="1" applyFill="1" applyBorder="1"/>
    <xf numFmtId="0" fontId="0" fillId="3" borderId="6" xfId="0" applyFill="1" applyBorder="1"/>
    <xf numFmtId="165" fontId="0" fillId="2" borderId="39" xfId="0" applyNumberFormat="1" applyFill="1" applyBorder="1"/>
    <xf numFmtId="0" fontId="2" fillId="0" borderId="10" xfId="0" applyFont="1" applyBorder="1"/>
    <xf numFmtId="165" fontId="2" fillId="0" borderId="33" xfId="0" applyNumberFormat="1" applyFont="1" applyBorder="1"/>
    <xf numFmtId="165" fontId="2" fillId="3" borderId="35" xfId="0" applyNumberFormat="1" applyFont="1" applyFill="1" applyBorder="1"/>
    <xf numFmtId="0" fontId="2" fillId="0" borderId="34" xfId="0" applyFont="1" applyBorder="1" applyAlignment="1">
      <alignment horizontal="center"/>
    </xf>
    <xf numFmtId="0" fontId="2" fillId="0" borderId="0" xfId="0" applyFont="1" applyAlignment="1">
      <alignment horizontal="left"/>
    </xf>
    <xf numFmtId="0" fontId="0" fillId="0" borderId="6" xfId="0" applyBorder="1" applyProtection="1">
      <protection locked="0"/>
    </xf>
    <xf numFmtId="0" fontId="2" fillId="0" borderId="0" xfId="0" applyFont="1" applyAlignment="1" applyProtection="1">
      <alignment horizontal="right"/>
      <protection locked="0"/>
    </xf>
    <xf numFmtId="0" fontId="21" fillId="0" borderId="0" xfId="0" applyFont="1" applyProtection="1">
      <protection locked="0"/>
    </xf>
    <xf numFmtId="0" fontId="4" fillId="0" borderId="0" xfId="0" applyFont="1" applyProtection="1">
      <protection locked="0"/>
    </xf>
    <xf numFmtId="0" fontId="20" fillId="0" borderId="25" xfId="0" applyFont="1" applyBorder="1" applyAlignment="1" applyProtection="1">
      <alignment horizontal="center"/>
      <protection locked="0"/>
    </xf>
    <xf numFmtId="0" fontId="2" fillId="0" borderId="1" xfId="0" applyFont="1" applyBorder="1" applyProtection="1">
      <protection locked="0"/>
    </xf>
    <xf numFmtId="0" fontId="2" fillId="0" borderId="2" xfId="0" applyFont="1" applyBorder="1" applyProtection="1">
      <protection locked="0"/>
    </xf>
    <xf numFmtId="0" fontId="2" fillId="0" borderId="2" xfId="0" applyFont="1" applyBorder="1" applyAlignment="1" applyProtection="1">
      <alignment horizontal="center"/>
      <protection locked="0"/>
    </xf>
    <xf numFmtId="0" fontId="2" fillId="0" borderId="7" xfId="0" applyFont="1" applyBorder="1" applyAlignment="1" applyProtection="1">
      <alignment horizontal="center"/>
      <protection locked="0"/>
    </xf>
    <xf numFmtId="3" fontId="0" fillId="0" borderId="4" xfId="0" applyNumberFormat="1" applyBorder="1" applyAlignment="1" applyProtection="1">
      <alignment horizontal="center"/>
      <protection locked="0"/>
    </xf>
    <xf numFmtId="4" fontId="0" fillId="0" borderId="4" xfId="0" applyNumberFormat="1" applyBorder="1" applyAlignment="1" applyProtection="1">
      <alignment horizontal="center"/>
      <protection locked="0"/>
    </xf>
    <xf numFmtId="164" fontId="0" fillId="0" borderId="15" xfId="0" applyNumberFormat="1" applyBorder="1" applyAlignment="1" applyProtection="1">
      <alignment horizontal="center"/>
      <protection locked="0"/>
    </xf>
    <xf numFmtId="3" fontId="0" fillId="0" borderId="0" xfId="0" applyNumberFormat="1" applyAlignment="1" applyProtection="1">
      <alignment horizontal="center"/>
      <protection locked="0"/>
    </xf>
    <xf numFmtId="4" fontId="0" fillId="0" borderId="0" xfId="0" applyNumberFormat="1" applyAlignment="1" applyProtection="1">
      <alignment horizontal="center"/>
      <protection locked="0"/>
    </xf>
    <xf numFmtId="164" fontId="0" fillId="0" borderId="26" xfId="0" applyNumberFormat="1" applyBorder="1" applyAlignment="1" applyProtection="1">
      <alignment horizontal="center"/>
      <protection locked="0"/>
    </xf>
    <xf numFmtId="3" fontId="0" fillId="0" borderId="9" xfId="0" applyNumberFormat="1" applyBorder="1" applyAlignment="1" applyProtection="1">
      <alignment horizontal="center"/>
      <protection locked="0"/>
    </xf>
    <xf numFmtId="0" fontId="2" fillId="0" borderId="3" xfId="0" applyFont="1" applyBorder="1" applyAlignment="1" applyProtection="1">
      <alignment horizontal="center"/>
      <protection locked="0"/>
    </xf>
    <xf numFmtId="0" fontId="0" fillId="0" borderId="15" xfId="0" applyBorder="1" applyProtection="1">
      <protection locked="0"/>
    </xf>
    <xf numFmtId="0" fontId="0" fillId="0" borderId="5" xfId="0" applyBorder="1" applyProtection="1">
      <protection locked="0"/>
    </xf>
    <xf numFmtId="0" fontId="2" fillId="0" borderId="8" xfId="0" applyFont="1" applyBorder="1" applyAlignment="1" applyProtection="1">
      <alignment horizontal="center"/>
      <protection locked="0"/>
    </xf>
    <xf numFmtId="168" fontId="0" fillId="0" borderId="4" xfId="0" applyNumberFormat="1" applyBorder="1" applyProtection="1">
      <protection locked="0"/>
    </xf>
    <xf numFmtId="165" fontId="0" fillId="0" borderId="4" xfId="0" applyNumberFormat="1" applyBorder="1" applyProtection="1">
      <protection locked="0"/>
    </xf>
    <xf numFmtId="165" fontId="0" fillId="0" borderId="15" xfId="0" applyNumberFormat="1" applyBorder="1" applyProtection="1">
      <protection locked="0"/>
    </xf>
    <xf numFmtId="168" fontId="0" fillId="0" borderId="63" xfId="0" applyNumberFormat="1" applyBorder="1" applyProtection="1">
      <protection locked="0"/>
    </xf>
    <xf numFmtId="164" fontId="0" fillId="0" borderId="15" xfId="0" applyNumberFormat="1" applyBorder="1" applyProtection="1">
      <protection locked="0"/>
    </xf>
    <xf numFmtId="3" fontId="0" fillId="0" borderId="4" xfId="0" applyNumberFormat="1" applyBorder="1" applyProtection="1">
      <protection locked="0"/>
    </xf>
    <xf numFmtId="0" fontId="0" fillId="0" borderId="0" xfId="0" applyAlignment="1" applyProtection="1">
      <alignment horizontal="center"/>
      <protection locked="0"/>
    </xf>
    <xf numFmtId="168" fontId="0" fillId="0" borderId="0" xfId="0" applyNumberFormat="1" applyProtection="1">
      <protection locked="0"/>
    </xf>
    <xf numFmtId="165" fontId="0" fillId="0" borderId="0" xfId="0" applyNumberFormat="1" applyProtection="1">
      <protection locked="0"/>
    </xf>
    <xf numFmtId="165" fontId="0" fillId="0" borderId="7" xfId="0" applyNumberFormat="1" applyBorder="1" applyProtection="1">
      <protection locked="0"/>
    </xf>
    <xf numFmtId="165" fontId="2" fillId="0" borderId="7" xfId="0" applyNumberFormat="1" applyFont="1" applyBorder="1" applyAlignment="1" applyProtection="1">
      <alignment horizontal="center"/>
      <protection locked="0"/>
    </xf>
    <xf numFmtId="165" fontId="0" fillId="0" borderId="24" xfId="0" applyNumberFormat="1" applyBorder="1" applyProtection="1">
      <protection locked="0"/>
    </xf>
    <xf numFmtId="165" fontId="0" fillId="0" borderId="45" xfId="0" applyNumberFormat="1" applyBorder="1" applyProtection="1">
      <protection locked="0"/>
    </xf>
    <xf numFmtId="165" fontId="0" fillId="0" borderId="5" xfId="0" applyNumberFormat="1" applyBorder="1" applyProtection="1">
      <protection locked="0"/>
    </xf>
    <xf numFmtId="0" fontId="2" fillId="0" borderId="6" xfId="0" applyFont="1" applyBorder="1" applyAlignment="1" applyProtection="1">
      <alignment horizontal="center"/>
      <protection locked="0"/>
    </xf>
    <xf numFmtId="165" fontId="0" fillId="0" borderId="2" xfId="0" applyNumberFormat="1" applyBorder="1" applyProtection="1">
      <protection locked="0"/>
    </xf>
    <xf numFmtId="165" fontId="0" fillId="0" borderId="3" xfId="0" applyNumberFormat="1" applyBorder="1" applyProtection="1">
      <protection locked="0"/>
    </xf>
    <xf numFmtId="0" fontId="2" fillId="0" borderId="26" xfId="0" applyFont="1" applyBorder="1" applyAlignment="1" applyProtection="1">
      <alignment horizontal="right"/>
      <protection locked="0"/>
    </xf>
    <xf numFmtId="0" fontId="2" fillId="0" borderId="25" xfId="0" applyFont="1" applyBorder="1" applyAlignment="1" applyProtection="1">
      <alignment horizontal="center"/>
      <protection locked="0"/>
    </xf>
    <xf numFmtId="0" fontId="2" fillId="0" borderId="25" xfId="0" applyFont="1" applyBorder="1" applyAlignment="1" applyProtection="1">
      <alignment horizontal="right"/>
      <protection locked="0"/>
    </xf>
    <xf numFmtId="0" fontId="2" fillId="0" borderId="23" xfId="0" applyFont="1" applyBorder="1" applyAlignment="1" applyProtection="1">
      <alignment horizontal="center"/>
      <protection locked="0"/>
    </xf>
    <xf numFmtId="0" fontId="2" fillId="0" borderId="24" xfId="0" applyFont="1" applyBorder="1" applyAlignment="1" applyProtection="1">
      <alignment horizontal="center"/>
      <protection locked="0"/>
    </xf>
    <xf numFmtId="0" fontId="2" fillId="0" borderId="64" xfId="0" applyFont="1" applyBorder="1" applyAlignment="1" applyProtection="1">
      <alignment horizontal="center"/>
      <protection locked="0"/>
    </xf>
    <xf numFmtId="3" fontId="2" fillId="0" borderId="4" xfId="0" applyNumberFormat="1" applyFont="1" applyBorder="1" applyAlignment="1" applyProtection="1">
      <alignment horizontal="center"/>
      <protection locked="0"/>
    </xf>
    <xf numFmtId="165" fontId="2" fillId="0" borderId="4" xfId="0" applyNumberFormat="1" applyFont="1" applyBorder="1" applyAlignment="1" applyProtection="1">
      <alignment horizontal="center"/>
      <protection locked="0"/>
    </xf>
    <xf numFmtId="165" fontId="2" fillId="0" borderId="15" xfId="0" applyNumberFormat="1" applyFont="1" applyBorder="1" applyAlignment="1" applyProtection="1">
      <alignment horizontal="center"/>
      <protection locked="0"/>
    </xf>
    <xf numFmtId="3" fontId="2" fillId="0" borderId="9" xfId="0" applyNumberFormat="1" applyFont="1" applyBorder="1" applyAlignment="1" applyProtection="1">
      <alignment horizontal="center"/>
      <protection locked="0"/>
    </xf>
    <xf numFmtId="165" fontId="0" fillId="0" borderId="4" xfId="0" applyNumberFormat="1" applyBorder="1" applyAlignment="1" applyProtection="1">
      <alignment horizontal="center"/>
      <protection locked="0"/>
    </xf>
    <xf numFmtId="165" fontId="0" fillId="0" borderId="15" xfId="0" applyNumberFormat="1" applyBorder="1" applyAlignment="1" applyProtection="1">
      <alignment horizontal="center"/>
      <protection locked="0"/>
    </xf>
    <xf numFmtId="172" fontId="0" fillId="0" borderId="0" xfId="0" applyNumberFormat="1" applyAlignment="1" applyProtection="1">
      <alignment horizontal="center"/>
      <protection locked="0"/>
    </xf>
    <xf numFmtId="0" fontId="0" fillId="0" borderId="5" xfId="0" applyBorder="1" applyAlignment="1" applyProtection="1">
      <alignment horizontal="center"/>
      <protection locked="0"/>
    </xf>
    <xf numFmtId="0" fontId="0" fillId="0" borderId="8" xfId="0" applyBorder="1" applyProtection="1">
      <protection locked="0"/>
    </xf>
    <xf numFmtId="0" fontId="7" fillId="0" borderId="41" xfId="0" applyFont="1" applyBorder="1"/>
    <xf numFmtId="4" fontId="0" fillId="0" borderId="52" xfId="0" applyNumberFormat="1" applyBorder="1" applyAlignment="1" applyProtection="1">
      <alignment horizontal="center"/>
      <protection locked="0"/>
    </xf>
    <xf numFmtId="3" fontId="0" fillId="0" borderId="3" xfId="0" applyNumberFormat="1" applyBorder="1" applyAlignment="1" applyProtection="1">
      <alignment horizontal="center"/>
      <protection locked="0"/>
    </xf>
    <xf numFmtId="0" fontId="0" fillId="0" borderId="92" xfId="0" applyBorder="1"/>
    <xf numFmtId="0" fontId="0" fillId="0" borderId="93" xfId="0" applyBorder="1"/>
    <xf numFmtId="0" fontId="7" fillId="0" borderId="93" xfId="0" applyFont="1" applyBorder="1"/>
    <xf numFmtId="0" fontId="7" fillId="0" borderId="94" xfId="0" applyFont="1" applyBorder="1"/>
    <xf numFmtId="0" fontId="24" fillId="0" borderId="76" xfId="0" applyFont="1" applyBorder="1"/>
    <xf numFmtId="0" fontId="2" fillId="0" borderId="21" xfId="0" applyFont="1" applyBorder="1" applyProtection="1">
      <protection locked="0"/>
    </xf>
    <xf numFmtId="0" fontId="2" fillId="0" borderId="22" xfId="0" applyFont="1" applyBorder="1" applyProtection="1">
      <protection locked="0"/>
    </xf>
    <xf numFmtId="0" fontId="2" fillId="0" borderId="22" xfId="0" applyFont="1" applyBorder="1" applyAlignment="1" applyProtection="1">
      <alignment horizontal="center"/>
      <protection locked="0"/>
    </xf>
    <xf numFmtId="0" fontId="2" fillId="0" borderId="10" xfId="0" applyFont="1" applyBorder="1" applyProtection="1">
      <protection locked="0"/>
    </xf>
    <xf numFmtId="0" fontId="2" fillId="0" borderId="25" xfId="0" applyFont="1" applyBorder="1" applyProtection="1">
      <protection locked="0"/>
    </xf>
    <xf numFmtId="0" fontId="0" fillId="0" borderId="9" xfId="0" applyBorder="1" applyAlignment="1" applyProtection="1">
      <alignment horizontal="center"/>
      <protection locked="0"/>
    </xf>
    <xf numFmtId="3" fontId="0" fillId="0" borderId="63" xfId="0" applyNumberFormat="1" applyBorder="1" applyAlignment="1" applyProtection="1">
      <alignment horizontal="right"/>
      <protection locked="0"/>
    </xf>
    <xf numFmtId="164" fontId="0" fillId="0" borderId="0" xfId="0" applyNumberFormat="1" applyAlignment="1" applyProtection="1">
      <alignment horizontal="center"/>
      <protection locked="0"/>
    </xf>
    <xf numFmtId="0" fontId="2" fillId="0" borderId="26" xfId="0" applyFont="1" applyBorder="1" applyAlignment="1" applyProtection="1">
      <alignment horizontal="center"/>
      <protection locked="0"/>
    </xf>
    <xf numFmtId="0" fontId="2" fillId="0" borderId="15" xfId="0" applyFont="1" applyBorder="1" applyAlignment="1" applyProtection="1">
      <alignment horizontal="center"/>
      <protection locked="0"/>
    </xf>
    <xf numFmtId="1" fontId="2" fillId="0" borderId="0" xfId="0" applyNumberFormat="1" applyFont="1" applyAlignment="1">
      <alignment horizontal="right"/>
    </xf>
    <xf numFmtId="0" fontId="2" fillId="0" borderId="88" xfId="0"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89" xfId="0" applyFont="1" applyBorder="1" applyAlignment="1">
      <alignment horizontal="center"/>
    </xf>
    <xf numFmtId="168" fontId="0" fillId="0" borderId="0" xfId="0" applyNumberFormat="1" applyAlignment="1">
      <alignment horizontal="center"/>
    </xf>
    <xf numFmtId="1" fontId="2" fillId="0" borderId="0" xfId="0" applyNumberFormat="1" applyFont="1" applyAlignment="1">
      <alignment horizontal="center"/>
    </xf>
    <xf numFmtId="164" fontId="2" fillId="0" borderId="10" xfId="0" applyNumberFormat="1" applyFont="1" applyBorder="1" applyAlignment="1">
      <alignment horizontal="center"/>
    </xf>
    <xf numFmtId="165" fontId="2" fillId="0" borderId="14" xfId="0" applyNumberFormat="1" applyFont="1" applyBorder="1" applyAlignment="1">
      <alignment horizontal="center"/>
    </xf>
    <xf numFmtId="0" fontId="2" fillId="0" borderId="37" xfId="0" applyFont="1" applyBorder="1" applyAlignment="1">
      <alignment horizontal="center"/>
    </xf>
    <xf numFmtId="0" fontId="2" fillId="0" borderId="67" xfId="0" applyFont="1" applyBorder="1" applyAlignment="1">
      <alignment horizontal="center"/>
    </xf>
    <xf numFmtId="0" fontId="2" fillId="0" borderId="38" xfId="0" applyFont="1" applyBorder="1" applyAlignment="1">
      <alignment horizontal="center"/>
    </xf>
    <xf numFmtId="165" fontId="2" fillId="0" borderId="4" xfId="0" applyNumberFormat="1" applyFont="1" applyBorder="1" applyAlignment="1">
      <alignment horizontal="center"/>
    </xf>
    <xf numFmtId="164" fontId="4" fillId="0" borderId="10" xfId="0" applyNumberFormat="1" applyFont="1" applyBorder="1" applyAlignment="1">
      <alignment horizontal="center"/>
    </xf>
    <xf numFmtId="165" fontId="4" fillId="0" borderId="4" xfId="0" applyNumberFormat="1" applyFont="1" applyBorder="1" applyAlignment="1">
      <alignment horizontal="center"/>
    </xf>
    <xf numFmtId="165" fontId="4" fillId="0" borderId="14" xfId="0" applyNumberFormat="1" applyFont="1" applyBorder="1" applyAlignment="1">
      <alignment horizontal="center"/>
    </xf>
    <xf numFmtId="165" fontId="4" fillId="0" borderId="47" xfId="0" applyNumberFormat="1" applyFont="1" applyBorder="1" applyAlignment="1">
      <alignment horizontal="center"/>
    </xf>
    <xf numFmtId="165" fontId="4" fillId="0" borderId="6" xfId="0" applyNumberFormat="1" applyFont="1" applyBorder="1" applyAlignment="1">
      <alignment horizontal="center"/>
    </xf>
    <xf numFmtId="168" fontId="2" fillId="0" borderId="0" xfId="0" applyNumberFormat="1" applyFont="1" applyAlignment="1">
      <alignment horizontal="center"/>
    </xf>
    <xf numFmtId="0" fontId="2" fillId="0" borderId="71" xfId="0" applyFont="1" applyBorder="1" applyAlignment="1">
      <alignment horizontal="center"/>
    </xf>
    <xf numFmtId="0" fontId="2" fillId="0" borderId="5" xfId="0" applyFont="1" applyBorder="1" applyAlignment="1">
      <alignment horizontal="center"/>
    </xf>
    <xf numFmtId="0" fontId="2" fillId="0" borderId="8" xfId="0" applyFont="1" applyBorder="1" applyAlignment="1">
      <alignment horizontal="center"/>
    </xf>
    <xf numFmtId="3" fontId="0" fillId="0" borderId="0" xfId="0" applyNumberFormat="1" applyAlignment="1">
      <alignment horizontal="center"/>
    </xf>
    <xf numFmtId="10" fontId="0" fillId="0" borderId="0" xfId="0" applyNumberFormat="1" applyAlignment="1">
      <alignment horizontal="center"/>
    </xf>
    <xf numFmtId="165" fontId="4" fillId="0" borderId="39" xfId="0" applyNumberFormat="1" applyFont="1" applyBorder="1" applyAlignment="1">
      <alignment horizontal="center"/>
    </xf>
    <xf numFmtId="0" fontId="0" fillId="0" borderId="2" xfId="0" applyBorder="1" applyAlignment="1">
      <alignment horizontal="center"/>
    </xf>
    <xf numFmtId="164" fontId="0" fillId="0" borderId="3" xfId="0" applyNumberFormat="1" applyBorder="1" applyAlignment="1">
      <alignment horizontal="center"/>
    </xf>
    <xf numFmtId="164" fontId="0" fillId="0" borderId="0" xfId="0" applyNumberFormat="1" applyAlignment="1">
      <alignment horizontal="center"/>
    </xf>
    <xf numFmtId="164" fontId="0" fillId="0" borderId="7" xfId="0" applyNumberFormat="1" applyBorder="1" applyAlignment="1">
      <alignment horizontal="center"/>
    </xf>
    <xf numFmtId="164" fontId="2" fillId="0" borderId="7" xfId="0" applyNumberFormat="1" applyFont="1" applyBorder="1" applyAlignment="1">
      <alignment horizontal="center"/>
    </xf>
    <xf numFmtId="0" fontId="0" fillId="0" borderId="5" xfId="0" applyBorder="1" applyAlignment="1">
      <alignment horizontal="center"/>
    </xf>
    <xf numFmtId="0" fontId="4" fillId="0" borderId="71" xfId="0" applyFont="1" applyBorder="1" applyAlignment="1">
      <alignment horizontal="center"/>
    </xf>
    <xf numFmtId="0" fontId="4" fillId="0" borderId="5" xfId="0" applyFont="1" applyBorder="1" applyAlignment="1">
      <alignment horizontal="center"/>
    </xf>
    <xf numFmtId="164" fontId="2" fillId="0" borderId="6" xfId="0" applyNumberFormat="1" applyFont="1" applyBorder="1" applyAlignment="1">
      <alignment horizontal="center"/>
    </xf>
    <xf numFmtId="0" fontId="2" fillId="0" borderId="6" xfId="0" applyFont="1" applyBorder="1"/>
    <xf numFmtId="164" fontId="4" fillId="0" borderId="3" xfId="0" applyNumberFormat="1" applyFont="1" applyBorder="1"/>
    <xf numFmtId="165" fontId="4" fillId="0" borderId="23" xfId="0" applyNumberFormat="1" applyFont="1" applyBorder="1" applyAlignment="1">
      <alignment horizontal="center"/>
    </xf>
    <xf numFmtId="164" fontId="4" fillId="0" borderId="37" xfId="0" applyNumberFormat="1" applyFont="1" applyBorder="1" applyAlignment="1">
      <alignment horizontal="center"/>
    </xf>
    <xf numFmtId="165" fontId="4" fillId="0" borderId="38" xfId="0" applyNumberFormat="1" applyFont="1" applyBorder="1" applyAlignment="1">
      <alignment horizontal="center"/>
    </xf>
    <xf numFmtId="165" fontId="4" fillId="0" borderId="67" xfId="0" applyNumberFormat="1" applyFont="1" applyBorder="1" applyAlignment="1">
      <alignment horizontal="center"/>
    </xf>
    <xf numFmtId="164" fontId="0" fillId="0" borderId="10" xfId="0" applyNumberFormat="1" applyBorder="1" applyAlignment="1">
      <alignment horizontal="center"/>
    </xf>
    <xf numFmtId="164" fontId="0" fillId="0" borderId="25" xfId="0" applyNumberFormat="1" applyBorder="1" applyAlignment="1">
      <alignment horizontal="center"/>
    </xf>
    <xf numFmtId="164" fontId="2" fillId="0" borderId="14" xfId="0" applyNumberFormat="1" applyFont="1" applyBorder="1" applyAlignment="1">
      <alignment horizontal="center"/>
    </xf>
    <xf numFmtId="164" fontId="4" fillId="0" borderId="10" xfId="0" applyNumberFormat="1" applyFont="1" applyBorder="1"/>
    <xf numFmtId="164" fontId="2" fillId="0" borderId="25" xfId="0" applyNumberFormat="1" applyFont="1" applyBorder="1" applyAlignment="1">
      <alignment horizontal="center"/>
    </xf>
    <xf numFmtId="164" fontId="2" fillId="0" borderId="10" xfId="0" applyNumberFormat="1" applyFont="1" applyBorder="1"/>
    <xf numFmtId="164" fontId="0" fillId="0" borderId="85" xfId="0" applyNumberFormat="1" applyBorder="1" applyAlignment="1">
      <alignment horizontal="center"/>
    </xf>
    <xf numFmtId="164" fontId="2" fillId="0" borderId="85" xfId="0" applyNumberFormat="1" applyFont="1" applyBorder="1" applyAlignment="1">
      <alignment horizontal="center"/>
    </xf>
    <xf numFmtId="164" fontId="0" fillId="0" borderId="14" xfId="0" applyNumberFormat="1" applyBorder="1" applyAlignment="1">
      <alignment horizontal="center"/>
    </xf>
    <xf numFmtId="164" fontId="0" fillId="0" borderId="84" xfId="0" applyNumberFormat="1" applyBorder="1" applyAlignment="1">
      <alignment horizontal="center"/>
    </xf>
    <xf numFmtId="164" fontId="2" fillId="0" borderId="84" xfId="0" applyNumberFormat="1" applyFont="1" applyBorder="1" applyAlignment="1">
      <alignment horizontal="center"/>
    </xf>
    <xf numFmtId="165" fontId="4" fillId="0" borderId="75" xfId="0" applyNumberFormat="1" applyFont="1" applyBorder="1"/>
    <xf numFmtId="0" fontId="2" fillId="0" borderId="96" xfId="0" applyFont="1" applyBorder="1" applyAlignment="1">
      <alignment horizontal="center"/>
    </xf>
    <xf numFmtId="0" fontId="0" fillId="0" borderId="97" xfId="0" applyBorder="1"/>
    <xf numFmtId="0" fontId="2" fillId="0" borderId="70" xfId="0" applyFont="1" applyBorder="1" applyAlignment="1">
      <alignment horizontal="center"/>
    </xf>
    <xf numFmtId="165" fontId="4" fillId="0" borderId="9" xfId="0" applyNumberFormat="1" applyFont="1" applyBorder="1"/>
    <xf numFmtId="3" fontId="0" fillId="0" borderId="15" xfId="0" applyNumberFormat="1" applyBorder="1" applyAlignment="1">
      <alignment horizontal="center"/>
    </xf>
    <xf numFmtId="165" fontId="2" fillId="0" borderId="9" xfId="0" applyNumberFormat="1" applyFont="1" applyBorder="1"/>
    <xf numFmtId="3" fontId="2" fillId="0" borderId="15" xfId="0" applyNumberFormat="1" applyFont="1" applyBorder="1" applyAlignment="1">
      <alignment horizontal="center"/>
    </xf>
    <xf numFmtId="0" fontId="2" fillId="0" borderId="46" xfId="0" applyFont="1" applyBorder="1" applyAlignment="1">
      <alignment horizontal="center"/>
    </xf>
    <xf numFmtId="164" fontId="4" fillId="0" borderId="85" xfId="0" applyNumberFormat="1" applyFont="1" applyBorder="1" applyAlignment="1">
      <alignment horizontal="center"/>
    </xf>
    <xf numFmtId="164" fontId="4" fillId="0" borderId="84" xfId="0" applyNumberFormat="1" applyFont="1" applyBorder="1" applyAlignment="1">
      <alignment horizontal="center"/>
    </xf>
    <xf numFmtId="0" fontId="2" fillId="0" borderId="11" xfId="0" applyFont="1" applyBorder="1"/>
    <xf numFmtId="0" fontId="0" fillId="0" borderId="98" xfId="0" applyBorder="1"/>
    <xf numFmtId="0" fontId="2" fillId="0" borderId="13" xfId="0" applyFont="1" applyBorder="1" applyAlignment="1">
      <alignment horizontal="center"/>
    </xf>
    <xf numFmtId="164" fontId="0" fillId="0" borderId="37" xfId="0" applyNumberFormat="1" applyBorder="1" applyAlignment="1">
      <alignment horizontal="center"/>
    </xf>
    <xf numFmtId="164" fontId="0" fillId="0" borderId="67" xfId="0" applyNumberFormat="1" applyBorder="1" applyAlignment="1">
      <alignment horizontal="center"/>
    </xf>
    <xf numFmtId="164" fontId="0" fillId="0" borderId="27" xfId="0" applyNumberFormat="1" applyBorder="1" applyAlignment="1">
      <alignment horizontal="center"/>
    </xf>
    <xf numFmtId="164" fontId="0" fillId="0" borderId="68" xfId="0" applyNumberFormat="1" applyBorder="1" applyAlignment="1">
      <alignment horizontal="center"/>
    </xf>
    <xf numFmtId="0" fontId="2" fillId="0" borderId="99" xfId="0" applyFont="1" applyBorder="1" applyAlignment="1">
      <alignment horizontal="center"/>
    </xf>
    <xf numFmtId="0" fontId="2" fillId="0" borderId="86" xfId="0" applyFont="1" applyBorder="1" applyAlignment="1">
      <alignment horizontal="center"/>
    </xf>
    <xf numFmtId="164" fontId="0" fillId="0" borderId="87" xfId="0" applyNumberFormat="1" applyBorder="1" applyAlignment="1">
      <alignment horizontal="center"/>
    </xf>
    <xf numFmtId="164" fontId="4" fillId="0" borderId="11" xfId="0" applyNumberFormat="1" applyFont="1" applyBorder="1" applyAlignment="1">
      <alignment horizontal="center"/>
    </xf>
    <xf numFmtId="172" fontId="2" fillId="4" borderId="4" xfId="0" applyNumberFormat="1" applyFont="1" applyFill="1" applyBorder="1" applyProtection="1">
      <protection locked="0"/>
    </xf>
    <xf numFmtId="164" fontId="2" fillId="4" borderId="4" xfId="0" applyNumberFormat="1" applyFont="1" applyFill="1" applyBorder="1" applyProtection="1">
      <protection locked="0"/>
    </xf>
    <xf numFmtId="3" fontId="2" fillId="4" borderId="4" xfId="0" applyNumberFormat="1" applyFont="1" applyFill="1" applyBorder="1" applyProtection="1">
      <protection locked="0"/>
    </xf>
    <xf numFmtId="3" fontId="29" fillId="4" borderId="4" xfId="0" applyNumberFormat="1" applyFont="1" applyFill="1" applyBorder="1" applyProtection="1">
      <protection locked="0"/>
    </xf>
    <xf numFmtId="1" fontId="2" fillId="4" borderId="4" xfId="0" applyNumberFormat="1" applyFont="1" applyFill="1" applyBorder="1" applyProtection="1">
      <protection locked="0"/>
    </xf>
    <xf numFmtId="165" fontId="2" fillId="4" borderId="4" xfId="0" applyNumberFormat="1" applyFont="1" applyFill="1" applyBorder="1" applyProtection="1">
      <protection locked="0"/>
    </xf>
    <xf numFmtId="3" fontId="5" fillId="4" borderId="4" xfId="0" applyNumberFormat="1" applyFont="1" applyFill="1" applyBorder="1" applyProtection="1">
      <protection locked="0"/>
    </xf>
    <xf numFmtId="168" fontId="2" fillId="4" borderId="4" xfId="0" applyNumberFormat="1" applyFont="1" applyFill="1" applyBorder="1" applyProtection="1">
      <protection locked="0"/>
    </xf>
    <xf numFmtId="167" fontId="2" fillId="4" borderId="4" xfId="0" applyNumberFormat="1" applyFont="1" applyFill="1" applyBorder="1" applyProtection="1">
      <protection locked="0"/>
    </xf>
    <xf numFmtId="0" fontId="2" fillId="4" borderId="4" xfId="0" applyFont="1" applyFill="1" applyBorder="1" applyProtection="1">
      <protection locked="0"/>
    </xf>
    <xf numFmtId="2" fontId="2" fillId="4" borderId="4" xfId="0" applyNumberFormat="1" applyFont="1" applyFill="1" applyBorder="1" applyProtection="1">
      <protection locked="0"/>
    </xf>
    <xf numFmtId="0" fontId="29" fillId="0" borderId="0" xfId="0" applyFont="1" applyAlignment="1">
      <alignment horizontal="right"/>
    </xf>
    <xf numFmtId="0" fontId="2" fillId="4" borderId="0" xfId="0" applyFont="1" applyFill="1"/>
    <xf numFmtId="168" fontId="13" fillId="0" borderId="0" xfId="0" applyNumberFormat="1" applyFont="1"/>
    <xf numFmtId="168" fontId="13" fillId="0" borderId="22" xfId="0" applyNumberFormat="1" applyFont="1" applyBorder="1"/>
    <xf numFmtId="10" fontId="2" fillId="4" borderId="4" xfId="0" applyNumberFormat="1" applyFont="1" applyFill="1" applyBorder="1" applyProtection="1">
      <protection locked="0"/>
    </xf>
    <xf numFmtId="164" fontId="0" fillId="0" borderId="10" xfId="0" applyNumberFormat="1" applyBorder="1"/>
    <xf numFmtId="164" fontId="0" fillId="0" borderId="21" xfId="0" applyNumberFormat="1" applyBorder="1"/>
    <xf numFmtId="165" fontId="0" fillId="0" borderId="27" xfId="0" applyNumberFormat="1" applyBorder="1"/>
    <xf numFmtId="164" fontId="0" fillId="0" borderId="3" xfId="0" applyNumberFormat="1" applyBorder="1"/>
    <xf numFmtId="0" fontId="4" fillId="0" borderId="46" xfId="0" applyFont="1" applyBorder="1"/>
    <xf numFmtId="0" fontId="4" fillId="0" borderId="25" xfId="0" applyFont="1" applyBorder="1"/>
    <xf numFmtId="0" fontId="15" fillId="0" borderId="33" xfId="0" applyFont="1" applyBorder="1"/>
    <xf numFmtId="0" fontId="16" fillId="0" borderId="34" xfId="0" applyFont="1" applyBorder="1" applyAlignment="1">
      <alignment horizontal="left"/>
    </xf>
    <xf numFmtId="0" fontId="16" fillId="0" borderId="65" xfId="0" applyFont="1" applyBorder="1" applyAlignment="1">
      <alignment horizontal="left"/>
    </xf>
    <xf numFmtId="0" fontId="0" fillId="0" borderId="7" xfId="0" applyBorder="1" applyAlignment="1">
      <alignment horizontal="center"/>
    </xf>
    <xf numFmtId="0" fontId="2" fillId="0" borderId="7" xfId="0" applyFont="1" applyBorder="1" applyAlignment="1">
      <alignment horizontal="center"/>
    </xf>
    <xf numFmtId="1" fontId="2" fillId="4" borderId="4" xfId="0" applyNumberFormat="1" applyFont="1" applyFill="1" applyBorder="1" applyAlignment="1" applyProtection="1">
      <alignment horizontal="right"/>
      <protection locked="0"/>
    </xf>
    <xf numFmtId="165" fontId="2" fillId="4" borderId="4" xfId="0" applyNumberFormat="1" applyFont="1" applyFill="1" applyBorder="1" applyAlignment="1" applyProtection="1">
      <alignment horizontal="right"/>
      <protection locked="0"/>
    </xf>
    <xf numFmtId="0" fontId="29" fillId="0" borderId="0" xfId="0" applyFont="1"/>
    <xf numFmtId="2" fontId="2" fillId="4" borderId="23" xfId="0" applyNumberFormat="1" applyFont="1" applyFill="1" applyBorder="1" applyProtection="1">
      <protection locked="0"/>
    </xf>
    <xf numFmtId="0" fontId="29" fillId="0" borderId="0" xfId="0" applyFont="1" applyAlignment="1">
      <alignment horizontal="center"/>
    </xf>
    <xf numFmtId="4" fontId="2" fillId="4" borderId="4" xfId="0" applyNumberFormat="1" applyFont="1" applyFill="1" applyBorder="1" applyProtection="1">
      <protection locked="0"/>
    </xf>
    <xf numFmtId="0" fontId="0" fillId="0" borderId="11" xfId="0" applyBorder="1"/>
    <xf numFmtId="164" fontId="2" fillId="0" borderId="0" xfId="0" applyNumberFormat="1" applyFont="1" applyAlignment="1">
      <alignment horizontal="center"/>
    </xf>
    <xf numFmtId="165" fontId="4" fillId="0" borderId="2" xfId="0" applyNumberFormat="1" applyFont="1" applyBorder="1" applyAlignment="1">
      <alignment horizontal="center"/>
    </xf>
    <xf numFmtId="3" fontId="0" fillId="8" borderId="0" xfId="0" applyNumberFormat="1" applyFill="1" applyAlignment="1">
      <alignment horizontal="center"/>
    </xf>
    <xf numFmtId="168" fontId="0" fillId="8" borderId="0" xfId="0" applyNumberFormat="1" applyFill="1" applyAlignment="1">
      <alignment horizontal="center"/>
    </xf>
    <xf numFmtId="0" fontId="2" fillId="0" borderId="3" xfId="0" applyFont="1" applyBorder="1" applyAlignment="1">
      <alignment horizontal="center"/>
    </xf>
    <xf numFmtId="0" fontId="0" fillId="0" borderId="3" xfId="0" applyBorder="1" applyAlignment="1">
      <alignment horizontal="center"/>
    </xf>
    <xf numFmtId="168" fontId="0" fillId="0" borderId="7" xfId="0" applyNumberFormat="1" applyBorder="1" applyAlignment="1">
      <alignment horizontal="center"/>
    </xf>
    <xf numFmtId="168" fontId="2" fillId="0" borderId="7" xfId="0" applyNumberFormat="1" applyFont="1" applyBorder="1" applyAlignment="1">
      <alignment horizontal="center"/>
    </xf>
    <xf numFmtId="168" fontId="0" fillId="0" borderId="5" xfId="0" applyNumberFormat="1" applyBorder="1" applyAlignment="1">
      <alignment horizontal="center"/>
    </xf>
    <xf numFmtId="168" fontId="0" fillId="0" borderId="8" xfId="0" applyNumberFormat="1" applyBorder="1" applyAlignment="1">
      <alignment horizontal="center"/>
    </xf>
    <xf numFmtId="3" fontId="4" fillId="0" borderId="0" xfId="0" applyNumberFormat="1" applyFont="1" applyAlignment="1">
      <alignment horizontal="center"/>
    </xf>
    <xf numFmtId="164" fontId="0" fillId="0" borderId="21" xfId="0" applyNumberFormat="1" applyBorder="1" applyAlignment="1">
      <alignment horizontal="center"/>
    </xf>
    <xf numFmtId="164" fontId="0" fillId="0" borderId="22" xfId="0" applyNumberFormat="1" applyBorder="1" applyAlignment="1">
      <alignment horizontal="center"/>
    </xf>
    <xf numFmtId="164" fontId="2" fillId="0" borderId="95" xfId="0" applyNumberFormat="1" applyFont="1" applyBorder="1" applyAlignment="1">
      <alignment horizontal="center"/>
    </xf>
    <xf numFmtId="165" fontId="4" fillId="0" borderId="69" xfId="0" applyNumberFormat="1" applyFont="1" applyBorder="1"/>
    <xf numFmtId="164" fontId="0" fillId="0" borderId="2" xfId="0" applyNumberFormat="1" applyBorder="1" applyAlignment="1">
      <alignment horizontal="center"/>
    </xf>
    <xf numFmtId="164" fontId="2" fillId="0" borderId="2" xfId="0" applyNumberFormat="1" applyFont="1" applyBorder="1" applyAlignment="1">
      <alignment horizontal="center"/>
    </xf>
    <xf numFmtId="165" fontId="4" fillId="0" borderId="2" xfId="0" applyNumberFormat="1" applyFont="1" applyBorder="1"/>
    <xf numFmtId="3" fontId="0" fillId="0" borderId="2" xfId="0" applyNumberFormat="1" applyBorder="1" applyAlignment="1">
      <alignment horizontal="center"/>
    </xf>
    <xf numFmtId="165" fontId="4" fillId="0" borderId="0" xfId="0" applyNumberFormat="1" applyFont="1"/>
    <xf numFmtId="0" fontId="4" fillId="0" borderId="1" xfId="0" applyFont="1" applyBorder="1" applyAlignment="1">
      <alignment horizontal="center"/>
    </xf>
    <xf numFmtId="164" fontId="4" fillId="0" borderId="7" xfId="0" applyNumberFormat="1" applyFont="1" applyBorder="1" applyAlignment="1">
      <alignment horizontal="center"/>
    </xf>
    <xf numFmtId="164" fontId="4" fillId="0" borderId="14" xfId="0" applyNumberFormat="1" applyFont="1" applyBorder="1" applyAlignment="1">
      <alignment horizontal="center"/>
    </xf>
    <xf numFmtId="164" fontId="4" fillId="0" borderId="66" xfId="0" applyNumberFormat="1" applyFont="1" applyBorder="1" applyAlignment="1">
      <alignment horizontal="center"/>
    </xf>
    <xf numFmtId="3" fontId="5" fillId="0" borderId="22" xfId="0" applyNumberFormat="1" applyFont="1" applyBorder="1" applyProtection="1">
      <protection hidden="1"/>
    </xf>
    <xf numFmtId="3" fontId="29" fillId="0" borderId="28" xfId="0" applyNumberFormat="1" applyFont="1" applyBorder="1" applyProtection="1">
      <protection hidden="1"/>
    </xf>
    <xf numFmtId="3" fontId="5" fillId="0" borderId="22" xfId="0" applyNumberFormat="1" applyFont="1" applyBorder="1"/>
    <xf numFmtId="3" fontId="5" fillId="0" borderId="0" xfId="0" applyNumberFormat="1" applyFont="1"/>
    <xf numFmtId="172" fontId="5" fillId="0" borderId="28" xfId="0" applyNumberFormat="1" applyFont="1" applyBorder="1"/>
    <xf numFmtId="1" fontId="5" fillId="0" borderId="28" xfId="0" applyNumberFormat="1" applyFont="1" applyBorder="1"/>
    <xf numFmtId="165" fontId="5" fillId="0" borderId="28" xfId="0" applyNumberFormat="1" applyFont="1" applyBorder="1"/>
    <xf numFmtId="168" fontId="5" fillId="0" borderId="28" xfId="0" applyNumberFormat="1" applyFont="1" applyBorder="1"/>
    <xf numFmtId="168" fontId="5" fillId="0" borderId="25" xfId="0" applyNumberFormat="1" applyFont="1" applyBorder="1"/>
    <xf numFmtId="165" fontId="5" fillId="0" borderId="25" xfId="0" applyNumberFormat="1" applyFont="1" applyBorder="1"/>
    <xf numFmtId="165" fontId="5" fillId="0" borderId="0" xfId="0" applyNumberFormat="1" applyFont="1" applyAlignment="1">
      <alignment horizontal="right"/>
    </xf>
    <xf numFmtId="3" fontId="5" fillId="0" borderId="0" xfId="0" applyNumberFormat="1" applyFont="1" applyAlignment="1">
      <alignment horizontal="right"/>
    </xf>
    <xf numFmtId="167" fontId="5" fillId="0" borderId="0" xfId="0" applyNumberFormat="1" applyFont="1" applyAlignment="1">
      <alignment horizontal="right"/>
    </xf>
    <xf numFmtId="164" fontId="5" fillId="0" borderId="25" xfId="0" applyNumberFormat="1" applyFont="1" applyBorder="1"/>
    <xf numFmtId="164" fontId="13" fillId="4" borderId="4" xfId="0" applyNumberFormat="1" applyFont="1" applyFill="1" applyBorder="1"/>
    <xf numFmtId="10" fontId="2" fillId="0" borderId="0" xfId="0" applyNumberFormat="1" applyFont="1"/>
    <xf numFmtId="164" fontId="13" fillId="0" borderId="22" xfId="0" applyNumberFormat="1" applyFont="1" applyBorder="1"/>
    <xf numFmtId="0" fontId="16" fillId="0" borderId="34" xfId="0" applyFont="1" applyBorder="1" applyAlignment="1">
      <alignment horizontal="center"/>
    </xf>
    <xf numFmtId="0" fontId="0" fillId="0" borderId="65" xfId="0" applyBorder="1"/>
    <xf numFmtId="165" fontId="0" fillId="0" borderId="95" xfId="0" applyNumberFormat="1" applyBorder="1" applyAlignment="1">
      <alignment horizontal="center"/>
    </xf>
    <xf numFmtId="164" fontId="4" fillId="0" borderId="3" xfId="0" applyNumberFormat="1" applyFont="1" applyBorder="1" applyAlignment="1">
      <alignment horizontal="center"/>
    </xf>
    <xf numFmtId="165" fontId="0" fillId="0" borderId="84" xfId="0" applyNumberFormat="1" applyBorder="1" applyAlignment="1">
      <alignment horizontal="center"/>
    </xf>
    <xf numFmtId="165" fontId="2" fillId="0" borderId="84" xfId="0" applyNumberFormat="1" applyFont="1" applyBorder="1" applyAlignment="1">
      <alignment horizontal="center"/>
    </xf>
    <xf numFmtId="165" fontId="0" fillId="0" borderId="89" xfId="0" applyNumberFormat="1" applyBorder="1" applyAlignment="1">
      <alignment horizontal="center"/>
    </xf>
    <xf numFmtId="165" fontId="0" fillId="0" borderId="7" xfId="0" applyNumberFormat="1" applyBorder="1" applyAlignment="1">
      <alignment horizontal="center"/>
    </xf>
    <xf numFmtId="9" fontId="0" fillId="0" borderId="84" xfId="0" applyNumberFormat="1" applyBorder="1" applyAlignment="1">
      <alignment horizontal="center"/>
    </xf>
    <xf numFmtId="165" fontId="0" fillId="0" borderId="14" xfId="0" applyNumberFormat="1" applyBorder="1" applyAlignment="1">
      <alignment horizontal="center"/>
    </xf>
    <xf numFmtId="9" fontId="0" fillId="0" borderId="2" xfId="0" applyNumberFormat="1" applyBorder="1" applyAlignment="1">
      <alignment horizontal="center"/>
    </xf>
    <xf numFmtId="165" fontId="0" fillId="0" borderId="2" xfId="0" applyNumberFormat="1" applyBorder="1" applyAlignment="1">
      <alignment horizontal="center"/>
    </xf>
    <xf numFmtId="9" fontId="0" fillId="0" borderId="0" xfId="0" applyNumberFormat="1" applyAlignment="1">
      <alignment horizontal="center"/>
    </xf>
    <xf numFmtId="0" fontId="2" fillId="0" borderId="85" xfId="0" applyFont="1" applyBorder="1" applyAlignment="1">
      <alignment horizontal="center"/>
    </xf>
    <xf numFmtId="0" fontId="2" fillId="0" borderId="21" xfId="0" applyFont="1" applyBorder="1" applyAlignment="1">
      <alignment horizontal="center"/>
    </xf>
    <xf numFmtId="0" fontId="2" fillId="0" borderId="66" xfId="0" applyFont="1" applyBorder="1" applyAlignment="1">
      <alignment horizontal="center"/>
    </xf>
    <xf numFmtId="9" fontId="0" fillId="0" borderId="99" xfId="0" applyNumberFormat="1" applyBorder="1" applyAlignment="1">
      <alignment horizontal="center"/>
    </xf>
    <xf numFmtId="165" fontId="4" fillId="0" borderId="12" xfId="0" applyNumberFormat="1" applyFont="1" applyBorder="1" applyAlignment="1">
      <alignment horizontal="center"/>
    </xf>
    <xf numFmtId="165" fontId="4" fillId="0" borderId="13" xfId="0" applyNumberFormat="1" applyFont="1" applyBorder="1" applyAlignment="1">
      <alignment horizontal="center"/>
    </xf>
    <xf numFmtId="9" fontId="2" fillId="0" borderId="84" xfId="0" applyNumberFormat="1" applyFont="1" applyBorder="1" applyAlignment="1">
      <alignment horizontal="center"/>
    </xf>
    <xf numFmtId="9" fontId="0" fillId="0" borderId="86" xfId="0" applyNumberFormat="1" applyBorder="1" applyAlignment="1">
      <alignment horizontal="center"/>
    </xf>
    <xf numFmtId="165" fontId="2" fillId="0" borderId="0" xfId="0" applyNumberFormat="1" applyFont="1" applyAlignment="1">
      <alignment horizontal="center"/>
    </xf>
    <xf numFmtId="0" fontId="2" fillId="0" borderId="0" xfId="0" applyFont="1" applyAlignment="1" applyProtection="1">
      <alignment horizontal="center"/>
      <protection hidden="1"/>
    </xf>
    <xf numFmtId="0" fontId="0" fillId="0" borderId="0" xfId="0" applyProtection="1">
      <protection hidden="1"/>
    </xf>
    <xf numFmtId="3" fontId="0" fillId="0" borderId="4" xfId="0" applyNumberFormat="1" applyBorder="1" applyAlignment="1">
      <alignment horizontal="center"/>
    </xf>
    <xf numFmtId="3" fontId="0" fillId="0" borderId="14" xfId="0" applyNumberFormat="1" applyBorder="1" applyAlignment="1">
      <alignment horizontal="center"/>
    </xf>
    <xf numFmtId="3" fontId="0" fillId="0" borderId="38" xfId="0" applyNumberFormat="1" applyBorder="1" applyAlignment="1">
      <alignment horizontal="center"/>
    </xf>
    <xf numFmtId="3" fontId="0" fillId="0" borderId="67" xfId="0" applyNumberFormat="1" applyBorder="1" applyAlignment="1">
      <alignment horizontal="center"/>
    </xf>
    <xf numFmtId="0" fontId="2" fillId="0" borderId="25" xfId="0" applyFont="1" applyBorder="1"/>
    <xf numFmtId="0" fontId="0" fillId="0" borderId="14" xfId="0" applyBorder="1" applyAlignment="1">
      <alignment horizontal="center"/>
    </xf>
    <xf numFmtId="0" fontId="2" fillId="0" borderId="64" xfId="0" applyFont="1" applyBorder="1"/>
    <xf numFmtId="0" fontId="0" fillId="0" borderId="23" xfId="0" applyBorder="1" applyAlignment="1">
      <alignment horizontal="center"/>
    </xf>
    <xf numFmtId="0" fontId="0" fillId="0" borderId="24" xfId="0" applyBorder="1" applyAlignment="1">
      <alignment horizontal="center"/>
    </xf>
    <xf numFmtId="0" fontId="2" fillId="0" borderId="63" xfId="0" applyFont="1" applyBorder="1"/>
    <xf numFmtId="0" fontId="0" fillId="0" borderId="15" xfId="0" applyBorder="1" applyAlignment="1">
      <alignment horizontal="center"/>
    </xf>
    <xf numFmtId="0" fontId="29" fillId="0" borderId="25" xfId="0" applyFont="1" applyBorder="1" applyAlignment="1">
      <alignment horizontal="right"/>
    </xf>
    <xf numFmtId="0" fontId="2" fillId="0" borderId="4" xfId="0" applyFont="1" applyBorder="1" applyAlignment="1">
      <alignment horizontal="center"/>
    </xf>
    <xf numFmtId="0" fontId="2" fillId="0" borderId="14" xfId="0" applyFont="1" applyBorder="1" applyAlignment="1">
      <alignment horizontal="center"/>
    </xf>
    <xf numFmtId="0" fontId="29" fillId="0" borderId="98" xfId="0" applyFont="1" applyBorder="1" applyAlignment="1">
      <alignment horizontal="right"/>
    </xf>
    <xf numFmtId="3" fontId="0" fillId="0" borderId="39" xfId="0" applyNumberFormat="1" applyBorder="1" applyAlignment="1">
      <alignment horizontal="center"/>
    </xf>
    <xf numFmtId="3" fontId="0" fillId="0" borderId="7" xfId="0" applyNumberFormat="1" applyBorder="1" applyAlignment="1">
      <alignment horizontal="center"/>
    </xf>
    <xf numFmtId="0" fontId="2" fillId="0" borderId="46" xfId="0" applyFont="1" applyBorder="1"/>
    <xf numFmtId="0" fontId="2" fillId="0" borderId="35" xfId="0" applyFont="1" applyBorder="1" applyAlignment="1">
      <alignment horizontal="center"/>
    </xf>
    <xf numFmtId="0" fontId="2" fillId="0" borderId="65" xfId="0" applyFont="1" applyBorder="1" applyAlignment="1">
      <alignment horizontal="center"/>
    </xf>
    <xf numFmtId="3" fontId="0" fillId="0" borderId="0" xfId="0" applyNumberFormat="1"/>
    <xf numFmtId="3" fontId="0" fillId="0" borderId="7" xfId="0" applyNumberFormat="1" applyBorder="1"/>
    <xf numFmtId="0" fontId="2" fillId="0" borderId="22" xfId="0" applyFont="1" applyBorder="1"/>
    <xf numFmtId="3" fontId="0" fillId="0" borderId="23" xfId="0" applyNumberFormat="1" applyBorder="1" applyAlignment="1">
      <alignment horizontal="center"/>
    </xf>
    <xf numFmtId="3" fontId="0" fillId="0" borderId="24" xfId="0" applyNumberFormat="1" applyBorder="1" applyAlignment="1">
      <alignment horizontal="center"/>
    </xf>
    <xf numFmtId="0" fontId="0" fillId="0" borderId="66" xfId="0" applyBorder="1" applyAlignment="1">
      <alignment horizontal="center"/>
    </xf>
    <xf numFmtId="0" fontId="29" fillId="0" borderId="25" xfId="0" applyFont="1" applyBorder="1"/>
    <xf numFmtId="0" fontId="2" fillId="0" borderId="15" xfId="0" applyFont="1" applyBorder="1" applyAlignment="1">
      <alignment horizontal="center"/>
    </xf>
    <xf numFmtId="0" fontId="29" fillId="0" borderId="34" xfId="0" applyFont="1" applyBorder="1" applyAlignment="1">
      <alignment horizontal="right"/>
    </xf>
    <xf numFmtId="0" fontId="0" fillId="0" borderId="39" xfId="0" applyBorder="1" applyAlignment="1">
      <alignment horizontal="center"/>
    </xf>
    <xf numFmtId="0" fontId="0" fillId="0" borderId="38" xfId="0" applyBorder="1" applyAlignment="1">
      <alignment horizontal="center"/>
    </xf>
    <xf numFmtId="0" fontId="0" fillId="0" borderId="67" xfId="0" applyBorder="1" applyAlignment="1">
      <alignment horizontal="center"/>
    </xf>
    <xf numFmtId="0" fontId="30" fillId="0" borderId="1" xfId="0" applyFont="1" applyBorder="1" applyAlignment="1">
      <alignment horizontal="center"/>
    </xf>
    <xf numFmtId="0" fontId="2" fillId="0" borderId="11" xfId="0" applyFont="1" applyBorder="1" applyAlignment="1">
      <alignment horizontal="left"/>
    </xf>
    <xf numFmtId="3" fontId="0" fillId="0" borderId="12" xfId="0" applyNumberFormat="1" applyBorder="1" applyAlignment="1">
      <alignment horizontal="center"/>
    </xf>
    <xf numFmtId="3" fontId="0" fillId="0" borderId="100" xfId="0" applyNumberFormat="1" applyBorder="1" applyAlignment="1">
      <alignment horizontal="center"/>
    </xf>
    <xf numFmtId="0" fontId="2" fillId="0" borderId="69" xfId="0" applyFont="1" applyBorder="1"/>
    <xf numFmtId="0" fontId="29" fillId="0" borderId="55" xfId="0" applyFont="1" applyBorder="1" applyAlignment="1">
      <alignment horizontal="center"/>
    </xf>
    <xf numFmtId="3" fontId="29" fillId="0" borderId="56" xfId="0" applyNumberFormat="1" applyFont="1" applyBorder="1" applyAlignment="1">
      <alignment horizontal="center"/>
    </xf>
    <xf numFmtId="3" fontId="29" fillId="0" borderId="57" xfId="0" applyNumberFormat="1" applyFont="1" applyBorder="1" applyAlignment="1">
      <alignment horizontal="center"/>
    </xf>
    <xf numFmtId="0" fontId="30" fillId="0" borderId="3" xfId="0" applyFont="1" applyBorder="1" applyAlignment="1">
      <alignment horizontal="center"/>
    </xf>
    <xf numFmtId="0" fontId="2" fillId="0" borderId="9" xfId="0" applyFont="1" applyBorder="1" applyAlignment="1">
      <alignment horizontal="left"/>
    </xf>
    <xf numFmtId="167" fontId="25" fillId="0" borderId="4" xfId="0" applyNumberFormat="1" applyFont="1" applyBorder="1" applyAlignment="1">
      <alignment horizontal="center"/>
    </xf>
    <xf numFmtId="167" fontId="25" fillId="0" borderId="15" xfId="0" applyNumberFormat="1" applyFont="1" applyBorder="1" applyAlignment="1">
      <alignment horizontal="center"/>
    </xf>
    <xf numFmtId="0" fontId="2" fillId="0" borderId="9" xfId="0" applyFont="1" applyBorder="1"/>
    <xf numFmtId="167" fontId="25" fillId="0" borderId="23" xfId="0" applyNumberFormat="1" applyFont="1" applyBorder="1" applyAlignment="1">
      <alignment horizontal="center"/>
    </xf>
    <xf numFmtId="167" fontId="25" fillId="0" borderId="24" xfId="0" applyNumberFormat="1" applyFont="1" applyBorder="1" applyAlignment="1">
      <alignment horizontal="center"/>
    </xf>
    <xf numFmtId="0" fontId="29" fillId="0" borderId="103" xfId="0" applyFont="1" applyBorder="1" applyAlignment="1">
      <alignment horizontal="center"/>
    </xf>
    <xf numFmtId="168" fontId="29" fillId="0" borderId="104" xfId="0" applyNumberFormat="1" applyFont="1" applyBorder="1" applyAlignment="1">
      <alignment horizontal="center"/>
    </xf>
    <xf numFmtId="168" fontId="29" fillId="0" borderId="105" xfId="0" applyNumberFormat="1" applyFont="1" applyBorder="1" applyAlignment="1">
      <alignment horizontal="center"/>
    </xf>
    <xf numFmtId="168" fontId="29" fillId="0" borderId="0" xfId="0" applyNumberFormat="1" applyFont="1" applyAlignment="1">
      <alignment horizontal="center"/>
    </xf>
    <xf numFmtId="173" fontId="0" fillId="0" borderId="0" xfId="0" applyNumberFormat="1" applyAlignment="1" applyProtection="1">
      <alignment horizontal="center"/>
      <protection locked="0"/>
    </xf>
    <xf numFmtId="3" fontId="29" fillId="0" borderId="0" xfId="0" applyNumberFormat="1" applyFont="1" applyAlignment="1">
      <alignment horizontal="right"/>
    </xf>
    <xf numFmtId="166" fontId="5" fillId="0" borderId="0" xfId="0" applyNumberFormat="1" applyFont="1" applyAlignment="1">
      <alignment horizontal="right"/>
    </xf>
    <xf numFmtId="165" fontId="2" fillId="0" borderId="0" xfId="0" applyNumberFormat="1" applyFont="1"/>
    <xf numFmtId="164" fontId="13" fillId="0" borderId="0" xfId="0" applyNumberFormat="1" applyFont="1"/>
    <xf numFmtId="164" fontId="5" fillId="0" borderId="22" xfId="0" applyNumberFormat="1" applyFont="1" applyBorder="1" applyProtection="1">
      <protection locked="0"/>
    </xf>
    <xf numFmtId="0" fontId="2" fillId="0" borderId="100" xfId="0" applyFont="1" applyBorder="1" applyAlignment="1" applyProtection="1">
      <alignment horizontal="center"/>
      <protection locked="0"/>
    </xf>
    <xf numFmtId="164" fontId="2" fillId="0" borderId="15" xfId="0" applyNumberFormat="1" applyFont="1" applyBorder="1" applyProtection="1">
      <protection locked="0"/>
    </xf>
    <xf numFmtId="164" fontId="2" fillId="0" borderId="45" xfId="0" applyNumberFormat="1" applyFont="1" applyBorder="1" applyProtection="1">
      <protection locked="0"/>
    </xf>
    <xf numFmtId="164" fontId="0" fillId="0" borderId="4" xfId="0" applyNumberFormat="1" applyBorder="1" applyAlignment="1">
      <alignment horizontal="center"/>
    </xf>
    <xf numFmtId="0" fontId="4" fillId="0" borderId="28" xfId="0" applyFont="1" applyBorder="1"/>
    <xf numFmtId="0" fontId="0" fillId="0" borderId="63" xfId="0" applyBorder="1"/>
    <xf numFmtId="0" fontId="4" fillId="0" borderId="63" xfId="0" applyFont="1" applyBorder="1"/>
    <xf numFmtId="14" fontId="2" fillId="0" borderId="1" xfId="0" applyNumberFormat="1" applyFont="1" applyBorder="1" applyAlignment="1">
      <alignment horizontal="center"/>
    </xf>
    <xf numFmtId="14" fontId="2" fillId="0" borderId="34" xfId="0" applyNumberFormat="1" applyFont="1" applyBorder="1" applyAlignment="1">
      <alignment horizontal="center"/>
    </xf>
    <xf numFmtId="165" fontId="0" fillId="0" borderId="10" xfId="0" applyNumberFormat="1" applyBorder="1"/>
    <xf numFmtId="165" fontId="0" fillId="0" borderId="25" xfId="0" applyNumberFormat="1" applyBorder="1"/>
    <xf numFmtId="165" fontId="0" fillId="0" borderId="21" xfId="0" applyNumberFormat="1" applyBorder="1"/>
    <xf numFmtId="164" fontId="2" fillId="0" borderId="33" xfId="0" applyNumberFormat="1" applyFont="1" applyBorder="1"/>
    <xf numFmtId="165" fontId="2" fillId="0" borderId="72" xfId="0" applyNumberFormat="1" applyFont="1" applyBorder="1"/>
    <xf numFmtId="165" fontId="0" fillId="0" borderId="1" xfId="0" applyNumberFormat="1" applyBorder="1"/>
    <xf numFmtId="165" fontId="0" fillId="0" borderId="71" xfId="0" applyNumberFormat="1" applyBorder="1"/>
    <xf numFmtId="1" fontId="2" fillId="2" borderId="44" xfId="0" applyNumberFormat="1" applyFont="1" applyFill="1" applyBorder="1" applyAlignment="1">
      <alignment horizontal="center"/>
    </xf>
    <xf numFmtId="1" fontId="0" fillId="0" borderId="0" xfId="0" applyNumberFormat="1"/>
    <xf numFmtId="3" fontId="2" fillId="2" borderId="44" xfId="0" applyNumberFormat="1" applyFont="1" applyFill="1" applyBorder="1" applyAlignment="1">
      <alignment horizontal="center"/>
    </xf>
    <xf numFmtId="3" fontId="2" fillId="3" borderId="88" xfId="0" applyNumberFormat="1" applyFont="1" applyFill="1" applyBorder="1" applyAlignment="1">
      <alignment horizontal="center"/>
    </xf>
    <xf numFmtId="3" fontId="2" fillId="3" borderId="84" xfId="0" applyNumberFormat="1" applyFont="1" applyFill="1" applyBorder="1" applyAlignment="1">
      <alignment horizontal="center"/>
    </xf>
    <xf numFmtId="3" fontId="2" fillId="3" borderId="89" xfId="0" applyNumberFormat="1" applyFont="1" applyFill="1" applyBorder="1" applyAlignment="1">
      <alignment horizontal="center"/>
    </xf>
    <xf numFmtId="3" fontId="2" fillId="0" borderId="34" xfId="0" applyNumberFormat="1" applyFont="1" applyBorder="1" applyAlignment="1">
      <alignment horizontal="center"/>
    </xf>
    <xf numFmtId="3" fontId="2" fillId="3" borderId="44" xfId="0" applyNumberFormat="1" applyFont="1" applyFill="1" applyBorder="1" applyAlignment="1">
      <alignment horizontal="center"/>
    </xf>
    <xf numFmtId="0" fontId="17" fillId="0" borderId="0" xfId="0" applyFont="1" applyAlignment="1" applyProtection="1">
      <alignment horizontal="center"/>
      <protection locked="0"/>
    </xf>
    <xf numFmtId="0" fontId="0" fillId="0" borderId="4" xfId="0" applyBorder="1"/>
    <xf numFmtId="8" fontId="4" fillId="0" borderId="26" xfId="1" applyNumberFormat="1" applyFont="1" applyBorder="1" applyAlignment="1" applyProtection="1">
      <alignment horizontal="right"/>
    </xf>
    <xf numFmtId="0" fontId="2" fillId="10" borderId="11" xfId="0" applyFont="1" applyFill="1" applyBorder="1"/>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10" xfId="0" applyFont="1" applyFill="1" applyBorder="1" applyAlignment="1">
      <alignment horizontal="left"/>
    </xf>
    <xf numFmtId="3" fontId="0" fillId="10" borderId="4" xfId="0" applyNumberFormat="1" applyFill="1" applyBorder="1" applyAlignment="1">
      <alignment horizontal="center"/>
    </xf>
    <xf numFmtId="3" fontId="0" fillId="10" borderId="14" xfId="0" applyNumberFormat="1" applyFill="1" applyBorder="1" applyAlignment="1">
      <alignment horizontal="center"/>
    </xf>
    <xf numFmtId="0" fontId="2" fillId="10" borderId="37" xfId="0" applyFont="1" applyFill="1" applyBorder="1"/>
    <xf numFmtId="3" fontId="0" fillId="10" borderId="38" xfId="0" applyNumberFormat="1" applyFill="1" applyBorder="1" applyAlignment="1">
      <alignment horizontal="center"/>
    </xf>
    <xf numFmtId="3" fontId="0" fillId="10" borderId="67" xfId="0" applyNumberFormat="1" applyFill="1" applyBorder="1" applyAlignment="1">
      <alignment horizontal="center"/>
    </xf>
    <xf numFmtId="3" fontId="0" fillId="0" borderId="53" xfId="0" applyNumberFormat="1" applyBorder="1" applyAlignment="1">
      <alignment horizontal="center"/>
    </xf>
    <xf numFmtId="0" fontId="16" fillId="0" borderId="0" xfId="0" applyFont="1" applyAlignment="1">
      <alignment horizontal="center"/>
    </xf>
    <xf numFmtId="0" fontId="0" fillId="4" borderId="9" xfId="0" applyFill="1" applyBorder="1"/>
    <xf numFmtId="0" fontId="2" fillId="4" borderId="4" xfId="0" applyFont="1" applyFill="1" applyBorder="1" applyAlignment="1">
      <alignment horizontal="center"/>
    </xf>
    <xf numFmtId="0" fontId="2" fillId="4" borderId="15" xfId="0" applyFont="1" applyFill="1" applyBorder="1" applyAlignment="1">
      <alignment horizontal="center"/>
    </xf>
    <xf numFmtId="0" fontId="2" fillId="0" borderId="9" xfId="0" applyFont="1" applyBorder="1" applyAlignment="1">
      <alignment horizontal="center"/>
    </xf>
    <xf numFmtId="164" fontId="2" fillId="0" borderId="15" xfId="0" applyNumberFormat="1" applyFont="1" applyBorder="1" applyAlignment="1">
      <alignment horizontal="center"/>
    </xf>
    <xf numFmtId="0" fontId="2" fillId="4" borderId="9" xfId="0" applyFont="1" applyFill="1" applyBorder="1" applyAlignment="1">
      <alignment horizontal="center"/>
    </xf>
    <xf numFmtId="164" fontId="2" fillId="0" borderId="24" xfId="0" applyNumberFormat="1" applyFont="1" applyBorder="1" applyAlignment="1">
      <alignment horizontal="center"/>
    </xf>
    <xf numFmtId="0" fontId="2" fillId="9" borderId="70" xfId="0" applyFont="1" applyFill="1" applyBorder="1" applyAlignment="1">
      <alignment horizontal="center"/>
    </xf>
    <xf numFmtId="10" fontId="2" fillId="9" borderId="38" xfId="0" applyNumberFormat="1" applyFont="1" applyFill="1" applyBorder="1" applyAlignment="1">
      <alignment horizontal="center"/>
    </xf>
    <xf numFmtId="10" fontId="2" fillId="9" borderId="45" xfId="0" applyNumberFormat="1" applyFont="1" applyFill="1" applyBorder="1" applyAlignment="1">
      <alignment horizontal="center"/>
    </xf>
    <xf numFmtId="164" fontId="0" fillId="0" borderId="108" xfId="0" applyNumberFormat="1" applyBorder="1" applyAlignment="1">
      <alignment horizontal="center"/>
    </xf>
    <xf numFmtId="2" fontId="5" fillId="0" borderId="0" xfId="0" applyNumberFormat="1" applyFont="1"/>
    <xf numFmtId="0" fontId="2" fillId="0" borderId="66" xfId="0" applyFont="1" applyBorder="1" applyAlignment="1" applyProtection="1">
      <alignment horizontal="center"/>
      <protection locked="0"/>
    </xf>
    <xf numFmtId="168" fontId="0" fillId="0" borderId="15" xfId="0" applyNumberFormat="1" applyBorder="1" applyProtection="1">
      <protection locked="0"/>
    </xf>
    <xf numFmtId="3" fontId="29" fillId="0" borderId="0" xfId="0" applyNumberFormat="1" applyFont="1" applyProtection="1">
      <protection locked="0"/>
    </xf>
    <xf numFmtId="14" fontId="2" fillId="0" borderId="7" xfId="0" applyNumberFormat="1" applyFont="1" applyBorder="1" applyAlignment="1" applyProtection="1">
      <alignment horizontal="center"/>
      <protection hidden="1"/>
    </xf>
    <xf numFmtId="164" fontId="2" fillId="0" borderId="7" xfId="0" applyNumberFormat="1" applyFont="1" applyBorder="1" applyProtection="1">
      <protection hidden="1"/>
    </xf>
    <xf numFmtId="164" fontId="2" fillId="0" borderId="7" xfId="0" applyNumberFormat="1" applyFont="1" applyBorder="1" applyAlignment="1" applyProtection="1">
      <alignment horizontal="center"/>
      <protection hidden="1"/>
    </xf>
    <xf numFmtId="164" fontId="0" fillId="0" borderId="7" xfId="0" applyNumberFormat="1" applyBorder="1" applyProtection="1">
      <protection hidden="1"/>
    </xf>
    <xf numFmtId="168" fontId="29" fillId="0" borderId="108" xfId="0" applyNumberFormat="1" applyFont="1" applyBorder="1" applyProtection="1">
      <protection locked="0"/>
    </xf>
    <xf numFmtId="168" fontId="29" fillId="0" borderId="4" xfId="0" applyNumberFormat="1" applyFont="1" applyBorder="1" applyProtection="1">
      <protection locked="0"/>
    </xf>
    <xf numFmtId="0" fontId="4" fillId="0" borderId="10" xfId="0" applyFont="1" applyBorder="1"/>
    <xf numFmtId="0" fontId="4" fillId="0" borderId="21" xfId="0" applyFont="1" applyBorder="1"/>
    <xf numFmtId="0" fontId="4" fillId="0" borderId="11" xfId="0" applyFont="1" applyBorder="1"/>
    <xf numFmtId="0" fontId="1" fillId="0" borderId="0" xfId="0" applyFont="1"/>
    <xf numFmtId="164" fontId="0" fillId="0" borderId="110" xfId="0" applyNumberFormat="1" applyBorder="1" applyAlignment="1">
      <alignment horizontal="center"/>
    </xf>
    <xf numFmtId="164" fontId="2" fillId="0" borderId="67" xfId="0" applyNumberFormat="1" applyFont="1" applyBorder="1" applyAlignment="1">
      <alignment horizontal="center"/>
    </xf>
    <xf numFmtId="165" fontId="4" fillId="0" borderId="99" xfId="0" applyNumberFormat="1" applyFont="1" applyBorder="1" applyAlignment="1">
      <alignment horizontal="center"/>
    </xf>
    <xf numFmtId="165" fontId="4" fillId="0" borderId="84" xfId="0" applyNumberFormat="1" applyFont="1" applyBorder="1" applyAlignment="1">
      <alignment horizontal="center"/>
    </xf>
    <xf numFmtId="165" fontId="4" fillId="0" borderId="100" xfId="0" applyNumberFormat="1" applyFont="1" applyBorder="1" applyAlignment="1">
      <alignment horizontal="center"/>
    </xf>
    <xf numFmtId="165" fontId="4" fillId="0" borderId="15" xfId="0" applyNumberFormat="1" applyFont="1" applyBorder="1" applyAlignment="1">
      <alignment horizontal="center"/>
    </xf>
    <xf numFmtId="165" fontId="4" fillId="0" borderId="45" xfId="0" applyNumberFormat="1" applyFont="1" applyBorder="1" applyAlignment="1">
      <alignment horizontal="center"/>
    </xf>
    <xf numFmtId="165" fontId="2" fillId="0" borderId="15" xfId="0" applyNumberFormat="1" applyFont="1" applyBorder="1" applyAlignment="1">
      <alignment horizontal="center"/>
    </xf>
    <xf numFmtId="165" fontId="1" fillId="0" borderId="2" xfId="0" applyNumberFormat="1" applyFont="1" applyBorder="1" applyAlignment="1">
      <alignment horizontal="center"/>
    </xf>
    <xf numFmtId="0" fontId="15" fillId="0" borderId="0" xfId="0" applyFont="1" applyAlignment="1" applyProtection="1">
      <alignment horizontal="center"/>
      <protection locked="0"/>
    </xf>
    <xf numFmtId="0" fontId="34" fillId="0" borderId="0" xfId="0" applyFont="1" applyProtection="1">
      <protection locked="0"/>
    </xf>
    <xf numFmtId="0" fontId="35" fillId="0" borderId="34" xfId="0" applyFont="1" applyBorder="1" applyProtection="1">
      <protection locked="0"/>
    </xf>
    <xf numFmtId="0" fontId="35" fillId="0" borderId="65" xfId="0" applyFont="1" applyBorder="1" applyProtection="1">
      <protection locked="0"/>
    </xf>
    <xf numFmtId="0" fontId="35" fillId="0" borderId="25" xfId="0" applyFont="1" applyBorder="1" applyProtection="1">
      <protection locked="0"/>
    </xf>
    <xf numFmtId="0" fontId="35" fillId="0" borderId="14" xfId="0" applyFont="1" applyBorder="1" applyProtection="1">
      <protection locked="0"/>
    </xf>
    <xf numFmtId="0" fontId="35" fillId="0" borderId="0" xfId="0" applyFont="1" applyProtection="1">
      <protection locked="0"/>
    </xf>
    <xf numFmtId="0" fontId="35" fillId="0" borderId="7" xfId="0" applyFont="1" applyBorder="1" applyProtection="1">
      <protection locked="0"/>
    </xf>
    <xf numFmtId="0" fontId="35" fillId="0" borderId="22" xfId="0" applyFont="1" applyBorder="1" applyProtection="1">
      <protection locked="0"/>
    </xf>
    <xf numFmtId="0" fontId="35" fillId="0" borderId="66" xfId="0" applyFont="1" applyBorder="1" applyProtection="1">
      <protection locked="0"/>
    </xf>
    <xf numFmtId="0" fontId="34" fillId="0" borderId="34" xfId="0" applyFont="1" applyBorder="1" applyAlignment="1" applyProtection="1">
      <alignment horizontal="right"/>
      <protection locked="0"/>
    </xf>
    <xf numFmtId="0" fontId="35" fillId="0" borderId="22" xfId="0" applyFont="1" applyBorder="1"/>
    <xf numFmtId="0" fontId="35" fillId="0" borderId="0" xfId="0" applyFont="1"/>
    <xf numFmtId="0" fontId="34" fillId="0" borderId="2" xfId="0" applyFont="1" applyBorder="1"/>
    <xf numFmtId="10" fontId="34" fillId="0" borderId="0" xfId="0" applyNumberFormat="1" applyFont="1"/>
    <xf numFmtId="0" fontId="34" fillId="0" borderId="34" xfId="0" applyFont="1" applyBorder="1" applyAlignment="1" applyProtection="1">
      <alignment horizontal="center"/>
      <protection locked="0"/>
    </xf>
    <xf numFmtId="164" fontId="35" fillId="0" borderId="4" xfId="0" applyNumberFormat="1" applyFont="1" applyBorder="1" applyProtection="1">
      <protection locked="0"/>
    </xf>
    <xf numFmtId="0" fontId="35" fillId="0" borderId="43" xfId="0" applyFont="1" applyBorder="1" applyProtection="1">
      <protection locked="0"/>
    </xf>
    <xf numFmtId="164" fontId="35" fillId="0" borderId="26" xfId="0" applyNumberFormat="1" applyFont="1" applyBorder="1" applyProtection="1">
      <protection locked="0"/>
    </xf>
    <xf numFmtId="0" fontId="35" fillId="0" borderId="4" xfId="0" applyFont="1" applyBorder="1" applyProtection="1">
      <protection locked="0"/>
    </xf>
    <xf numFmtId="164" fontId="35" fillId="0" borderId="38" xfId="0" applyNumberFormat="1" applyFont="1" applyBorder="1" applyProtection="1">
      <protection locked="0"/>
    </xf>
    <xf numFmtId="0" fontId="35" fillId="0" borderId="106" xfId="0" applyFont="1" applyBorder="1" applyProtection="1">
      <protection locked="0"/>
    </xf>
    <xf numFmtId="164" fontId="34" fillId="0" borderId="35" xfId="0" applyNumberFormat="1" applyFont="1" applyBorder="1" applyProtection="1">
      <protection locked="0"/>
    </xf>
    <xf numFmtId="0" fontId="35" fillId="0" borderId="111" xfId="0" applyFont="1" applyBorder="1" applyProtection="1">
      <protection locked="0"/>
    </xf>
    <xf numFmtId="164" fontId="35" fillId="0" borderId="90" xfId="0" applyNumberFormat="1" applyFont="1" applyBorder="1" applyProtection="1">
      <protection locked="0"/>
    </xf>
    <xf numFmtId="164" fontId="35" fillId="0" borderId="0" xfId="0" applyNumberFormat="1" applyFont="1"/>
    <xf numFmtId="165" fontId="34" fillId="0" borderId="0" xfId="0" applyNumberFormat="1" applyFont="1" applyAlignment="1">
      <alignment horizontal="center"/>
    </xf>
    <xf numFmtId="0" fontId="34" fillId="0" borderId="33" xfId="0" applyFont="1" applyBorder="1" applyProtection="1">
      <protection locked="0"/>
    </xf>
    <xf numFmtId="165" fontId="34" fillId="0" borderId="74" xfId="0" applyNumberFormat="1" applyFont="1" applyBorder="1" applyAlignment="1" applyProtection="1">
      <alignment horizontal="center"/>
      <protection locked="0"/>
    </xf>
    <xf numFmtId="165" fontId="34" fillId="0" borderId="35" xfId="0" applyNumberFormat="1" applyFont="1" applyBorder="1" applyAlignment="1" applyProtection="1">
      <alignment horizontal="center"/>
      <protection locked="0"/>
    </xf>
    <xf numFmtId="165" fontId="34" fillId="0" borderId="73" xfId="0" applyNumberFormat="1" applyFont="1" applyBorder="1" applyAlignment="1" applyProtection="1">
      <alignment horizontal="center"/>
      <protection locked="0"/>
    </xf>
    <xf numFmtId="165" fontId="34" fillId="2" borderId="44" xfId="0" applyNumberFormat="1" applyFont="1" applyFill="1" applyBorder="1" applyAlignment="1" applyProtection="1">
      <alignment horizontal="center"/>
      <protection locked="0"/>
    </xf>
    <xf numFmtId="0" fontId="35" fillId="0" borderId="10" xfId="0" applyFont="1" applyBorder="1" applyProtection="1">
      <protection locked="0"/>
    </xf>
    <xf numFmtId="165" fontId="34" fillId="0" borderId="9" xfId="0" applyNumberFormat="1" applyFont="1" applyBorder="1" applyAlignment="1" applyProtection="1">
      <alignment horizontal="center"/>
      <protection locked="0"/>
    </xf>
    <xf numFmtId="0" fontId="35" fillId="0" borderId="26" xfId="0" applyFont="1" applyBorder="1" applyProtection="1">
      <protection locked="0"/>
    </xf>
    <xf numFmtId="164" fontId="34" fillId="2" borderId="84" xfId="0" applyNumberFormat="1" applyFont="1" applyFill="1" applyBorder="1" applyProtection="1">
      <protection locked="0"/>
    </xf>
    <xf numFmtId="0" fontId="35" fillId="0" borderId="3" xfId="0" applyFont="1" applyBorder="1" applyProtection="1">
      <protection locked="0"/>
    </xf>
    <xf numFmtId="165" fontId="34" fillId="0" borderId="75" xfId="0" applyNumberFormat="1" applyFont="1" applyBorder="1" applyAlignment="1" applyProtection="1">
      <alignment horizontal="center"/>
      <protection locked="0"/>
    </xf>
    <xf numFmtId="0" fontId="35" fillId="0" borderId="39" xfId="0" applyFont="1" applyBorder="1" applyProtection="1">
      <protection locked="0"/>
    </xf>
    <xf numFmtId="0" fontId="35" fillId="0" borderId="51" xfId="0" applyFont="1" applyBorder="1" applyProtection="1">
      <protection locked="0"/>
    </xf>
    <xf numFmtId="164" fontId="34" fillId="2" borderId="85" xfId="0" applyNumberFormat="1" applyFont="1" applyFill="1" applyBorder="1" applyProtection="1">
      <protection locked="0"/>
    </xf>
    <xf numFmtId="0" fontId="35" fillId="0" borderId="33" xfId="0" applyFont="1" applyBorder="1" applyProtection="1">
      <protection locked="0"/>
    </xf>
    <xf numFmtId="164" fontId="34" fillId="0" borderId="74" xfId="0" applyNumberFormat="1" applyFont="1" applyBorder="1" applyAlignment="1" applyProtection="1">
      <alignment horizontal="right"/>
      <protection locked="0"/>
    </xf>
    <xf numFmtId="164" fontId="34" fillId="0" borderId="72" xfId="0" applyNumberFormat="1" applyFont="1" applyBorder="1" applyAlignment="1" applyProtection="1">
      <alignment horizontal="right"/>
      <protection locked="0"/>
    </xf>
    <xf numFmtId="164" fontId="34" fillId="0" borderId="34" xfId="0" applyNumberFormat="1" applyFont="1" applyBorder="1" applyAlignment="1" applyProtection="1">
      <alignment horizontal="right"/>
      <protection locked="0"/>
    </xf>
    <xf numFmtId="164" fontId="34" fillId="0" borderId="35" xfId="0" applyNumberFormat="1" applyFont="1" applyBorder="1" applyAlignment="1" applyProtection="1">
      <alignment horizontal="right"/>
      <protection locked="0"/>
    </xf>
    <xf numFmtId="164" fontId="34" fillId="2" borderId="44" xfId="0" applyNumberFormat="1" applyFont="1" applyFill="1" applyBorder="1" applyProtection="1">
      <protection locked="0"/>
    </xf>
    <xf numFmtId="165" fontId="34" fillId="0" borderId="33" xfId="0" applyNumberFormat="1" applyFont="1" applyBorder="1" applyAlignment="1" applyProtection="1">
      <alignment horizontal="center"/>
      <protection locked="0"/>
    </xf>
    <xf numFmtId="0" fontId="35" fillId="0" borderId="73" xfId="0" applyFont="1" applyBorder="1" applyProtection="1">
      <protection locked="0"/>
    </xf>
    <xf numFmtId="0" fontId="35" fillId="2" borderId="44" xfId="0" applyFont="1" applyFill="1" applyBorder="1" applyProtection="1">
      <protection locked="0"/>
    </xf>
    <xf numFmtId="0" fontId="35" fillId="0" borderId="27" xfId="0" applyFont="1" applyBorder="1" applyProtection="1">
      <protection locked="0"/>
    </xf>
    <xf numFmtId="0" fontId="35" fillId="0" borderId="28" xfId="0" applyFont="1" applyBorder="1" applyProtection="1">
      <protection locked="0"/>
    </xf>
    <xf numFmtId="0" fontId="35" fillId="0" borderId="68" xfId="0" applyFont="1" applyBorder="1" applyProtection="1">
      <protection locked="0"/>
    </xf>
    <xf numFmtId="165" fontId="34" fillId="0" borderId="27" xfId="0" applyNumberFormat="1" applyFont="1" applyBorder="1" applyAlignment="1" applyProtection="1">
      <alignment horizontal="center"/>
      <protection locked="0"/>
    </xf>
    <xf numFmtId="0" fontId="35" fillId="0" borderId="30" xfId="0" applyFont="1" applyBorder="1" applyProtection="1">
      <protection locked="0"/>
    </xf>
    <xf numFmtId="0" fontId="35" fillId="0" borderId="32" xfId="0" applyFont="1" applyBorder="1" applyProtection="1">
      <protection locked="0"/>
    </xf>
    <xf numFmtId="165" fontId="34" fillId="0" borderId="10" xfId="0" applyNumberFormat="1" applyFont="1" applyBorder="1" applyAlignment="1" applyProtection="1">
      <alignment horizontal="center"/>
      <protection locked="0"/>
    </xf>
    <xf numFmtId="0" fontId="35" fillId="0" borderId="21" xfId="0" applyFont="1" applyBorder="1" applyProtection="1">
      <protection locked="0"/>
    </xf>
    <xf numFmtId="165" fontId="34" fillId="0" borderId="21" xfId="0" applyNumberFormat="1" applyFont="1" applyBorder="1" applyAlignment="1" applyProtection="1">
      <alignment horizontal="center"/>
      <protection locked="0"/>
    </xf>
    <xf numFmtId="0" fontId="35" fillId="0" borderId="23" xfId="0" applyFont="1" applyBorder="1" applyProtection="1">
      <protection locked="0"/>
    </xf>
    <xf numFmtId="164" fontId="34" fillId="2" borderId="95" xfId="0" applyNumberFormat="1" applyFont="1" applyFill="1" applyBorder="1" applyProtection="1">
      <protection locked="0"/>
    </xf>
    <xf numFmtId="165" fontId="34" fillId="0" borderId="3" xfId="0" applyNumberFormat="1" applyFont="1" applyBorder="1" applyAlignment="1" applyProtection="1">
      <alignment horizontal="center"/>
      <protection locked="0"/>
    </xf>
    <xf numFmtId="164" fontId="34" fillId="2" borderId="87" xfId="0" applyNumberFormat="1" applyFont="1" applyFill="1" applyBorder="1" applyProtection="1">
      <protection locked="0"/>
    </xf>
    <xf numFmtId="164" fontId="34" fillId="0" borderId="33" xfId="0" applyNumberFormat="1" applyFont="1" applyBorder="1" applyAlignment="1" applyProtection="1">
      <alignment horizontal="right"/>
      <protection locked="0"/>
    </xf>
    <xf numFmtId="164" fontId="34" fillId="2" borderId="44" xfId="0" applyNumberFormat="1" applyFont="1" applyFill="1" applyBorder="1" applyAlignment="1" applyProtection="1">
      <alignment horizontal="right"/>
      <protection locked="0"/>
    </xf>
    <xf numFmtId="0" fontId="34" fillId="0" borderId="33" xfId="0" applyFont="1" applyBorder="1" applyAlignment="1" applyProtection="1">
      <alignment horizontal="center"/>
      <protection locked="0"/>
    </xf>
    <xf numFmtId="164" fontId="34" fillId="0" borderId="73" xfId="0" applyNumberFormat="1" applyFont="1" applyBorder="1" applyAlignment="1" applyProtection="1">
      <alignment horizontal="right"/>
      <protection locked="0"/>
    </xf>
    <xf numFmtId="0" fontId="35" fillId="2" borderId="33" xfId="0" applyFont="1" applyFill="1" applyBorder="1" applyProtection="1">
      <protection locked="0"/>
    </xf>
    <xf numFmtId="0" fontId="34" fillId="2" borderId="34" xfId="0" applyFont="1" applyFill="1" applyBorder="1" applyAlignment="1" applyProtection="1">
      <alignment horizontal="center"/>
      <protection locked="0"/>
    </xf>
    <xf numFmtId="0" fontId="35" fillId="2" borderId="65" xfId="0" applyFont="1" applyFill="1" applyBorder="1" applyProtection="1">
      <protection locked="0"/>
    </xf>
    <xf numFmtId="164" fontId="34" fillId="2" borderId="33" xfId="0" applyNumberFormat="1" applyFont="1" applyFill="1" applyBorder="1" applyAlignment="1" applyProtection="1">
      <alignment horizontal="right"/>
      <protection locked="0"/>
    </xf>
    <xf numFmtId="164" fontId="34" fillId="2" borderId="35" xfId="0" applyNumberFormat="1" applyFont="1" applyFill="1" applyBorder="1" applyAlignment="1" applyProtection="1">
      <alignment horizontal="right"/>
      <protection locked="0"/>
    </xf>
    <xf numFmtId="164" fontId="34" fillId="2" borderId="73" xfId="0" applyNumberFormat="1" applyFont="1" applyFill="1" applyBorder="1" applyAlignment="1" applyProtection="1">
      <alignment horizontal="right"/>
      <protection locked="0"/>
    </xf>
    <xf numFmtId="164" fontId="34" fillId="2" borderId="34" xfId="0" applyNumberFormat="1" applyFont="1" applyFill="1" applyBorder="1" applyAlignment="1" applyProtection="1">
      <alignment horizontal="right"/>
      <protection locked="0"/>
    </xf>
    <xf numFmtId="0" fontId="34" fillId="0" borderId="3" xfId="0" applyFont="1" applyBorder="1" applyProtection="1">
      <protection locked="0"/>
    </xf>
    <xf numFmtId="0" fontId="34" fillId="0" borderId="0" xfId="0" applyFont="1" applyAlignment="1" applyProtection="1">
      <alignment horizontal="center"/>
      <protection locked="0"/>
    </xf>
    <xf numFmtId="164" fontId="34" fillId="0" borderId="3" xfId="0" applyNumberFormat="1" applyFont="1" applyBorder="1" applyAlignment="1" applyProtection="1">
      <alignment horizontal="right"/>
      <protection locked="0"/>
    </xf>
    <xf numFmtId="164" fontId="34" fillId="0" borderId="12" xfId="0" applyNumberFormat="1" applyFont="1" applyBorder="1" applyAlignment="1" applyProtection="1">
      <alignment horizontal="right"/>
      <protection locked="0"/>
    </xf>
    <xf numFmtId="164" fontId="34" fillId="0" borderId="0" xfId="0" applyNumberFormat="1" applyFont="1" applyAlignment="1" applyProtection="1">
      <alignment horizontal="right"/>
      <protection locked="0"/>
    </xf>
    <xf numFmtId="164" fontId="34" fillId="0" borderId="51" xfId="0" applyNumberFormat="1" applyFont="1" applyBorder="1" applyAlignment="1" applyProtection="1">
      <alignment horizontal="right"/>
      <protection locked="0"/>
    </xf>
    <xf numFmtId="164" fontId="34" fillId="0" borderId="52" xfId="0" applyNumberFormat="1" applyFont="1" applyBorder="1" applyAlignment="1" applyProtection="1">
      <alignment horizontal="right"/>
      <protection locked="0"/>
    </xf>
    <xf numFmtId="164" fontId="35" fillId="0" borderId="9" xfId="0" applyNumberFormat="1" applyFont="1" applyBorder="1" applyAlignment="1" applyProtection="1">
      <alignment horizontal="right"/>
      <protection locked="0"/>
    </xf>
    <xf numFmtId="164" fontId="35" fillId="0" borderId="4" xfId="0" applyNumberFormat="1" applyFont="1" applyBorder="1" applyAlignment="1" applyProtection="1">
      <alignment horizontal="right"/>
      <protection locked="0"/>
    </xf>
    <xf numFmtId="164" fontId="35" fillId="0" borderId="26" xfId="0" applyNumberFormat="1" applyFont="1" applyBorder="1" applyAlignment="1" applyProtection="1">
      <alignment horizontal="right"/>
      <protection locked="0"/>
    </xf>
    <xf numFmtId="164" fontId="35" fillId="0" borderId="69" xfId="0" applyNumberFormat="1" applyFont="1" applyBorder="1" applyAlignment="1" applyProtection="1">
      <alignment horizontal="right"/>
      <protection locked="0"/>
    </xf>
    <xf numFmtId="164" fontId="35" fillId="0" borderId="23" xfId="0" applyNumberFormat="1" applyFont="1" applyBorder="1" applyAlignment="1" applyProtection="1">
      <alignment horizontal="right"/>
      <protection locked="0"/>
    </xf>
    <xf numFmtId="164" fontId="35" fillId="0" borderId="43" xfId="0" applyNumberFormat="1" applyFont="1" applyBorder="1" applyAlignment="1" applyProtection="1">
      <alignment horizontal="right"/>
      <protection locked="0"/>
    </xf>
    <xf numFmtId="0" fontId="34" fillId="2" borderId="33" xfId="0" applyFont="1" applyFill="1" applyBorder="1" applyProtection="1">
      <protection locked="0"/>
    </xf>
    <xf numFmtId="0" fontId="35" fillId="2" borderId="34" xfId="0" applyFont="1" applyFill="1" applyBorder="1" applyProtection="1">
      <protection locked="0"/>
    </xf>
    <xf numFmtId="164" fontId="34" fillId="2" borderId="72" xfId="0" applyNumberFormat="1" applyFont="1" applyFill="1" applyBorder="1" applyAlignment="1" applyProtection="1">
      <alignment horizontal="right"/>
      <protection locked="0"/>
    </xf>
    <xf numFmtId="164" fontId="34" fillId="2" borderId="86" xfId="0" applyNumberFormat="1" applyFont="1" applyFill="1" applyBorder="1" applyProtection="1">
      <protection locked="0"/>
    </xf>
    <xf numFmtId="165" fontId="34" fillId="0" borderId="44" xfId="0" applyNumberFormat="1" applyFont="1" applyBorder="1" applyAlignment="1" applyProtection="1">
      <alignment horizontal="center"/>
      <protection locked="0"/>
    </xf>
    <xf numFmtId="165" fontId="34" fillId="0" borderId="0" xfId="0" applyNumberFormat="1" applyFont="1" applyAlignment="1" applyProtection="1">
      <alignment horizontal="center"/>
      <protection locked="0"/>
    </xf>
    <xf numFmtId="165" fontId="35" fillId="0" borderId="0" xfId="0" applyNumberFormat="1" applyFont="1" applyProtection="1">
      <protection locked="0"/>
    </xf>
    <xf numFmtId="0" fontId="35" fillId="0" borderId="43" xfId="0" applyFont="1" applyBorder="1"/>
    <xf numFmtId="164" fontId="35" fillId="0" borderId="22" xfId="0" applyNumberFormat="1" applyFont="1" applyBorder="1"/>
    <xf numFmtId="164" fontId="35" fillId="0" borderId="64" xfId="0" applyNumberFormat="1" applyFont="1" applyBorder="1"/>
    <xf numFmtId="165" fontId="35" fillId="0" borderId="51" xfId="0" applyNumberFormat="1" applyFont="1" applyBorder="1" applyAlignment="1">
      <alignment horizontal="left"/>
    </xf>
    <xf numFmtId="165" fontId="35" fillId="0" borderId="0" xfId="0" applyNumberFormat="1" applyFont="1" applyAlignment="1">
      <alignment horizontal="center"/>
    </xf>
    <xf numFmtId="164" fontId="35" fillId="0" borderId="0" xfId="0" applyNumberFormat="1" applyFont="1" applyAlignment="1">
      <alignment horizontal="right"/>
    </xf>
    <xf numFmtId="0" fontId="35" fillId="0" borderId="51" xfId="0" applyFont="1" applyBorder="1"/>
    <xf numFmtId="164" fontId="35" fillId="0" borderId="52" xfId="0" applyNumberFormat="1" applyFont="1" applyBorder="1"/>
    <xf numFmtId="165" fontId="35" fillId="0" borderId="0" xfId="0" applyNumberFormat="1" applyFont="1"/>
    <xf numFmtId="164" fontId="34" fillId="0" borderId="44" xfId="0" applyNumberFormat="1" applyFont="1" applyBorder="1"/>
    <xf numFmtId="0" fontId="34" fillId="0" borderId="1" xfId="0" applyFont="1" applyBorder="1" applyProtection="1">
      <protection locked="0"/>
    </xf>
    <xf numFmtId="0" fontId="35" fillId="0" borderId="2" xfId="0" applyFont="1" applyBorder="1" applyProtection="1">
      <protection locked="0"/>
    </xf>
    <xf numFmtId="0" fontId="34" fillId="5" borderId="47" xfId="0" applyFont="1" applyFill="1" applyBorder="1" applyAlignment="1" applyProtection="1">
      <alignment horizontal="center"/>
      <protection locked="0"/>
    </xf>
    <xf numFmtId="0" fontId="34" fillId="5" borderId="54" xfId="0" applyFont="1" applyFill="1" applyBorder="1" applyAlignment="1" applyProtection="1">
      <alignment horizontal="center"/>
      <protection locked="0"/>
    </xf>
    <xf numFmtId="0" fontId="35" fillId="0" borderId="11" xfId="0" applyFont="1" applyBorder="1" applyProtection="1">
      <protection locked="0"/>
    </xf>
    <xf numFmtId="0" fontId="35" fillId="0" borderId="98" xfId="0" applyFont="1" applyBorder="1" applyProtection="1">
      <protection locked="0"/>
    </xf>
    <xf numFmtId="0" fontId="35" fillId="5" borderId="12" xfId="0" applyFont="1" applyFill="1" applyBorder="1" applyProtection="1">
      <protection locked="0"/>
    </xf>
    <xf numFmtId="0" fontId="35" fillId="5" borderId="100" xfId="0" applyFont="1" applyFill="1" applyBorder="1" applyProtection="1">
      <protection locked="0"/>
    </xf>
    <xf numFmtId="0" fontId="35" fillId="5" borderId="15" xfId="0" applyFont="1" applyFill="1" applyBorder="1" applyProtection="1">
      <protection locked="0"/>
    </xf>
    <xf numFmtId="0" fontId="35" fillId="0" borderId="37" xfId="0" applyFont="1" applyBorder="1" applyProtection="1">
      <protection locked="0"/>
    </xf>
    <xf numFmtId="0" fontId="35" fillId="5" borderId="38" xfId="0" applyFont="1" applyFill="1" applyBorder="1" applyProtection="1">
      <protection locked="0"/>
    </xf>
    <xf numFmtId="0" fontId="35" fillId="5" borderId="45" xfId="0" applyFont="1" applyFill="1" applyBorder="1" applyProtection="1">
      <protection locked="0"/>
    </xf>
    <xf numFmtId="0" fontId="36" fillId="0" borderId="0" xfId="0" applyFont="1" applyProtection="1">
      <protection locked="0"/>
    </xf>
    <xf numFmtId="0" fontId="37" fillId="0" borderId="0" xfId="0" applyFont="1" applyProtection="1">
      <protection locked="0"/>
    </xf>
    <xf numFmtId="0" fontId="35" fillId="4" borderId="12" xfId="0" applyFont="1" applyFill="1" applyBorder="1" applyProtection="1">
      <protection locked="0"/>
    </xf>
    <xf numFmtId="0" fontId="35" fillId="4" borderId="47" xfId="0" applyFont="1" applyFill="1" applyBorder="1" applyProtection="1">
      <protection locked="0"/>
    </xf>
    <xf numFmtId="0" fontId="35" fillId="4" borderId="100" xfId="0" applyFont="1" applyFill="1" applyBorder="1" applyProtection="1">
      <protection locked="0"/>
    </xf>
    <xf numFmtId="0" fontId="35" fillId="4" borderId="111" xfId="0" applyFont="1" applyFill="1" applyBorder="1" applyProtection="1">
      <protection locked="0"/>
    </xf>
    <xf numFmtId="0" fontId="35" fillId="4" borderId="15" xfId="0" applyFont="1" applyFill="1" applyBorder="1" applyProtection="1">
      <protection locked="0"/>
    </xf>
    <xf numFmtId="0" fontId="35" fillId="0" borderId="9" xfId="0" applyFont="1" applyBorder="1" applyProtection="1">
      <protection locked="0"/>
    </xf>
    <xf numFmtId="0" fontId="35" fillId="0" borderId="70" xfId="0" applyFont="1" applyBorder="1" applyProtection="1">
      <protection locked="0"/>
    </xf>
    <xf numFmtId="0" fontId="35" fillId="0" borderId="38" xfId="0" applyFont="1" applyBorder="1" applyProtection="1">
      <protection locked="0"/>
    </xf>
    <xf numFmtId="0" fontId="35" fillId="4" borderId="38" xfId="0" applyFont="1" applyFill="1" applyBorder="1" applyProtection="1">
      <protection locked="0"/>
    </xf>
    <xf numFmtId="0" fontId="35" fillId="4" borderId="45" xfId="0" applyFont="1" applyFill="1" applyBorder="1" applyProtection="1">
      <protection locked="0"/>
    </xf>
    <xf numFmtId="0" fontId="35" fillId="0" borderId="29" xfId="0" applyFont="1" applyBorder="1" applyProtection="1">
      <protection locked="0"/>
    </xf>
    <xf numFmtId="0" fontId="35" fillId="11" borderId="30" xfId="0" applyFont="1" applyFill="1" applyBorder="1" applyProtection="1">
      <protection locked="0"/>
    </xf>
    <xf numFmtId="0" fontId="35" fillId="11" borderId="38" xfId="0" applyFont="1" applyFill="1" applyBorder="1" applyProtection="1">
      <protection locked="0"/>
    </xf>
    <xf numFmtId="3" fontId="35" fillId="11" borderId="38" xfId="0" applyNumberFormat="1" applyFont="1" applyFill="1" applyBorder="1" applyProtection="1">
      <protection locked="0"/>
    </xf>
    <xf numFmtId="3" fontId="35" fillId="11" borderId="45" xfId="0" applyNumberFormat="1" applyFont="1" applyFill="1" applyBorder="1" applyProtection="1">
      <protection locked="0"/>
    </xf>
    <xf numFmtId="0" fontId="34" fillId="0" borderId="11" xfId="0" applyFont="1" applyBorder="1" applyProtection="1">
      <protection locked="0"/>
    </xf>
    <xf numFmtId="0" fontId="35" fillId="0" borderId="12" xfId="0" applyFont="1" applyBorder="1" applyAlignment="1" applyProtection="1">
      <alignment horizontal="center"/>
      <protection locked="0"/>
    </xf>
    <xf numFmtId="0" fontId="35" fillId="0" borderId="107" xfId="0" applyFont="1" applyBorder="1"/>
    <xf numFmtId="0" fontId="35" fillId="0" borderId="63" xfId="0" applyFont="1" applyBorder="1" applyProtection="1">
      <protection locked="0"/>
    </xf>
    <xf numFmtId="0" fontId="35" fillId="0" borderId="71" xfId="0" applyFont="1" applyBorder="1" applyProtection="1">
      <protection locked="0"/>
    </xf>
    <xf numFmtId="0" fontId="35" fillId="0" borderId="114" xfId="0" applyFont="1" applyBorder="1" applyProtection="1">
      <protection locked="0"/>
    </xf>
    <xf numFmtId="1" fontId="35" fillId="11" borderId="30" xfId="0" applyNumberFormat="1" applyFont="1" applyFill="1" applyBorder="1" applyProtection="1">
      <protection locked="0"/>
    </xf>
    <xf numFmtId="0" fontId="35" fillId="5" borderId="111" xfId="0" applyFont="1" applyFill="1" applyBorder="1" applyProtection="1">
      <protection locked="0"/>
    </xf>
    <xf numFmtId="0" fontId="34" fillId="0" borderId="0" xfId="0" applyFont="1" applyAlignment="1" applyProtection="1">
      <alignment horizontal="right"/>
      <protection locked="0"/>
    </xf>
    <xf numFmtId="0" fontId="35" fillId="0" borderId="112" xfId="0" applyFont="1" applyBorder="1" applyProtection="1">
      <protection locked="0"/>
    </xf>
    <xf numFmtId="0" fontId="35" fillId="0" borderId="110" xfId="0" applyFont="1" applyBorder="1" applyProtection="1">
      <protection locked="0"/>
    </xf>
    <xf numFmtId="1" fontId="35" fillId="11" borderId="90" xfId="0" applyNumberFormat="1" applyFont="1" applyFill="1" applyBorder="1" applyProtection="1">
      <protection locked="0"/>
    </xf>
    <xf numFmtId="0" fontId="1" fillId="0" borderId="3" xfId="0" applyFont="1" applyBorder="1" applyAlignment="1">
      <alignment horizontal="center"/>
    </xf>
    <xf numFmtId="168" fontId="1" fillId="0" borderId="0" xfId="0" applyNumberFormat="1" applyFont="1" applyAlignment="1">
      <alignment horizontal="center"/>
    </xf>
    <xf numFmtId="168" fontId="1" fillId="0" borderId="7" xfId="0" applyNumberFormat="1" applyFont="1" applyBorder="1" applyAlignment="1">
      <alignment horizontal="center"/>
    </xf>
    <xf numFmtId="3" fontId="2" fillId="8" borderId="0" xfId="0" applyNumberFormat="1" applyFont="1" applyFill="1" applyAlignment="1">
      <alignment horizontal="center"/>
    </xf>
    <xf numFmtId="168" fontId="2" fillId="8" borderId="0" xfId="0" applyNumberFormat="1" applyFont="1" applyFill="1" applyAlignment="1">
      <alignment horizontal="center"/>
    </xf>
    <xf numFmtId="164" fontId="2" fillId="0" borderId="108" xfId="0" applyNumberFormat="1" applyFont="1" applyBorder="1" applyAlignment="1">
      <alignment horizontal="center"/>
    </xf>
    <xf numFmtId="164" fontId="1" fillId="0" borderId="10" xfId="0" applyNumberFormat="1" applyFont="1" applyBorder="1" applyAlignment="1">
      <alignment horizontal="center"/>
    </xf>
    <xf numFmtId="164" fontId="1" fillId="0" borderId="25" xfId="0" applyNumberFormat="1" applyFont="1" applyBorder="1" applyAlignment="1">
      <alignment horizontal="center"/>
    </xf>
    <xf numFmtId="165" fontId="1" fillId="0" borderId="9" xfId="0" applyNumberFormat="1" applyFont="1" applyBorder="1"/>
    <xf numFmtId="165" fontId="1" fillId="0" borderId="4" xfId="0" applyNumberFormat="1" applyFont="1" applyBorder="1" applyAlignment="1">
      <alignment horizontal="center"/>
    </xf>
    <xf numFmtId="165" fontId="1" fillId="0" borderId="14" xfId="0" applyNumberFormat="1" applyFont="1" applyBorder="1" applyAlignment="1">
      <alignment horizontal="center"/>
    </xf>
    <xf numFmtId="164" fontId="1" fillId="0" borderId="84" xfId="0" applyNumberFormat="1" applyFont="1" applyBorder="1" applyAlignment="1">
      <alignment horizontal="center"/>
    </xf>
    <xf numFmtId="3" fontId="1" fillId="8" borderId="0" xfId="0" applyNumberFormat="1" applyFont="1" applyFill="1" applyAlignment="1">
      <alignment horizontal="center"/>
    </xf>
    <xf numFmtId="168" fontId="1" fillId="8" borderId="0" xfId="0" applyNumberFormat="1" applyFont="1" applyFill="1" applyAlignment="1">
      <alignment horizontal="center"/>
    </xf>
    <xf numFmtId="164" fontId="1" fillId="0" borderId="14" xfId="0" applyNumberFormat="1" applyFont="1" applyBorder="1" applyAlignment="1">
      <alignment horizontal="center"/>
    </xf>
    <xf numFmtId="164" fontId="0" fillId="0" borderId="9" xfId="0" applyNumberFormat="1" applyBorder="1" applyAlignment="1">
      <alignment horizontal="center"/>
    </xf>
    <xf numFmtId="164" fontId="2" fillId="0" borderId="9" xfId="0" applyNumberFormat="1" applyFont="1" applyBorder="1" applyAlignment="1">
      <alignment horizontal="center"/>
    </xf>
    <xf numFmtId="0" fontId="1" fillId="0" borderId="34" xfId="0" applyFont="1" applyBorder="1" applyProtection="1">
      <protection locked="0"/>
    </xf>
    <xf numFmtId="0" fontId="2" fillId="0" borderId="34" xfId="0" applyFont="1" applyBorder="1" applyAlignment="1" applyProtection="1">
      <alignment horizontal="center"/>
      <protection locked="0"/>
    </xf>
    <xf numFmtId="164" fontId="1" fillId="0" borderId="22" xfId="0" applyNumberFormat="1" applyFont="1" applyBorder="1" applyProtection="1">
      <protection locked="0"/>
    </xf>
    <xf numFmtId="0" fontId="2" fillId="0" borderId="34" xfId="0" applyFont="1" applyBorder="1"/>
    <xf numFmtId="0" fontId="1" fillId="0" borderId="34" xfId="0" applyFont="1" applyBorder="1"/>
    <xf numFmtId="0" fontId="1" fillId="0" borderId="65" xfId="0" applyFont="1" applyBorder="1"/>
    <xf numFmtId="0" fontId="1" fillId="0" borderId="108" xfId="0" applyFont="1" applyBorder="1"/>
    <xf numFmtId="0" fontId="1" fillId="0" borderId="25" xfId="0" applyFont="1" applyBorder="1"/>
    <xf numFmtId="0" fontId="1" fillId="0" borderId="14" xfId="0" applyFont="1" applyBorder="1"/>
    <xf numFmtId="0" fontId="1" fillId="0" borderId="28" xfId="0" applyFont="1" applyBorder="1"/>
    <xf numFmtId="0" fontId="1" fillId="0" borderId="68" xfId="0" applyFont="1" applyBorder="1"/>
    <xf numFmtId="164" fontId="1" fillId="0" borderId="112" xfId="0" applyNumberFormat="1" applyFont="1" applyBorder="1" applyProtection="1">
      <protection locked="0"/>
    </xf>
    <xf numFmtId="0" fontId="1" fillId="0" borderId="22" xfId="0" applyFont="1" applyBorder="1"/>
    <xf numFmtId="0" fontId="1" fillId="0" borderId="66" xfId="0" applyFont="1" applyBorder="1"/>
    <xf numFmtId="0" fontId="2" fillId="0" borderId="5" xfId="0" applyFont="1" applyBorder="1"/>
    <xf numFmtId="0" fontId="2" fillId="0" borderId="5" xfId="0" applyFont="1" applyBorder="1" applyAlignment="1">
      <alignment horizontal="right"/>
    </xf>
    <xf numFmtId="0" fontId="1" fillId="0" borderId="7" xfId="0" applyFont="1" applyBorder="1"/>
    <xf numFmtId="0" fontId="2" fillId="0" borderId="98" xfId="0" applyFont="1" applyBorder="1"/>
    <xf numFmtId="0" fontId="1" fillId="0" borderId="98" xfId="0" applyFont="1" applyBorder="1"/>
    <xf numFmtId="0" fontId="1" fillId="0" borderId="13" xfId="0" applyFont="1" applyBorder="1"/>
    <xf numFmtId="164" fontId="1" fillId="0" borderId="98" xfId="0" applyNumberFormat="1" applyFont="1" applyBorder="1"/>
    <xf numFmtId="0" fontId="1" fillId="0" borderId="46" xfId="0" applyFont="1" applyBorder="1"/>
    <xf numFmtId="0" fontId="1" fillId="0" borderId="67" xfId="0" applyFont="1" applyBorder="1"/>
    <xf numFmtId="164" fontId="1" fillId="0" borderId="5" xfId="0" applyNumberFormat="1" applyFont="1" applyBorder="1"/>
    <xf numFmtId="0" fontId="15" fillId="0" borderId="0" xfId="0" applyFont="1" applyAlignment="1" applyProtection="1">
      <alignment horizontal="left"/>
      <protection locked="0"/>
    </xf>
    <xf numFmtId="164" fontId="1" fillId="0" borderId="14" xfId="0" applyNumberFormat="1" applyFont="1" applyBorder="1" applyProtection="1">
      <protection locked="0"/>
    </xf>
    <xf numFmtId="164" fontId="1" fillId="0" borderId="110" xfId="0" applyNumberFormat="1" applyFont="1" applyBorder="1" applyProtection="1">
      <protection locked="0"/>
    </xf>
    <xf numFmtId="164" fontId="1" fillId="0" borderId="113" xfId="0" applyNumberFormat="1" applyFont="1" applyBorder="1" applyProtection="1">
      <protection locked="0"/>
    </xf>
    <xf numFmtId="164" fontId="1" fillId="0" borderId="112" xfId="0" applyNumberFormat="1" applyFont="1" applyBorder="1"/>
    <xf numFmtId="0" fontId="2" fillId="0" borderId="44" xfId="0" applyFont="1" applyBorder="1" applyAlignment="1" applyProtection="1">
      <alignment horizontal="center"/>
      <protection locked="0"/>
    </xf>
    <xf numFmtId="164" fontId="1" fillId="0" borderId="84" xfId="0" applyNumberFormat="1" applyFont="1" applyBorder="1" applyProtection="1">
      <protection locked="0"/>
    </xf>
    <xf numFmtId="0" fontId="1" fillId="0" borderId="85" xfId="0" applyFont="1" applyBorder="1" applyProtection="1">
      <protection locked="0"/>
    </xf>
    <xf numFmtId="164" fontId="1" fillId="0" borderId="95" xfId="0" applyNumberFormat="1" applyFont="1" applyBorder="1" applyProtection="1">
      <protection locked="0"/>
    </xf>
    <xf numFmtId="164" fontId="1" fillId="0" borderId="85" xfId="0" applyNumberFormat="1" applyFont="1" applyBorder="1" applyProtection="1">
      <protection locked="0"/>
    </xf>
    <xf numFmtId="0" fontId="1" fillId="0" borderId="84" xfId="0" applyFont="1" applyBorder="1" applyProtection="1">
      <protection locked="0"/>
    </xf>
    <xf numFmtId="164" fontId="1" fillId="0" borderId="86" xfId="0" applyNumberFormat="1" applyFont="1" applyBorder="1" applyProtection="1">
      <protection locked="0"/>
    </xf>
    <xf numFmtId="0" fontId="1" fillId="0" borderId="86" xfId="0" applyFont="1" applyBorder="1" applyProtection="1">
      <protection locked="0"/>
    </xf>
    <xf numFmtId="164" fontId="1" fillId="0" borderId="89" xfId="0" applyNumberFormat="1" applyFont="1" applyBorder="1" applyProtection="1">
      <protection locked="0"/>
    </xf>
    <xf numFmtId="164" fontId="1" fillId="0" borderId="99" xfId="0" applyNumberFormat="1" applyFont="1" applyBorder="1"/>
    <xf numFmtId="164" fontId="1" fillId="0" borderId="84" xfId="0" applyNumberFormat="1" applyFont="1" applyBorder="1"/>
    <xf numFmtId="164" fontId="1" fillId="0" borderId="89" xfId="0" applyNumberFormat="1" applyFont="1" applyBorder="1"/>
    <xf numFmtId="164" fontId="2" fillId="0" borderId="112" xfId="0" applyNumberFormat="1" applyFont="1" applyBorder="1" applyAlignment="1">
      <alignment horizontal="center"/>
    </xf>
    <xf numFmtId="164" fontId="1" fillId="0" borderId="0" xfId="0" applyNumberFormat="1" applyFont="1" applyAlignment="1">
      <alignment horizontal="center"/>
    </xf>
    <xf numFmtId="164" fontId="1" fillId="0" borderId="112" xfId="0" applyNumberFormat="1" applyFont="1" applyBorder="1" applyAlignment="1">
      <alignment horizontal="center"/>
    </xf>
    <xf numFmtId="164" fontId="1" fillId="0" borderId="99" xfId="0" applyNumberFormat="1" applyFont="1" applyBorder="1" applyProtection="1">
      <protection locked="0"/>
    </xf>
    <xf numFmtId="0" fontId="1" fillId="0" borderId="44" xfId="0" applyFont="1" applyBorder="1" applyProtection="1">
      <protection locked="0"/>
    </xf>
    <xf numFmtId="0" fontId="3" fillId="0" borderId="0" xfId="0" applyFont="1" applyAlignment="1">
      <alignment horizontal="center"/>
    </xf>
    <xf numFmtId="165" fontId="4" fillId="0" borderId="98" xfId="0" applyNumberFormat="1" applyFont="1" applyBorder="1" applyAlignment="1">
      <alignment horizontal="center"/>
    </xf>
    <xf numFmtId="165" fontId="4" fillId="0" borderId="112" xfId="0" applyNumberFormat="1" applyFont="1" applyBorder="1" applyAlignment="1">
      <alignment horizontal="center"/>
    </xf>
    <xf numFmtId="165" fontId="2" fillId="0" borderId="112" xfId="0" applyNumberFormat="1" applyFont="1" applyBorder="1" applyAlignment="1">
      <alignment horizontal="center"/>
    </xf>
    <xf numFmtId="165" fontId="4" fillId="0" borderId="110" xfId="0" applyNumberFormat="1" applyFont="1" applyBorder="1" applyAlignment="1">
      <alignment horizontal="center"/>
    </xf>
    <xf numFmtId="164" fontId="4" fillId="0" borderId="101" xfId="0" applyNumberFormat="1" applyFont="1" applyBorder="1" applyAlignment="1">
      <alignment horizontal="center"/>
    </xf>
    <xf numFmtId="164" fontId="4" fillId="0" borderId="9" xfId="0" applyNumberFormat="1" applyFont="1" applyBorder="1" applyAlignment="1">
      <alignment horizontal="center"/>
    </xf>
    <xf numFmtId="164" fontId="4" fillId="0" borderId="70" xfId="0" applyNumberFormat="1" applyFont="1" applyBorder="1" applyAlignment="1">
      <alignment horizontal="center"/>
    </xf>
    <xf numFmtId="165" fontId="4" fillId="0" borderId="24" xfId="0" applyNumberFormat="1" applyFont="1" applyBorder="1" applyAlignment="1">
      <alignment horizontal="center"/>
    </xf>
    <xf numFmtId="165" fontId="1" fillId="0" borderId="0" xfId="0" applyNumberFormat="1" applyFont="1" applyAlignment="1">
      <alignment horizontal="center"/>
    </xf>
    <xf numFmtId="165" fontId="4" fillId="0" borderId="86" xfId="0" applyNumberFormat="1" applyFont="1" applyBorder="1" applyAlignment="1">
      <alignment horizontal="center"/>
    </xf>
    <xf numFmtId="164" fontId="1" fillId="0" borderId="106" xfId="0" applyNumberFormat="1" applyFont="1" applyBorder="1" applyProtection="1">
      <protection locked="0"/>
    </xf>
    <xf numFmtId="0" fontId="38" fillId="0" borderId="41" xfId="0" applyFont="1" applyBorder="1" applyAlignment="1">
      <alignment horizontal="center" vertical="center"/>
    </xf>
    <xf numFmtId="0" fontId="0" fillId="0" borderId="0" xfId="0" applyAlignment="1">
      <alignment vertical="center"/>
    </xf>
    <xf numFmtId="0" fontId="6" fillId="0" borderId="0" xfId="0" applyFont="1" applyAlignment="1">
      <alignment vertical="center"/>
    </xf>
    <xf numFmtId="0" fontId="35" fillId="0" borderId="32" xfId="0" applyFont="1" applyBorder="1"/>
    <xf numFmtId="0" fontId="35" fillId="0" borderId="28" xfId="0" applyFont="1" applyBorder="1"/>
    <xf numFmtId="0" fontId="1" fillId="0" borderId="51" xfId="0" applyFont="1" applyBorder="1"/>
    <xf numFmtId="164" fontId="2" fillId="0" borderId="21" xfId="0" applyNumberFormat="1" applyFont="1" applyBorder="1"/>
    <xf numFmtId="164" fontId="2" fillId="0" borderId="23" xfId="0" applyNumberFormat="1" applyFont="1" applyBorder="1"/>
    <xf numFmtId="164" fontId="2" fillId="0" borderId="46" xfId="0" applyNumberFormat="1" applyFont="1" applyBorder="1"/>
    <xf numFmtId="164" fontId="2" fillId="0" borderId="91" xfId="0" applyNumberFormat="1" applyFont="1" applyBorder="1"/>
    <xf numFmtId="164" fontId="2" fillId="0" borderId="45" xfId="0" applyNumberFormat="1" applyFont="1" applyBorder="1"/>
    <xf numFmtId="0" fontId="2" fillId="0" borderId="33" xfId="0" applyFont="1" applyBorder="1" applyAlignment="1">
      <alignment horizontal="center"/>
    </xf>
    <xf numFmtId="0" fontId="2" fillId="0" borderId="72" xfId="0" applyFont="1" applyBorder="1" applyAlignment="1">
      <alignment horizontal="center"/>
    </xf>
    <xf numFmtId="0" fontId="2" fillId="0" borderId="36" xfId="0" applyFont="1" applyBorder="1" applyAlignment="1">
      <alignment horizontal="center"/>
    </xf>
    <xf numFmtId="164" fontId="2" fillId="0" borderId="27" xfId="0" applyNumberFormat="1" applyFont="1" applyBorder="1" applyAlignment="1">
      <alignment horizontal="right"/>
    </xf>
    <xf numFmtId="164" fontId="2" fillId="0" borderId="39" xfId="0" applyNumberFormat="1" applyFont="1" applyBorder="1" applyAlignment="1">
      <alignment horizontal="right"/>
    </xf>
    <xf numFmtId="164" fontId="2" fillId="0" borderId="51" xfId="0" applyNumberFormat="1" applyFont="1" applyBorder="1" applyAlignment="1">
      <alignment horizontal="right"/>
    </xf>
    <xf numFmtId="164" fontId="2" fillId="0" borderId="53" xfId="0" applyNumberFormat="1" applyFont="1" applyBorder="1" applyAlignment="1">
      <alignment horizontal="right"/>
    </xf>
    <xf numFmtId="164" fontId="0" fillId="0" borderId="51" xfId="0" applyNumberFormat="1" applyBorder="1"/>
    <xf numFmtId="164" fontId="0" fillId="0" borderId="53" xfId="0" applyNumberFormat="1" applyBorder="1"/>
    <xf numFmtId="14" fontId="2" fillId="0" borderId="74" xfId="0" applyNumberFormat="1" applyFont="1" applyBorder="1" applyAlignment="1">
      <alignment horizontal="center"/>
    </xf>
    <xf numFmtId="14" fontId="2" fillId="0" borderId="35" xfId="0" applyNumberFormat="1" applyFont="1" applyBorder="1" applyAlignment="1">
      <alignment horizontal="center"/>
    </xf>
    <xf numFmtId="14" fontId="2" fillId="0" borderId="73" xfId="0" applyNumberFormat="1" applyFont="1" applyBorder="1" applyAlignment="1">
      <alignment horizontal="center"/>
    </xf>
    <xf numFmtId="14" fontId="2" fillId="0" borderId="65" xfId="0" applyNumberFormat="1" applyFont="1" applyBorder="1" applyAlignment="1">
      <alignment horizontal="center"/>
    </xf>
    <xf numFmtId="165" fontId="0" fillId="0" borderId="9" xfId="0" applyNumberFormat="1" applyBorder="1"/>
    <xf numFmtId="165" fontId="0" fillId="0" borderId="4" xfId="0" applyNumberFormat="1" applyBorder="1"/>
    <xf numFmtId="165" fontId="0" fillId="0" borderId="26" xfId="0" applyNumberFormat="1" applyBorder="1"/>
    <xf numFmtId="165" fontId="0" fillId="0" borderId="14" xfId="0" applyNumberFormat="1" applyBorder="1"/>
    <xf numFmtId="165" fontId="0" fillId="0" borderId="69" xfId="0" applyNumberFormat="1" applyBorder="1"/>
    <xf numFmtId="165" fontId="0" fillId="0" borderId="23" xfId="0" applyNumberFormat="1" applyBorder="1"/>
    <xf numFmtId="165" fontId="0" fillId="0" borderId="43" xfId="0" applyNumberFormat="1" applyBorder="1"/>
    <xf numFmtId="165" fontId="0" fillId="0" borderId="66" xfId="0" applyNumberFormat="1" applyBorder="1"/>
    <xf numFmtId="165" fontId="2" fillId="0" borderId="35" xfId="0" applyNumberFormat="1" applyFont="1" applyBorder="1"/>
    <xf numFmtId="165" fontId="0" fillId="0" borderId="2" xfId="0" applyNumberFormat="1" applyBorder="1"/>
    <xf numFmtId="165" fontId="0" fillId="0" borderId="47" xfId="0" applyNumberFormat="1" applyBorder="1"/>
    <xf numFmtId="165" fontId="0" fillId="0" borderId="6" xfId="0" applyNumberFormat="1" applyBorder="1"/>
    <xf numFmtId="165" fontId="0" fillId="0" borderId="101" xfId="0" applyNumberFormat="1" applyBorder="1"/>
    <xf numFmtId="165" fontId="0" fillId="0" borderId="12" xfId="0" applyNumberFormat="1" applyBorder="1"/>
    <xf numFmtId="165" fontId="0" fillId="0" borderId="109" xfId="0" applyNumberFormat="1" applyBorder="1"/>
    <xf numFmtId="165" fontId="0" fillId="0" borderId="100" xfId="0" applyNumberFormat="1" applyBorder="1"/>
    <xf numFmtId="165" fontId="0" fillId="0" borderId="15" xfId="0" applyNumberFormat="1" applyBorder="1"/>
    <xf numFmtId="165" fontId="0" fillId="0" borderId="75" xfId="0" applyNumberFormat="1" applyBorder="1"/>
    <xf numFmtId="165" fontId="0" fillId="0" borderId="39" xfId="0" applyNumberFormat="1" applyBorder="1"/>
    <xf numFmtId="165" fontId="0" fillId="0" borderId="24" xfId="0" applyNumberFormat="1" applyBorder="1"/>
    <xf numFmtId="165" fontId="2" fillId="0" borderId="36" xfId="0" applyNumberFormat="1" applyFont="1" applyBorder="1"/>
    <xf numFmtId="165" fontId="2" fillId="0" borderId="70" xfId="0" applyNumberFormat="1" applyFont="1" applyBorder="1"/>
    <xf numFmtId="165" fontId="2" fillId="0" borderId="38" xfId="0" applyNumberFormat="1" applyFont="1" applyBorder="1"/>
    <xf numFmtId="165" fontId="2" fillId="0" borderId="91" xfId="0" applyNumberFormat="1" applyFont="1" applyBorder="1"/>
    <xf numFmtId="165" fontId="2" fillId="0" borderId="45" xfId="0" applyNumberFormat="1" applyFont="1" applyBorder="1"/>
    <xf numFmtId="14" fontId="2" fillId="0" borderId="39" xfId="0" applyNumberFormat="1" applyFont="1" applyBorder="1" applyAlignment="1">
      <alignment horizontal="center"/>
    </xf>
    <xf numFmtId="14" fontId="2" fillId="0" borderId="51" xfId="0" applyNumberFormat="1" applyFont="1" applyBorder="1" applyAlignment="1">
      <alignment horizontal="center"/>
    </xf>
    <xf numFmtId="14" fontId="2" fillId="0" borderId="53" xfId="0" applyNumberFormat="1" applyFont="1" applyBorder="1" applyAlignment="1">
      <alignment horizontal="center"/>
    </xf>
    <xf numFmtId="165" fontId="2" fillId="0" borderId="102" xfId="0" applyNumberFormat="1" applyFont="1" applyBorder="1"/>
    <xf numFmtId="165" fontId="2" fillId="0" borderId="30" xfId="0" applyNumberFormat="1" applyFont="1" applyBorder="1"/>
    <xf numFmtId="165" fontId="2" fillId="0" borderId="32" xfId="0" applyNumberFormat="1" applyFont="1" applyBorder="1"/>
    <xf numFmtId="165" fontId="2" fillId="0" borderId="31" xfId="0" applyNumberFormat="1" applyFont="1" applyBorder="1"/>
    <xf numFmtId="0" fontId="2" fillId="7" borderId="3" xfId="0" applyFont="1" applyFill="1" applyBorder="1"/>
    <xf numFmtId="0" fontId="2" fillId="7" borderId="102" xfId="0" applyFont="1" applyFill="1" applyBorder="1" applyAlignment="1">
      <alignment horizontal="center"/>
    </xf>
    <xf numFmtId="0" fontId="2" fillId="7" borderId="30" xfId="0" applyFont="1" applyFill="1" applyBorder="1" applyAlignment="1">
      <alignment horizontal="center"/>
    </xf>
    <xf numFmtId="0" fontId="2" fillId="7" borderId="32" xfId="0" applyFont="1" applyFill="1" applyBorder="1" applyAlignment="1">
      <alignment horizontal="center"/>
    </xf>
    <xf numFmtId="0" fontId="2" fillId="7" borderId="68" xfId="0" applyFont="1" applyFill="1" applyBorder="1" applyAlignment="1">
      <alignment horizontal="center"/>
    </xf>
    <xf numFmtId="0" fontId="2" fillId="0" borderId="33" xfId="0" applyFont="1" applyBorder="1"/>
    <xf numFmtId="14" fontId="2" fillId="0" borderId="75" xfId="0" applyNumberFormat="1" applyFont="1" applyBorder="1" applyAlignment="1">
      <alignment horizontal="center"/>
    </xf>
    <xf numFmtId="0" fontId="2" fillId="0" borderId="74" xfId="0" applyFont="1" applyBorder="1" applyAlignment="1">
      <alignment horizontal="center"/>
    </xf>
    <xf numFmtId="0" fontId="2" fillId="0" borderId="73" xfId="0" applyFont="1" applyBorder="1" applyAlignment="1">
      <alignment horizontal="center"/>
    </xf>
    <xf numFmtId="0" fontId="2" fillId="12" borderId="3" xfId="0" applyFont="1" applyFill="1" applyBorder="1"/>
    <xf numFmtId="0" fontId="2" fillId="12" borderId="27" xfId="0" applyFont="1" applyFill="1" applyBorder="1" applyAlignment="1">
      <alignment horizontal="center"/>
    </xf>
    <xf numFmtId="0" fontId="2" fillId="12" borderId="30" xfId="0" applyFont="1" applyFill="1" applyBorder="1" applyAlignment="1">
      <alignment horizontal="center"/>
    </xf>
    <xf numFmtId="0" fontId="2" fillId="12" borderId="31" xfId="0" applyFont="1" applyFill="1" applyBorder="1" applyAlignment="1">
      <alignment horizontal="center"/>
    </xf>
    <xf numFmtId="165" fontId="0" fillId="0" borderId="33" xfId="0" applyNumberFormat="1" applyBorder="1"/>
    <xf numFmtId="165" fontId="0" fillId="0" borderId="35" xfId="0" applyNumberFormat="1" applyBorder="1"/>
    <xf numFmtId="165" fontId="0" fillId="0" borderId="65" xfId="0" applyNumberFormat="1" applyBorder="1"/>
    <xf numFmtId="165" fontId="0" fillId="0" borderId="11" xfId="0" applyNumberFormat="1" applyBorder="1"/>
    <xf numFmtId="165" fontId="0" fillId="0" borderId="13" xfId="0" applyNumberFormat="1" applyBorder="1"/>
    <xf numFmtId="14" fontId="2" fillId="0" borderId="33" xfId="0" applyNumberFormat="1" applyFont="1" applyBorder="1" applyAlignment="1">
      <alignment horizontal="center"/>
    </xf>
    <xf numFmtId="14" fontId="2" fillId="0" borderId="36" xfId="0" applyNumberFormat="1" applyFont="1" applyBorder="1" applyAlignment="1">
      <alignment horizontal="center"/>
    </xf>
    <xf numFmtId="14" fontId="2" fillId="0" borderId="3" xfId="0" applyNumberFormat="1" applyFont="1" applyBorder="1" applyAlignment="1">
      <alignment horizontal="center"/>
    </xf>
    <xf numFmtId="14" fontId="2" fillId="0" borderId="7" xfId="0" applyNumberFormat="1" applyFont="1" applyBorder="1" applyAlignment="1">
      <alignment horizontal="center"/>
    </xf>
    <xf numFmtId="0" fontId="3" fillId="4" borderId="4" xfId="0" applyFont="1" applyFill="1" applyBorder="1"/>
    <xf numFmtId="0" fontId="2" fillId="4" borderId="3" xfId="0" applyFont="1" applyFill="1" applyBorder="1"/>
    <xf numFmtId="0" fontId="0" fillId="4" borderId="0" xfId="0" applyFill="1"/>
    <xf numFmtId="0" fontId="2" fillId="4" borderId="27" xfId="0" applyFont="1" applyFill="1" applyBorder="1" applyAlignment="1">
      <alignment horizontal="center"/>
    </xf>
    <xf numFmtId="0" fontId="2" fillId="4" borderId="39" xfId="0" applyFont="1" applyFill="1" applyBorder="1" applyAlignment="1">
      <alignment horizontal="center"/>
    </xf>
    <xf numFmtId="0" fontId="2" fillId="4" borderId="52" xfId="0" applyFont="1" applyFill="1" applyBorder="1" applyAlignment="1">
      <alignment horizontal="center"/>
    </xf>
    <xf numFmtId="0" fontId="2" fillId="4" borderId="53" xfId="0" applyFont="1" applyFill="1" applyBorder="1" applyAlignment="1">
      <alignment horizontal="center"/>
    </xf>
    <xf numFmtId="0" fontId="0" fillId="4" borderId="33" xfId="0" applyFill="1" applyBorder="1"/>
    <xf numFmtId="0" fontId="2" fillId="4" borderId="34" xfId="0" applyFont="1" applyFill="1" applyBorder="1" applyAlignment="1">
      <alignment horizontal="right"/>
    </xf>
    <xf numFmtId="164" fontId="2" fillId="4" borderId="33" xfId="0" applyNumberFormat="1" applyFont="1" applyFill="1" applyBorder="1"/>
    <xf numFmtId="164" fontId="2" fillId="4" borderId="35" xfId="0" applyNumberFormat="1" applyFont="1" applyFill="1" applyBorder="1"/>
    <xf numFmtId="164" fontId="2" fillId="4" borderId="36" xfId="0" applyNumberFormat="1" applyFont="1" applyFill="1" applyBorder="1"/>
    <xf numFmtId="164" fontId="2" fillId="4" borderId="72" xfId="0" applyNumberFormat="1" applyFont="1" applyFill="1" applyBorder="1"/>
    <xf numFmtId="164" fontId="2" fillId="4" borderId="34" xfId="0" applyNumberFormat="1" applyFont="1" applyFill="1" applyBorder="1"/>
    <xf numFmtId="164" fontId="2" fillId="4" borderId="73" xfId="0" applyNumberFormat="1" applyFont="1" applyFill="1" applyBorder="1"/>
    <xf numFmtId="0" fontId="0" fillId="4" borderId="1" xfId="0" applyFill="1" applyBorder="1"/>
    <xf numFmtId="0" fontId="2" fillId="4" borderId="0" xfId="0" applyFont="1" applyFill="1" applyAlignment="1">
      <alignment horizontal="center"/>
    </xf>
    <xf numFmtId="164" fontId="2" fillId="4" borderId="27" xfId="0" applyNumberFormat="1" applyFont="1" applyFill="1" applyBorder="1"/>
    <xf numFmtId="164" fontId="2" fillId="4" borderId="39" xfId="0" applyNumberFormat="1" applyFont="1" applyFill="1" applyBorder="1"/>
    <xf numFmtId="164" fontId="2" fillId="4" borderId="2" xfId="0" applyNumberFormat="1" applyFont="1" applyFill="1" applyBorder="1"/>
    <xf numFmtId="164" fontId="2" fillId="4" borderId="61" xfId="0" applyNumberFormat="1" applyFont="1" applyFill="1" applyBorder="1"/>
    <xf numFmtId="164" fontId="2" fillId="4" borderId="54" xfId="0" applyNumberFormat="1" applyFont="1" applyFill="1" applyBorder="1"/>
    <xf numFmtId="0" fontId="2" fillId="12" borderId="33" xfId="0" applyFont="1" applyFill="1" applyBorder="1" applyAlignment="1">
      <alignment horizontal="right"/>
    </xf>
    <xf numFmtId="165" fontId="2" fillId="12" borderId="33" xfId="0" applyNumberFormat="1" applyFont="1" applyFill="1" applyBorder="1"/>
    <xf numFmtId="165" fontId="2" fillId="12" borderId="35" xfId="0" applyNumberFormat="1" applyFont="1" applyFill="1" applyBorder="1"/>
    <xf numFmtId="165" fontId="2" fillId="12" borderId="36" xfId="0" applyNumberFormat="1" applyFont="1" applyFill="1" applyBorder="1"/>
    <xf numFmtId="165" fontId="2" fillId="12" borderId="65" xfId="0" applyNumberFormat="1" applyFont="1" applyFill="1" applyBorder="1"/>
    <xf numFmtId="0" fontId="2" fillId="12" borderId="33" xfId="0" applyFont="1" applyFill="1" applyBorder="1" applyAlignment="1">
      <alignment horizontal="center"/>
    </xf>
    <xf numFmtId="0" fontId="2" fillId="7" borderId="33" xfId="0" applyFont="1" applyFill="1" applyBorder="1" applyAlignment="1">
      <alignment horizontal="right"/>
    </xf>
    <xf numFmtId="165" fontId="2" fillId="7" borderId="74" xfId="0" applyNumberFormat="1" applyFont="1" applyFill="1" applyBorder="1"/>
    <xf numFmtId="165" fontId="2" fillId="7" borderId="35" xfId="0" applyNumberFormat="1" applyFont="1" applyFill="1" applyBorder="1"/>
    <xf numFmtId="165" fontId="2" fillId="7" borderId="73" xfId="0" applyNumberFormat="1" applyFont="1" applyFill="1" applyBorder="1"/>
    <xf numFmtId="165" fontId="2" fillId="7" borderId="65" xfId="0" applyNumberFormat="1" applyFont="1" applyFill="1" applyBorder="1"/>
    <xf numFmtId="165" fontId="2" fillId="7" borderId="36" xfId="0" applyNumberFormat="1" applyFont="1" applyFill="1" applyBorder="1"/>
    <xf numFmtId="0" fontId="2" fillId="7" borderId="11" xfId="0" applyFont="1" applyFill="1" applyBorder="1" applyAlignment="1">
      <alignment horizontal="center"/>
    </xf>
    <xf numFmtId="165" fontId="2" fillId="7" borderId="101" xfId="0" applyNumberFormat="1" applyFont="1" applyFill="1" applyBorder="1"/>
    <xf numFmtId="165" fontId="2" fillId="7" borderId="12" xfId="0" applyNumberFormat="1" applyFont="1" applyFill="1" applyBorder="1"/>
    <xf numFmtId="165" fontId="2" fillId="7" borderId="109" xfId="0" applyNumberFormat="1" applyFont="1" applyFill="1" applyBorder="1"/>
    <xf numFmtId="165" fontId="2" fillId="7" borderId="100" xfId="0" applyNumberFormat="1" applyFont="1" applyFill="1" applyBorder="1"/>
    <xf numFmtId="164" fontId="35" fillId="0" borderId="52" xfId="0" applyNumberFormat="1" applyFont="1" applyBorder="1" applyAlignment="1">
      <alignment horizontal="right"/>
    </xf>
    <xf numFmtId="0" fontId="2" fillId="13" borderId="44" xfId="0" applyFont="1" applyFill="1" applyBorder="1" applyAlignment="1">
      <alignment horizontal="center"/>
    </xf>
    <xf numFmtId="164" fontId="2" fillId="13" borderId="85" xfId="0" applyNumberFormat="1" applyFont="1" applyFill="1" applyBorder="1"/>
    <xf numFmtId="164" fontId="2" fillId="13" borderId="84" xfId="0" applyNumberFormat="1" applyFont="1" applyFill="1" applyBorder="1"/>
    <xf numFmtId="164" fontId="2" fillId="13" borderId="86" xfId="0" applyNumberFormat="1" applyFont="1" applyFill="1" applyBorder="1"/>
    <xf numFmtId="164" fontId="2" fillId="13" borderId="44" xfId="0" applyNumberFormat="1" applyFont="1" applyFill="1" applyBorder="1"/>
    <xf numFmtId="164" fontId="2" fillId="13" borderId="44" xfId="0" applyNumberFormat="1" applyFont="1" applyFill="1" applyBorder="1" applyAlignment="1">
      <alignment horizontal="center"/>
    </xf>
    <xf numFmtId="164" fontId="2" fillId="13" borderId="89" xfId="0" applyNumberFormat="1" applyFont="1" applyFill="1" applyBorder="1"/>
    <xf numFmtId="164" fontId="2" fillId="13" borderId="89" xfId="0" applyNumberFormat="1" applyFont="1" applyFill="1" applyBorder="1" applyAlignment="1">
      <alignment horizontal="center"/>
    </xf>
    <xf numFmtId="164" fontId="2" fillId="13" borderId="88" xfId="0" applyNumberFormat="1" applyFont="1" applyFill="1" applyBorder="1"/>
    <xf numFmtId="0" fontId="1" fillId="13" borderId="34" xfId="0" applyFont="1" applyFill="1" applyBorder="1"/>
    <xf numFmtId="0" fontId="2" fillId="13" borderId="34" xfId="0" applyFont="1" applyFill="1" applyBorder="1" applyAlignment="1">
      <alignment horizontal="right"/>
    </xf>
    <xf numFmtId="0" fontId="1" fillId="13" borderId="65" xfId="0" applyFont="1" applyFill="1" applyBorder="1"/>
    <xf numFmtId="164" fontId="2" fillId="13" borderId="44" xfId="0" applyNumberFormat="1" applyFont="1" applyFill="1" applyBorder="1" applyProtection="1">
      <protection locked="0"/>
    </xf>
    <xf numFmtId="0" fontId="2" fillId="13" borderId="34" xfId="0" applyFont="1" applyFill="1" applyBorder="1" applyAlignment="1">
      <alignment horizontal="left"/>
    </xf>
    <xf numFmtId="164" fontId="2" fillId="13" borderId="72" xfId="0" applyNumberFormat="1" applyFont="1" applyFill="1" applyBorder="1"/>
    <xf numFmtId="0" fontId="2" fillId="13" borderId="5" xfId="0" applyFont="1" applyFill="1" applyBorder="1"/>
    <xf numFmtId="0" fontId="1" fillId="13" borderId="5" xfId="0" applyFont="1" applyFill="1" applyBorder="1"/>
    <xf numFmtId="0" fontId="1" fillId="13" borderId="8" xfId="0" applyFont="1" applyFill="1" applyBorder="1"/>
    <xf numFmtId="164" fontId="1" fillId="13" borderId="89" xfId="0" applyNumberFormat="1" applyFont="1" applyFill="1" applyBorder="1"/>
    <xf numFmtId="164" fontId="1" fillId="13" borderId="5" xfId="0" applyNumberFormat="1" applyFont="1" applyFill="1" applyBorder="1"/>
    <xf numFmtId="0" fontId="29" fillId="5" borderId="101" xfId="0" applyFont="1" applyFill="1" applyBorder="1" applyAlignment="1">
      <alignment horizontal="left"/>
    </xf>
    <xf numFmtId="0" fontId="5" fillId="5" borderId="12" xfId="0" applyFont="1" applyFill="1" applyBorder="1" applyAlignment="1">
      <alignment horizontal="center"/>
    </xf>
    <xf numFmtId="166" fontId="5" fillId="5" borderId="12" xfId="0" applyNumberFormat="1" applyFont="1" applyFill="1" applyBorder="1" applyAlignment="1">
      <alignment horizontal="right"/>
    </xf>
    <xf numFmtId="166" fontId="5" fillId="5" borderId="100" xfId="0" applyNumberFormat="1" applyFont="1" applyFill="1" applyBorder="1" applyAlignment="1">
      <alignment horizontal="right"/>
    </xf>
    <xf numFmtId="0" fontId="29" fillId="5" borderId="9" xfId="0" applyFont="1" applyFill="1" applyBorder="1" applyAlignment="1">
      <alignment horizontal="left"/>
    </xf>
    <xf numFmtId="0" fontId="5" fillId="5" borderId="4" xfId="0" applyFont="1" applyFill="1" applyBorder="1" applyAlignment="1">
      <alignment horizontal="center"/>
    </xf>
    <xf numFmtId="165" fontId="5" fillId="5" borderId="4" xfId="0" applyNumberFormat="1" applyFont="1" applyFill="1" applyBorder="1" applyAlignment="1">
      <alignment horizontal="right"/>
    </xf>
    <xf numFmtId="165" fontId="5" fillId="5" borderId="15" xfId="0" applyNumberFormat="1" applyFont="1" applyFill="1" applyBorder="1" applyAlignment="1">
      <alignment horizontal="right"/>
    </xf>
    <xf numFmtId="0" fontId="29" fillId="5" borderId="70" xfId="0" applyFont="1" applyFill="1" applyBorder="1" applyAlignment="1">
      <alignment horizontal="left"/>
    </xf>
    <xf numFmtId="0" fontId="5" fillId="5" borderId="38" xfId="0" applyFont="1" applyFill="1" applyBorder="1" applyAlignment="1">
      <alignment horizontal="center"/>
    </xf>
    <xf numFmtId="164" fontId="29" fillId="5" borderId="38" xfId="0" applyNumberFormat="1" applyFont="1" applyFill="1" applyBorder="1"/>
    <xf numFmtId="164" fontId="29" fillId="5" borderId="45" xfId="0" applyNumberFormat="1" applyFont="1" applyFill="1" applyBorder="1"/>
    <xf numFmtId="0" fontId="29" fillId="5" borderId="101" xfId="0" applyFont="1" applyFill="1" applyBorder="1"/>
    <xf numFmtId="0" fontId="28" fillId="5" borderId="12" xfId="0" applyFont="1" applyFill="1" applyBorder="1" applyAlignment="1">
      <alignment horizontal="center"/>
    </xf>
    <xf numFmtId="3" fontId="28" fillId="5" borderId="12" xfId="0" applyNumberFormat="1" applyFont="1" applyFill="1" applyBorder="1" applyAlignment="1">
      <alignment horizontal="right"/>
    </xf>
    <xf numFmtId="3" fontId="28" fillId="5" borderId="100" xfId="0" applyNumberFormat="1" applyFont="1" applyFill="1" applyBorder="1" applyAlignment="1">
      <alignment horizontal="right"/>
    </xf>
    <xf numFmtId="0" fontId="29" fillId="5" borderId="9" xfId="0" applyFont="1" applyFill="1" applyBorder="1"/>
    <xf numFmtId="0" fontId="28" fillId="5" borderId="4" xfId="0" applyFont="1" applyFill="1" applyBorder="1" applyAlignment="1">
      <alignment horizontal="center"/>
    </xf>
    <xf numFmtId="165" fontId="28" fillId="5" borderId="4" xfId="0" applyNumberFormat="1" applyFont="1" applyFill="1" applyBorder="1"/>
    <xf numFmtId="165" fontId="28" fillId="5" borderId="15" xfId="0" applyNumberFormat="1" applyFont="1" applyFill="1" applyBorder="1"/>
    <xf numFmtId="0" fontId="29" fillId="5" borderId="70" xfId="0" applyFont="1" applyFill="1" applyBorder="1"/>
    <xf numFmtId="0" fontId="28" fillId="5" borderId="38" xfId="0" applyFont="1" applyFill="1" applyBorder="1" applyAlignment="1">
      <alignment horizontal="center"/>
    </xf>
    <xf numFmtId="164" fontId="28" fillId="5" borderId="38" xfId="0" applyNumberFormat="1" applyFont="1" applyFill="1" applyBorder="1"/>
    <xf numFmtId="164" fontId="28" fillId="5" borderId="45" xfId="0" applyNumberFormat="1" applyFont="1" applyFill="1" applyBorder="1"/>
    <xf numFmtId="0" fontId="29" fillId="5" borderId="11" xfId="0" applyFont="1" applyFill="1" applyBorder="1"/>
    <xf numFmtId="0" fontId="28" fillId="5" borderId="98" xfId="0" applyFont="1" applyFill="1" applyBorder="1" applyAlignment="1">
      <alignment horizontal="center"/>
    </xf>
    <xf numFmtId="165" fontId="28" fillId="5" borderId="98" xfId="0" applyNumberFormat="1" applyFont="1" applyFill="1" applyBorder="1"/>
    <xf numFmtId="165" fontId="28" fillId="5" borderId="13" xfId="0" applyNumberFormat="1" applyFont="1" applyFill="1" applyBorder="1"/>
    <xf numFmtId="0" fontId="29" fillId="5" borderId="37" xfId="0" applyFont="1" applyFill="1" applyBorder="1"/>
    <xf numFmtId="0" fontId="28" fillId="5" borderId="46" xfId="0" applyFont="1" applyFill="1" applyBorder="1" applyAlignment="1">
      <alignment horizontal="center"/>
    </xf>
    <xf numFmtId="166" fontId="28" fillId="5" borderId="12" xfId="0" applyNumberFormat="1" applyFont="1" applyFill="1" applyBorder="1" applyAlignment="1">
      <alignment horizontal="right"/>
    </xf>
    <xf numFmtId="166" fontId="28" fillId="5" borderId="100" xfId="0" applyNumberFormat="1" applyFont="1" applyFill="1" applyBorder="1" applyAlignment="1">
      <alignment horizontal="right"/>
    </xf>
    <xf numFmtId="165" fontId="28" fillId="5" borderId="4" xfId="0" applyNumberFormat="1" applyFont="1" applyFill="1" applyBorder="1" applyAlignment="1">
      <alignment horizontal="right"/>
    </xf>
    <xf numFmtId="165" fontId="28" fillId="5" borderId="15" xfId="0" applyNumberFormat="1" applyFont="1" applyFill="1" applyBorder="1" applyAlignment="1">
      <alignment horizontal="right"/>
    </xf>
    <xf numFmtId="0" fontId="4" fillId="4" borderId="39" xfId="0" applyFont="1" applyFill="1" applyBorder="1" applyProtection="1">
      <protection locked="0"/>
    </xf>
    <xf numFmtId="0" fontId="4" fillId="4" borderId="30" xfId="0" applyFont="1" applyFill="1" applyBorder="1" applyProtection="1">
      <protection locked="0"/>
    </xf>
    <xf numFmtId="0" fontId="2" fillId="4" borderId="0" xfId="0" applyFont="1" applyFill="1" applyProtection="1">
      <protection locked="0"/>
    </xf>
    <xf numFmtId="3" fontId="28" fillId="5" borderId="98" xfId="0" applyNumberFormat="1" applyFont="1" applyFill="1" applyBorder="1"/>
    <xf numFmtId="3" fontId="28" fillId="5" borderId="13" xfId="0" applyNumberFormat="1" applyFont="1" applyFill="1" applyBorder="1"/>
    <xf numFmtId="0" fontId="29" fillId="5" borderId="10" xfId="0" applyFont="1" applyFill="1" applyBorder="1"/>
    <xf numFmtId="0" fontId="28" fillId="5" borderId="25" xfId="0" applyFont="1" applyFill="1" applyBorder="1" applyAlignment="1">
      <alignment horizontal="center"/>
    </xf>
    <xf numFmtId="165" fontId="28" fillId="5" borderId="25" xfId="0" applyNumberFormat="1" applyFont="1" applyFill="1" applyBorder="1"/>
    <xf numFmtId="165" fontId="28" fillId="5" borderId="14" xfId="0" applyNumberFormat="1" applyFont="1" applyFill="1" applyBorder="1"/>
    <xf numFmtId="164" fontId="28" fillId="5" borderId="46" xfId="0" applyNumberFormat="1" applyFont="1" applyFill="1" applyBorder="1"/>
    <xf numFmtId="164" fontId="28" fillId="5" borderId="67" xfId="0" applyNumberFormat="1" applyFont="1" applyFill="1" applyBorder="1"/>
    <xf numFmtId="2" fontId="39" fillId="0" borderId="19" xfId="0" applyNumberFormat="1" applyFont="1" applyBorder="1" applyAlignment="1" applyProtection="1">
      <alignment horizontal="left"/>
      <protection locked="0"/>
    </xf>
    <xf numFmtId="0" fontId="9" fillId="5" borderId="48" xfId="0" applyFont="1" applyFill="1" applyBorder="1" applyProtection="1">
      <protection locked="0"/>
    </xf>
    <xf numFmtId="0" fontId="2" fillId="14" borderId="34" xfId="0" applyFont="1" applyFill="1" applyBorder="1" applyAlignment="1">
      <alignment horizontal="left"/>
    </xf>
    <xf numFmtId="0" fontId="2" fillId="14" borderId="34" xfId="0" applyFont="1" applyFill="1" applyBorder="1"/>
    <xf numFmtId="0" fontId="2" fillId="14" borderId="65" xfId="0" applyFont="1" applyFill="1" applyBorder="1"/>
    <xf numFmtId="164" fontId="2" fillId="14" borderId="44" xfId="0" applyNumberFormat="1" applyFont="1" applyFill="1" applyBorder="1" applyProtection="1">
      <protection locked="0"/>
    </xf>
    <xf numFmtId="164" fontId="2" fillId="14" borderId="72" xfId="0" applyNumberFormat="1" applyFont="1" applyFill="1" applyBorder="1" applyProtection="1">
      <protection locked="0"/>
    </xf>
    <xf numFmtId="0" fontId="2" fillId="14" borderId="34" xfId="0" applyFont="1" applyFill="1" applyBorder="1" applyAlignment="1">
      <alignment horizontal="right"/>
    </xf>
    <xf numFmtId="164" fontId="2" fillId="14" borderId="44" xfId="0" applyNumberFormat="1" applyFont="1" applyFill="1" applyBorder="1"/>
    <xf numFmtId="164" fontId="2" fillId="14" borderId="34" xfId="0" applyNumberFormat="1" applyFont="1" applyFill="1" applyBorder="1"/>
    <xf numFmtId="0" fontId="2" fillId="6" borderId="34" xfId="0" applyFont="1" applyFill="1" applyBorder="1"/>
    <xf numFmtId="0" fontId="2" fillId="6" borderId="34" xfId="0" applyFont="1" applyFill="1" applyBorder="1" applyAlignment="1">
      <alignment horizontal="right"/>
    </xf>
    <xf numFmtId="0" fontId="2" fillId="6" borderId="65" xfId="0" applyFont="1" applyFill="1" applyBorder="1"/>
    <xf numFmtId="164" fontId="2" fillId="6" borderId="44" xfId="0" applyNumberFormat="1" applyFont="1" applyFill="1" applyBorder="1"/>
    <xf numFmtId="164" fontId="2" fillId="6" borderId="34" xfId="0" applyNumberFormat="1" applyFont="1" applyFill="1" applyBorder="1"/>
    <xf numFmtId="0" fontId="1" fillId="6" borderId="34" xfId="0" applyFont="1" applyFill="1" applyBorder="1"/>
    <xf numFmtId="0" fontId="1" fillId="6" borderId="65" xfId="0" applyFont="1" applyFill="1" applyBorder="1"/>
    <xf numFmtId="0" fontId="34" fillId="0" borderId="11" xfId="0" applyFont="1" applyBorder="1"/>
    <xf numFmtId="0" fontId="35" fillId="0" borderId="98" xfId="0" applyFont="1" applyBorder="1"/>
    <xf numFmtId="0" fontId="35" fillId="0" borderId="12" xfId="0" applyFont="1" applyBorder="1" applyAlignment="1">
      <alignment horizontal="center"/>
    </xf>
    <xf numFmtId="0" fontId="35" fillId="0" borderId="100" xfId="0" applyFont="1" applyBorder="1" applyAlignment="1">
      <alignment horizontal="center"/>
    </xf>
    <xf numFmtId="0" fontId="35" fillId="0" borderId="10" xfId="0" applyFont="1" applyBorder="1"/>
    <xf numFmtId="0" fontId="35" fillId="0" borderId="25" xfId="0" applyFont="1" applyBorder="1"/>
    <xf numFmtId="164" fontId="35" fillId="0" borderId="4" xfId="0" applyNumberFormat="1" applyFont="1" applyBorder="1"/>
    <xf numFmtId="164" fontId="35" fillId="0" borderId="15" xfId="0" applyNumberFormat="1" applyFont="1" applyBorder="1"/>
    <xf numFmtId="164" fontId="2" fillId="0" borderId="87" xfId="0" applyNumberFormat="1" applyFont="1" applyBorder="1"/>
    <xf numFmtId="164" fontId="2" fillId="0" borderId="84" xfId="0" applyNumberFormat="1" applyFont="1" applyBorder="1"/>
    <xf numFmtId="164" fontId="2" fillId="0" borderId="85" xfId="0" applyNumberFormat="1" applyFont="1" applyBorder="1"/>
    <xf numFmtId="0" fontId="35" fillId="0" borderId="37" xfId="0" applyFont="1" applyBorder="1"/>
    <xf numFmtId="0" fontId="35" fillId="0" borderId="46" xfId="0" applyFont="1" applyBorder="1"/>
    <xf numFmtId="164" fontId="35" fillId="0" borderId="38" xfId="0" applyNumberFormat="1" applyFont="1" applyBorder="1"/>
    <xf numFmtId="164" fontId="35" fillId="0" borderId="45" xfId="0" applyNumberFormat="1" applyFont="1" applyBorder="1"/>
    <xf numFmtId="164" fontId="2" fillId="0" borderId="86" xfId="0" applyNumberFormat="1" applyFont="1" applyBorder="1"/>
    <xf numFmtId="0" fontId="34" fillId="0" borderId="33" xfId="0" applyFont="1" applyBorder="1"/>
    <xf numFmtId="0" fontId="34" fillId="0" borderId="34" xfId="0" applyFont="1" applyBorder="1" applyAlignment="1">
      <alignment horizontal="right"/>
    </xf>
    <xf numFmtId="164" fontId="34" fillId="0" borderId="35" xfId="0" applyNumberFormat="1" applyFont="1" applyBorder="1"/>
    <xf numFmtId="164" fontId="34" fillId="0" borderId="36" xfId="0" applyNumberFormat="1" applyFont="1" applyBorder="1"/>
    <xf numFmtId="164" fontId="2" fillId="0" borderId="44" xfId="0" applyNumberFormat="1" applyFont="1" applyBorder="1"/>
    <xf numFmtId="0" fontId="35" fillId="0" borderId="72" xfId="0" applyFont="1" applyBorder="1" applyProtection="1">
      <protection locked="0"/>
    </xf>
    <xf numFmtId="0" fontId="4" fillId="9" borderId="4" xfId="0" applyFont="1" applyFill="1" applyBorder="1" applyAlignment="1">
      <alignment horizontal="right"/>
    </xf>
    <xf numFmtId="164" fontId="0" fillId="9" borderId="4" xfId="0" applyNumberFormat="1" applyFill="1" applyBorder="1" applyAlignment="1">
      <alignment horizontal="center"/>
    </xf>
    <xf numFmtId="164" fontId="0" fillId="9" borderId="26" xfId="0" applyNumberFormat="1" applyFill="1" applyBorder="1" applyAlignment="1">
      <alignment horizontal="center"/>
    </xf>
    <xf numFmtId="164" fontId="0" fillId="9" borderId="111" xfId="0" applyNumberFormat="1" applyFill="1" applyBorder="1" applyAlignment="1">
      <alignment horizontal="center"/>
    </xf>
    <xf numFmtId="0" fontId="5" fillId="0" borderId="0" xfId="0" applyFont="1" applyAlignment="1">
      <alignment horizontal="center" vertical="center"/>
    </xf>
    <xf numFmtId="165" fontId="1" fillId="0" borderId="111" xfId="0" applyNumberFormat="1" applyFont="1" applyBorder="1" applyAlignment="1">
      <alignment horizontal="center"/>
    </xf>
    <xf numFmtId="165" fontId="2" fillId="0" borderId="111" xfId="0" applyNumberFormat="1" applyFont="1" applyBorder="1" applyAlignment="1">
      <alignment horizontal="center"/>
    </xf>
    <xf numFmtId="165" fontId="41" fillId="0" borderId="0" xfId="0" applyNumberFormat="1" applyFont="1"/>
    <xf numFmtId="164" fontId="29" fillId="0" borderId="84" xfId="0" applyNumberFormat="1" applyFont="1" applyBorder="1"/>
    <xf numFmtId="0" fontId="40" fillId="0" borderId="0" xfId="0" applyFont="1"/>
    <xf numFmtId="164" fontId="1" fillId="0" borderId="98" xfId="0" applyNumberFormat="1" applyFont="1" applyBorder="1" applyAlignment="1">
      <alignment horizontal="center"/>
    </xf>
    <xf numFmtId="164" fontId="1" fillId="0" borderId="110" xfId="0" applyNumberFormat="1" applyFont="1" applyBorder="1" applyAlignment="1">
      <alignment horizontal="center"/>
    </xf>
    <xf numFmtId="0" fontId="2" fillId="0" borderId="88" xfId="0" applyFont="1" applyBorder="1"/>
    <xf numFmtId="165" fontId="0" fillId="0" borderId="99" xfId="0" applyNumberFormat="1" applyBorder="1" applyAlignment="1">
      <alignment horizontal="center"/>
    </xf>
    <xf numFmtId="3" fontId="29" fillId="0" borderId="0" xfId="0" applyNumberFormat="1" applyFont="1" applyAlignment="1">
      <alignment horizontal="center"/>
    </xf>
    <xf numFmtId="165" fontId="0" fillId="0" borderId="88" xfId="0" applyNumberFormat="1" applyBorder="1" applyAlignment="1">
      <alignment horizontal="center"/>
    </xf>
    <xf numFmtId="165" fontId="0" fillId="0" borderId="86" xfId="0" applyNumberFormat="1" applyBorder="1" applyAlignment="1">
      <alignment horizontal="center"/>
    </xf>
    <xf numFmtId="3" fontId="2" fillId="0" borderId="0" xfId="0" applyNumberFormat="1" applyFont="1" applyAlignment="1">
      <alignment horizontal="center"/>
    </xf>
    <xf numFmtId="0" fontId="2" fillId="0" borderId="44" xfId="0" applyFont="1" applyBorder="1" applyAlignment="1">
      <alignment horizontal="center"/>
    </xf>
    <xf numFmtId="165" fontId="4" fillId="0" borderId="111" xfId="0" applyNumberFormat="1" applyFont="1" applyBorder="1" applyAlignment="1">
      <alignment horizontal="center"/>
    </xf>
    <xf numFmtId="3" fontId="0" fillId="0" borderId="99" xfId="0" applyNumberFormat="1" applyBorder="1" applyAlignment="1">
      <alignment horizontal="center"/>
    </xf>
    <xf numFmtId="3" fontId="0" fillId="0" borderId="84" xfId="0" applyNumberFormat="1" applyBorder="1" applyAlignment="1">
      <alignment horizontal="center"/>
    </xf>
    <xf numFmtId="3" fontId="2" fillId="0" borderId="84" xfId="0" applyNumberFormat="1" applyFont="1" applyBorder="1" applyAlignment="1">
      <alignment horizontal="center"/>
    </xf>
    <xf numFmtId="3" fontId="0" fillId="0" borderId="86" xfId="0" applyNumberFormat="1" applyBorder="1" applyAlignment="1">
      <alignment horizontal="center"/>
    </xf>
    <xf numFmtId="165" fontId="1" fillId="0" borderId="67" xfId="0" applyNumberFormat="1" applyFont="1" applyBorder="1" applyAlignment="1">
      <alignment horizontal="center"/>
    </xf>
    <xf numFmtId="165" fontId="1" fillId="0" borderId="13" xfId="0" applyNumberFormat="1" applyFont="1" applyBorder="1" applyAlignment="1">
      <alignment horizontal="center"/>
    </xf>
    <xf numFmtId="165" fontId="1" fillId="0" borderId="84" xfId="0" applyNumberFormat="1" applyFont="1" applyBorder="1" applyAlignment="1">
      <alignment horizontal="center"/>
    </xf>
    <xf numFmtId="165" fontId="29" fillId="0" borderId="0" xfId="0" applyNumberFormat="1" applyFont="1" applyAlignment="1">
      <alignment horizontal="center"/>
    </xf>
    <xf numFmtId="165" fontId="1" fillId="0" borderId="6" xfId="0" applyNumberFormat="1" applyFont="1" applyBorder="1" applyAlignment="1">
      <alignment horizontal="center"/>
    </xf>
    <xf numFmtId="165" fontId="1" fillId="0" borderId="86" xfId="0" applyNumberFormat="1" applyFont="1" applyBorder="1" applyAlignment="1">
      <alignment horizontal="center"/>
    </xf>
    <xf numFmtId="0" fontId="29" fillId="5" borderId="21" xfId="0" applyFont="1" applyFill="1" applyBorder="1"/>
    <xf numFmtId="0" fontId="28" fillId="5" borderId="22" xfId="0" applyFont="1" applyFill="1" applyBorder="1" applyAlignment="1">
      <alignment horizontal="center"/>
    </xf>
    <xf numFmtId="165" fontId="28" fillId="5" borderId="22" xfId="0" applyNumberFormat="1" applyFont="1" applyFill="1" applyBorder="1"/>
    <xf numFmtId="165" fontId="28" fillId="5" borderId="66" xfId="0" applyNumberFormat="1" applyFont="1" applyFill="1" applyBorder="1"/>
    <xf numFmtId="0" fontId="28" fillId="5" borderId="110" xfId="0" applyFont="1" applyFill="1" applyBorder="1" applyAlignment="1">
      <alignment horizontal="center"/>
    </xf>
    <xf numFmtId="164" fontId="28" fillId="5" borderId="110" xfId="0" applyNumberFormat="1" applyFont="1" applyFill="1" applyBorder="1"/>
    <xf numFmtId="0" fontId="2" fillId="4" borderId="34" xfId="0" applyFont="1" applyFill="1" applyBorder="1" applyAlignment="1">
      <alignment horizontal="center"/>
    </xf>
    <xf numFmtId="0" fontId="2" fillId="7" borderId="33" xfId="0" applyFont="1" applyFill="1" applyBorder="1" applyAlignment="1">
      <alignment horizontal="center"/>
    </xf>
    <xf numFmtId="165" fontId="1" fillId="0" borderId="47" xfId="0" applyNumberFormat="1" applyFont="1" applyBorder="1" applyAlignment="1">
      <alignment horizontal="center"/>
    </xf>
    <xf numFmtId="165" fontId="1" fillId="0" borderId="106" xfId="0" applyNumberFormat="1" applyFont="1" applyBorder="1" applyAlignment="1">
      <alignment horizontal="center"/>
    </xf>
    <xf numFmtId="0" fontId="42" fillId="0" borderId="0" xfId="0" applyFont="1" applyAlignment="1" applyProtection="1">
      <alignment horizontal="left"/>
      <protection locked="0"/>
    </xf>
    <xf numFmtId="0" fontId="43" fillId="0" borderId="48" xfId="0" applyFont="1" applyBorder="1" applyAlignment="1" applyProtection="1">
      <alignment horizontal="left"/>
      <protection locked="0"/>
    </xf>
    <xf numFmtId="0" fontId="43" fillId="0" borderId="19" xfId="0" applyFont="1" applyBorder="1" applyAlignment="1" applyProtection="1">
      <alignment horizontal="left"/>
      <protection locked="0"/>
    </xf>
    <xf numFmtId="2" fontId="42" fillId="5" borderId="48" xfId="0" applyNumberFormat="1" applyFont="1" applyFill="1" applyBorder="1" applyAlignment="1" applyProtection="1">
      <alignment horizontal="left"/>
      <protection locked="0"/>
    </xf>
    <xf numFmtId="0" fontId="43" fillId="0" borderId="48" xfId="0" applyFont="1" applyBorder="1" applyAlignment="1" applyProtection="1">
      <alignment horizontal="right"/>
      <protection locked="0"/>
    </xf>
    <xf numFmtId="2" fontId="43" fillId="0" borderId="0" xfId="0" applyNumberFormat="1" applyFont="1" applyAlignment="1" applyProtection="1">
      <alignment horizontal="left"/>
      <protection locked="0"/>
    </xf>
    <xf numFmtId="0" fontId="43" fillId="0" borderId="0" xfId="0" applyFont="1" applyProtection="1">
      <protection locked="0"/>
    </xf>
    <xf numFmtId="0" fontId="43" fillId="0" borderId="19" xfId="0" applyFont="1" applyBorder="1" applyAlignment="1" applyProtection="1">
      <alignment horizontal="right"/>
      <protection locked="0"/>
    </xf>
    <xf numFmtId="0" fontId="44" fillId="0" borderId="19" xfId="0" applyFont="1" applyBorder="1" applyProtection="1">
      <protection locked="0"/>
    </xf>
    <xf numFmtId="0" fontId="44" fillId="0" borderId="41" xfId="0" applyFont="1" applyBorder="1"/>
    <xf numFmtId="0" fontId="44" fillId="0" borderId="93" xfId="0" applyFont="1" applyBorder="1"/>
    <xf numFmtId="0" fontId="1" fillId="0" borderId="28" xfId="0" applyFont="1" applyBorder="1" applyProtection="1">
      <protection locked="0"/>
    </xf>
    <xf numFmtId="165" fontId="0" fillId="0" borderId="10" xfId="0" applyNumberFormat="1" applyBorder="1" applyAlignment="1">
      <alignment horizontal="right"/>
    </xf>
    <xf numFmtId="165" fontId="0" fillId="0" borderId="71" xfId="0" applyNumberFormat="1" applyBorder="1" applyAlignment="1">
      <alignment horizontal="right"/>
    </xf>
    <xf numFmtId="165" fontId="2" fillId="0" borderId="33" xfId="0" applyNumberFormat="1" applyFont="1" applyBorder="1" applyAlignment="1">
      <alignment horizontal="right"/>
    </xf>
    <xf numFmtId="0" fontId="1" fillId="0" borderId="22" xfId="0" applyFont="1" applyBorder="1" applyProtection="1">
      <protection locked="0"/>
    </xf>
    <xf numFmtId="0" fontId="1" fillId="0" borderId="25" xfId="0" applyFont="1" applyBorder="1" applyProtection="1">
      <protection locked="0"/>
    </xf>
    <xf numFmtId="0" fontId="1" fillId="0" borderId="0" xfId="0" applyFont="1" applyAlignment="1">
      <alignment horizontal="center"/>
    </xf>
    <xf numFmtId="167" fontId="0" fillId="0" borderId="0" xfId="0" applyNumberFormat="1" applyAlignment="1">
      <alignment horizontal="center"/>
    </xf>
    <xf numFmtId="0" fontId="2" fillId="5" borderId="115" xfId="0" applyFont="1" applyFill="1" applyBorder="1"/>
    <xf numFmtId="0" fontId="0" fillId="5" borderId="116" xfId="0" applyFill="1" applyBorder="1"/>
    <xf numFmtId="2" fontId="0" fillId="5" borderId="51" xfId="0" applyNumberFormat="1" applyFill="1" applyBorder="1" applyAlignment="1">
      <alignment horizontal="left"/>
    </xf>
    <xf numFmtId="0" fontId="1" fillId="5" borderId="52" xfId="0" applyFont="1" applyFill="1" applyBorder="1"/>
    <xf numFmtId="0" fontId="0" fillId="5" borderId="32" xfId="0" applyFill="1" applyBorder="1" applyAlignment="1">
      <alignment horizontal="left"/>
    </xf>
    <xf numFmtId="0" fontId="1" fillId="5" borderId="29" xfId="0" applyFont="1" applyFill="1" applyBorder="1"/>
    <xf numFmtId="0" fontId="1" fillId="5" borderId="32" xfId="0" applyFont="1" applyFill="1" applyBorder="1"/>
    <xf numFmtId="0" fontId="0" fillId="5" borderId="117" xfId="0" applyFill="1" applyBorder="1"/>
    <xf numFmtId="0" fontId="0" fillId="5" borderId="0" xfId="0" applyFill="1"/>
    <xf numFmtId="0" fontId="1" fillId="5" borderId="51" xfId="0" applyFont="1" applyFill="1" applyBorder="1" applyAlignment="1" applyProtection="1">
      <alignment horizontal="left"/>
      <protection locked="0"/>
    </xf>
    <xf numFmtId="0" fontId="1" fillId="5" borderId="0" xfId="0" applyFont="1" applyFill="1" applyAlignment="1" applyProtection="1">
      <alignment horizontal="left"/>
      <protection locked="0"/>
    </xf>
    <xf numFmtId="0" fontId="1" fillId="5" borderId="28" xfId="0" applyFont="1" applyFill="1" applyBorder="1"/>
    <xf numFmtId="0" fontId="2" fillId="5" borderId="51" xfId="0" applyFont="1" applyFill="1" applyBorder="1"/>
    <xf numFmtId="167" fontId="2" fillId="0" borderId="0" xfId="0" applyNumberFormat="1" applyFont="1" applyAlignment="1">
      <alignment horizontal="center"/>
    </xf>
    <xf numFmtId="0" fontId="1" fillId="5" borderId="32" xfId="0" applyFont="1" applyFill="1" applyBorder="1" applyAlignment="1" applyProtection="1">
      <alignment horizontal="left"/>
      <protection locked="0"/>
    </xf>
    <xf numFmtId="0" fontId="0" fillId="5" borderId="28" xfId="0" applyFill="1" applyBorder="1"/>
    <xf numFmtId="168" fontId="2" fillId="5" borderId="116" xfId="0" applyNumberFormat="1" applyFont="1" applyFill="1" applyBorder="1" applyAlignment="1">
      <alignment horizontal="center"/>
    </xf>
    <xf numFmtId="168" fontId="2" fillId="5" borderId="52" xfId="0" applyNumberFormat="1" applyFont="1" applyFill="1" applyBorder="1" applyAlignment="1">
      <alignment horizontal="center"/>
    </xf>
    <xf numFmtId="167" fontId="1" fillId="5" borderId="52" xfId="0" applyNumberFormat="1" applyFont="1" applyFill="1" applyBorder="1" applyAlignment="1">
      <alignment horizontal="center"/>
    </xf>
    <xf numFmtId="167" fontId="1" fillId="5" borderId="29" xfId="0" applyNumberFormat="1" applyFont="1" applyFill="1" applyBorder="1" applyAlignment="1">
      <alignment horizontal="center"/>
    </xf>
    <xf numFmtId="0" fontId="1" fillId="5" borderId="0" xfId="0" applyFont="1" applyFill="1"/>
    <xf numFmtId="167" fontId="2" fillId="5" borderId="52" xfId="0" applyNumberFormat="1" applyFont="1" applyFill="1" applyBorder="1" applyAlignment="1">
      <alignment horizontal="center"/>
    </xf>
    <xf numFmtId="167" fontId="2" fillId="5" borderId="29" xfId="0" applyNumberFormat="1" applyFont="1" applyFill="1" applyBorder="1" applyAlignment="1">
      <alignment horizontal="center"/>
    </xf>
    <xf numFmtId="164" fontId="1" fillId="0" borderId="13" xfId="0" applyNumberFormat="1" applyFont="1" applyBorder="1" applyAlignment="1">
      <alignment horizontal="center"/>
    </xf>
    <xf numFmtId="0" fontId="0" fillId="0" borderId="84" xfId="0" applyBorder="1"/>
    <xf numFmtId="168" fontId="28" fillId="4" borderId="4" xfId="0" applyNumberFormat="1" applyFont="1" applyFill="1" applyBorder="1" applyProtection="1">
      <protection locked="0"/>
    </xf>
    <xf numFmtId="0" fontId="2" fillId="0" borderId="112" xfId="0" applyFont="1" applyBorder="1"/>
    <xf numFmtId="0" fontId="0" fillId="0" borderId="111" xfId="0" applyBorder="1" applyAlignment="1">
      <alignment horizontal="center"/>
    </xf>
    <xf numFmtId="0" fontId="2" fillId="0" borderId="117" xfId="0" applyFont="1" applyBorder="1"/>
    <xf numFmtId="0" fontId="2" fillId="4" borderId="33" xfId="0" applyFont="1" applyFill="1" applyBorder="1" applyAlignment="1">
      <alignment horizontal="left"/>
    </xf>
    <xf numFmtId="0" fontId="29" fillId="4" borderId="34" xfId="0" applyFont="1" applyFill="1" applyBorder="1" applyAlignment="1">
      <alignment horizontal="right"/>
    </xf>
    <xf numFmtId="0" fontId="2" fillId="4" borderId="35" xfId="0" applyFont="1" applyFill="1" applyBorder="1" applyAlignment="1">
      <alignment horizontal="center"/>
    </xf>
    <xf numFmtId="0" fontId="2" fillId="4" borderId="65" xfId="0" applyFont="1" applyFill="1" applyBorder="1" applyAlignment="1">
      <alignment horizontal="center"/>
    </xf>
    <xf numFmtId="0" fontId="0" fillId="4" borderId="3" xfId="0" applyFill="1" applyBorder="1"/>
    <xf numFmtId="3" fontId="2" fillId="4" borderId="39" xfId="0" applyNumberFormat="1" applyFont="1" applyFill="1" applyBorder="1" applyAlignment="1">
      <alignment horizontal="center"/>
    </xf>
    <xf numFmtId="3" fontId="2" fillId="4" borderId="7" xfId="0" applyNumberFormat="1" applyFont="1" applyFill="1" applyBorder="1" applyAlignment="1">
      <alignment horizontal="center"/>
    </xf>
    <xf numFmtId="0" fontId="0" fillId="4" borderId="37" xfId="0" applyFill="1" applyBorder="1"/>
    <xf numFmtId="0" fontId="2" fillId="4" borderId="46" xfId="0" applyFont="1" applyFill="1" applyBorder="1"/>
    <xf numFmtId="3" fontId="2" fillId="4" borderId="38" xfId="0" applyNumberFormat="1" applyFont="1" applyFill="1" applyBorder="1" applyAlignment="1">
      <alignment horizontal="center"/>
    </xf>
    <xf numFmtId="3" fontId="2" fillId="4" borderId="67" xfId="0" applyNumberFormat="1" applyFont="1" applyFill="1" applyBorder="1" applyAlignment="1">
      <alignment horizontal="center"/>
    </xf>
    <xf numFmtId="0" fontId="29" fillId="4" borderId="34" xfId="0" applyFont="1" applyFill="1" applyBorder="1" applyAlignment="1">
      <alignment horizontal="center"/>
    </xf>
    <xf numFmtId="3" fontId="0" fillId="4" borderId="39" xfId="0" applyNumberFormat="1" applyFill="1" applyBorder="1" applyAlignment="1">
      <alignment horizontal="center"/>
    </xf>
    <xf numFmtId="3" fontId="0" fillId="4" borderId="53" xfId="0" applyNumberFormat="1" applyFill="1" applyBorder="1" applyAlignment="1">
      <alignment horizontal="center"/>
    </xf>
    <xf numFmtId="3" fontId="0" fillId="4" borderId="38" xfId="0" applyNumberFormat="1" applyFill="1" applyBorder="1" applyAlignment="1">
      <alignment horizontal="center"/>
    </xf>
    <xf numFmtId="3" fontId="0" fillId="4" borderId="67" xfId="0" applyNumberFormat="1" applyFill="1" applyBorder="1" applyAlignment="1">
      <alignment horizontal="center"/>
    </xf>
    <xf numFmtId="0" fontId="2" fillId="4" borderId="1" xfId="0" applyFont="1" applyFill="1" applyBorder="1" applyAlignment="1">
      <alignment horizontal="left"/>
    </xf>
    <xf numFmtId="0" fontId="29" fillId="4" borderId="2" xfId="0" applyFont="1" applyFill="1" applyBorder="1" applyAlignment="1">
      <alignment horizontal="right"/>
    </xf>
    <xf numFmtId="0" fontId="2" fillId="4" borderId="47" xfId="0" applyFont="1" applyFill="1" applyBorder="1" applyAlignment="1">
      <alignment horizontal="center"/>
    </xf>
    <xf numFmtId="0" fontId="2" fillId="4" borderId="6" xfId="0" applyFont="1" applyFill="1" applyBorder="1" applyAlignment="1">
      <alignment horizontal="center"/>
    </xf>
    <xf numFmtId="0" fontId="0" fillId="4" borderId="10" xfId="0" applyFill="1" applyBorder="1"/>
    <xf numFmtId="0" fontId="2" fillId="4" borderId="25" xfId="0" applyFont="1" applyFill="1" applyBorder="1" applyAlignment="1">
      <alignment horizontal="left"/>
    </xf>
    <xf numFmtId="168" fontId="0" fillId="4" borderId="4" xfId="0" applyNumberFormat="1" applyFill="1" applyBorder="1" applyAlignment="1">
      <alignment horizontal="center"/>
    </xf>
    <xf numFmtId="168" fontId="0" fillId="4" borderId="15" xfId="0" applyNumberFormat="1" applyFill="1" applyBorder="1" applyAlignment="1">
      <alignment horizontal="center"/>
    </xf>
    <xf numFmtId="0" fontId="2" fillId="4" borderId="112" xfId="0" applyFont="1" applyFill="1" applyBorder="1"/>
    <xf numFmtId="168" fontId="0" fillId="4" borderId="111" xfId="0" applyNumberFormat="1" applyFill="1" applyBorder="1" applyAlignment="1">
      <alignment horizontal="center"/>
    </xf>
    <xf numFmtId="168" fontId="0" fillId="4" borderId="14" xfId="0" applyNumberFormat="1" applyFill="1" applyBorder="1" applyAlignment="1">
      <alignment horizontal="center"/>
    </xf>
    <xf numFmtId="0" fontId="2" fillId="4" borderId="110" xfId="0" applyFont="1" applyFill="1" applyBorder="1"/>
    <xf numFmtId="168" fontId="0" fillId="4" borderId="38" xfId="0" applyNumberFormat="1" applyFill="1" applyBorder="1" applyAlignment="1">
      <alignment horizontal="center"/>
    </xf>
    <xf numFmtId="0" fontId="2" fillId="0" borderId="110" xfId="0" applyFont="1" applyBorder="1" applyAlignment="1">
      <alignment horizontal="left"/>
    </xf>
    <xf numFmtId="3" fontId="0" fillId="0" borderId="45" xfId="0" applyNumberFormat="1" applyBorder="1" applyAlignment="1">
      <alignment horizontal="center"/>
    </xf>
    <xf numFmtId="168" fontId="0" fillId="4" borderId="45" xfId="0" applyNumberFormat="1" applyFill="1" applyBorder="1" applyAlignment="1">
      <alignment horizontal="center"/>
    </xf>
    <xf numFmtId="0" fontId="2" fillId="15" borderId="0" xfId="0" applyFont="1" applyFill="1" applyAlignment="1">
      <alignment horizontal="center"/>
    </xf>
    <xf numFmtId="0" fontId="1" fillId="0" borderId="71" xfId="0" applyFont="1" applyBorder="1" applyAlignment="1">
      <alignment horizontal="center"/>
    </xf>
    <xf numFmtId="168" fontId="1" fillId="0" borderId="5" xfId="0" applyNumberFormat="1" applyFont="1" applyBorder="1" applyAlignment="1">
      <alignment horizontal="center"/>
    </xf>
    <xf numFmtId="164" fontId="1" fillId="0" borderId="37" xfId="0" applyNumberFormat="1" applyFont="1" applyBorder="1" applyAlignment="1">
      <alignment horizontal="center"/>
    </xf>
    <xf numFmtId="164" fontId="4" fillId="0" borderId="37" xfId="0" applyNumberFormat="1" applyFont="1" applyBorder="1"/>
    <xf numFmtId="164" fontId="0" fillId="0" borderId="112" xfId="0" applyNumberFormat="1" applyBorder="1" applyAlignment="1">
      <alignment horizontal="center"/>
    </xf>
    <xf numFmtId="0" fontId="1" fillId="4" borderId="23" xfId="0" applyFont="1" applyFill="1" applyBorder="1" applyProtection="1">
      <protection locked="0"/>
    </xf>
    <xf numFmtId="164" fontId="29" fillId="5" borderId="38" xfId="0" applyNumberFormat="1" applyFont="1" applyFill="1" applyBorder="1" applyAlignment="1">
      <alignment horizontal="right"/>
    </xf>
    <xf numFmtId="164" fontId="29" fillId="5" borderId="45" xfId="0" applyNumberFormat="1" applyFont="1" applyFill="1" applyBorder="1" applyAlignment="1">
      <alignment horizontal="right"/>
    </xf>
    <xf numFmtId="0" fontId="2" fillId="15" borderId="0" xfId="0" applyFont="1" applyFill="1" applyAlignment="1" applyProtection="1">
      <alignment horizontal="center"/>
      <protection locked="0"/>
    </xf>
    <xf numFmtId="0" fontId="45" fillId="0" borderId="28" xfId="0" applyFont="1" applyBorder="1" applyAlignment="1" applyProtection="1">
      <alignment horizontal="center"/>
      <protection locked="0"/>
    </xf>
    <xf numFmtId="0" fontId="45" fillId="0" borderId="28" xfId="0" applyFont="1" applyBorder="1" applyProtection="1">
      <protection locked="0"/>
    </xf>
    <xf numFmtId="0" fontId="15" fillId="0" borderId="76" xfId="0" applyFont="1" applyBorder="1" applyAlignment="1">
      <alignment horizontal="left"/>
    </xf>
    <xf numFmtId="0" fontId="15" fillId="0" borderId="0" xfId="0" applyFont="1" applyAlignment="1">
      <alignment horizontal="left"/>
    </xf>
  </cellXfs>
  <cellStyles count="3">
    <cellStyle name="Comma" xfId="1" builtinId="3"/>
    <cellStyle name="Normal" xfId="0" builtinId="0"/>
    <cellStyle name="Percent" xfId="2" builtinId="5"/>
  </cellStyles>
  <dxfs count="0"/>
  <tableStyles count="0" defaultTableStyle="TableStyleMedium2" defaultPivotStyle="PivotStyleLight16"/>
  <colors>
    <mruColors>
      <color rgb="FF0000FF"/>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50" b="1" i="0" u="none" strike="noStrike" baseline="0">
                <a:solidFill>
                  <a:srgbClr val="000000"/>
                </a:solidFill>
                <a:latin typeface="Arial"/>
                <a:cs typeface="Arial"/>
              </a:rPr>
              <a:t>Sensitivity To Slaughter Lamb Price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Net Cash Flow Per Slaughter Lamb)</a:t>
            </a:r>
          </a:p>
        </c:rich>
      </c:tx>
      <c:layout>
        <c:manualLayout>
          <c:xMode val="edge"/>
          <c:yMode val="edge"/>
          <c:x val="0.2684562157003102"/>
          <c:y val="1.2562836425107879E-2"/>
        </c:manualLayout>
      </c:layout>
      <c:overlay val="0"/>
      <c:spPr>
        <a:noFill/>
        <a:ln w="25400">
          <a:noFill/>
        </a:ln>
      </c:spPr>
    </c:title>
    <c:autoTitleDeleted val="0"/>
    <c:plotArea>
      <c:layout>
        <c:manualLayout>
          <c:layoutTarget val="inner"/>
          <c:xMode val="edge"/>
          <c:yMode val="edge"/>
          <c:x val="0.13422816427483938"/>
          <c:y val="0.138570594850042"/>
          <c:w val="0.84652999937818185"/>
          <c:h val="0.75386104507992546"/>
        </c:manualLayout>
      </c:layout>
      <c:barChart>
        <c:barDir val="col"/>
        <c:grouping val="clustered"/>
        <c:varyColors val="0"/>
        <c:ser>
          <c:idx val="0"/>
          <c:order val="0"/>
          <c:tx>
            <c:strRef>
              <c:f>Sensitivity!$E$37</c:f>
              <c:strCache>
                <c:ptCount val="1"/>
                <c:pt idx="0">
                  <c:v>$NI/Lamb</c:v>
                </c:pt>
              </c:strCache>
            </c:strRef>
          </c:tx>
          <c:spPr>
            <a:solidFill>
              <a:srgbClr val="00B0F0"/>
            </a:solidFill>
            <a:ln w="12700">
              <a:solidFill>
                <a:srgbClr val="00B050"/>
              </a:solidFill>
              <a:prstDash val="solid"/>
            </a:ln>
          </c:spPr>
          <c:invertIfNegative val="0"/>
          <c:cat>
            <c:numRef>
              <c:f>Sensitivity!$B$38:$B$58</c:f>
              <c:numCache>
                <c:formatCode>"$"#,##0.00</c:formatCode>
                <c:ptCount val="21"/>
                <c:pt idx="0">
                  <c:v>2.9999999999999982</c:v>
                </c:pt>
                <c:pt idx="1">
                  <c:v>2.9499999999999984</c:v>
                </c:pt>
                <c:pt idx="2">
                  <c:v>2.8999999999999986</c:v>
                </c:pt>
                <c:pt idx="3">
                  <c:v>2.8499999999999988</c:v>
                </c:pt>
                <c:pt idx="4">
                  <c:v>2.7999999999999989</c:v>
                </c:pt>
                <c:pt idx="5">
                  <c:v>2.7499999999999991</c:v>
                </c:pt>
                <c:pt idx="6">
                  <c:v>2.6999999999999993</c:v>
                </c:pt>
                <c:pt idx="7">
                  <c:v>2.6499999999999995</c:v>
                </c:pt>
                <c:pt idx="8">
                  <c:v>2.5999999999999996</c:v>
                </c:pt>
                <c:pt idx="9">
                  <c:v>2.5499999999999998</c:v>
                </c:pt>
                <c:pt idx="10">
                  <c:v>2.5</c:v>
                </c:pt>
                <c:pt idx="11">
                  <c:v>2.4500000000000002</c:v>
                </c:pt>
                <c:pt idx="12">
                  <c:v>2.4000000000000004</c:v>
                </c:pt>
                <c:pt idx="13">
                  <c:v>2.3500000000000005</c:v>
                </c:pt>
                <c:pt idx="14">
                  <c:v>2.3000000000000007</c:v>
                </c:pt>
                <c:pt idx="15">
                  <c:v>2.2500000000000009</c:v>
                </c:pt>
                <c:pt idx="16">
                  <c:v>2.2000000000000011</c:v>
                </c:pt>
                <c:pt idx="17">
                  <c:v>2.1500000000000012</c:v>
                </c:pt>
                <c:pt idx="18">
                  <c:v>2.1000000000000014</c:v>
                </c:pt>
                <c:pt idx="19">
                  <c:v>2.0500000000000016</c:v>
                </c:pt>
                <c:pt idx="20">
                  <c:v>2.0000000000000018</c:v>
                </c:pt>
              </c:numCache>
            </c:numRef>
          </c:cat>
          <c:val>
            <c:numRef>
              <c:f>Sensitivity!$E$38:$E$58</c:f>
              <c:numCache>
                <c:formatCode>"$"#,##0.00</c:formatCode>
                <c:ptCount val="21"/>
                <c:pt idx="0">
                  <c:v>88.759344899140245</c:v>
                </c:pt>
                <c:pt idx="1">
                  <c:v>83.239864379659721</c:v>
                </c:pt>
                <c:pt idx="2">
                  <c:v>77.720383860179254</c:v>
                </c:pt>
                <c:pt idx="3">
                  <c:v>72.20090334069873</c:v>
                </c:pt>
                <c:pt idx="4">
                  <c:v>66.681422821218206</c:v>
                </c:pt>
                <c:pt idx="5">
                  <c:v>61.161942301737739</c:v>
                </c:pt>
                <c:pt idx="6">
                  <c:v>55.642461782257264</c:v>
                </c:pt>
                <c:pt idx="7">
                  <c:v>50.122981262776747</c:v>
                </c:pt>
                <c:pt idx="8">
                  <c:v>44.60350074329623</c:v>
                </c:pt>
                <c:pt idx="9">
                  <c:v>39.084020223815706</c:v>
                </c:pt>
                <c:pt idx="10">
                  <c:v>33.564539704335239</c:v>
                </c:pt>
                <c:pt idx="11">
                  <c:v>28.045059184854765</c:v>
                </c:pt>
                <c:pt idx="12">
                  <c:v>22.525578665374244</c:v>
                </c:pt>
                <c:pt idx="13">
                  <c:v>17.006098145893727</c:v>
                </c:pt>
                <c:pt idx="14">
                  <c:v>11.486617626413206</c:v>
                </c:pt>
                <c:pt idx="15">
                  <c:v>5.9671371069327339</c:v>
                </c:pt>
                <c:pt idx="16">
                  <c:v>0.44765658745226183</c:v>
                </c:pt>
                <c:pt idx="17">
                  <c:v>-5.0718239320282574</c:v>
                </c:pt>
                <c:pt idx="18">
                  <c:v>-10.591304451508778</c:v>
                </c:pt>
                <c:pt idx="19">
                  <c:v>-16.110784970989251</c:v>
                </c:pt>
                <c:pt idx="20">
                  <c:v>-21.630265490469768</c:v>
                </c:pt>
              </c:numCache>
            </c:numRef>
          </c:val>
          <c:extLst>
            <c:ext xmlns:c16="http://schemas.microsoft.com/office/drawing/2014/chart" uri="{C3380CC4-5D6E-409C-BE32-E72D297353CC}">
              <c16:uniqueId val="{00000000-F895-4DCF-8901-2400467203F1}"/>
            </c:ext>
          </c:extLst>
        </c:ser>
        <c:ser>
          <c:idx val="1"/>
          <c:order val="1"/>
          <c:tx>
            <c:strRef>
              <c:f>Sensitivity!$F$37</c:f>
              <c:strCache>
                <c:ptCount val="1"/>
                <c:pt idx="0">
                  <c:v>$NCF/Lamb</c:v>
                </c:pt>
              </c:strCache>
            </c:strRef>
          </c:tx>
          <c:spPr>
            <a:solidFill>
              <a:srgbClr val="FF0000"/>
            </a:solidFill>
          </c:spPr>
          <c:invertIfNegative val="0"/>
          <c:cat>
            <c:numRef>
              <c:f>Sensitivity!$B$38:$B$58</c:f>
              <c:numCache>
                <c:formatCode>"$"#,##0.00</c:formatCode>
                <c:ptCount val="21"/>
                <c:pt idx="0">
                  <c:v>2.9999999999999982</c:v>
                </c:pt>
                <c:pt idx="1">
                  <c:v>2.9499999999999984</c:v>
                </c:pt>
                <c:pt idx="2">
                  <c:v>2.8999999999999986</c:v>
                </c:pt>
                <c:pt idx="3">
                  <c:v>2.8499999999999988</c:v>
                </c:pt>
                <c:pt idx="4">
                  <c:v>2.7999999999999989</c:v>
                </c:pt>
                <c:pt idx="5">
                  <c:v>2.7499999999999991</c:v>
                </c:pt>
                <c:pt idx="6">
                  <c:v>2.6999999999999993</c:v>
                </c:pt>
                <c:pt idx="7">
                  <c:v>2.6499999999999995</c:v>
                </c:pt>
                <c:pt idx="8">
                  <c:v>2.5999999999999996</c:v>
                </c:pt>
                <c:pt idx="9">
                  <c:v>2.5499999999999998</c:v>
                </c:pt>
                <c:pt idx="10">
                  <c:v>2.5</c:v>
                </c:pt>
                <c:pt idx="11">
                  <c:v>2.4500000000000002</c:v>
                </c:pt>
                <c:pt idx="12">
                  <c:v>2.4000000000000004</c:v>
                </c:pt>
                <c:pt idx="13">
                  <c:v>2.3500000000000005</c:v>
                </c:pt>
                <c:pt idx="14">
                  <c:v>2.3000000000000007</c:v>
                </c:pt>
                <c:pt idx="15">
                  <c:v>2.2500000000000009</c:v>
                </c:pt>
                <c:pt idx="16">
                  <c:v>2.2000000000000011</c:v>
                </c:pt>
                <c:pt idx="17">
                  <c:v>2.1500000000000012</c:v>
                </c:pt>
                <c:pt idx="18">
                  <c:v>2.1000000000000014</c:v>
                </c:pt>
                <c:pt idx="19">
                  <c:v>2.0500000000000016</c:v>
                </c:pt>
                <c:pt idx="20">
                  <c:v>2.0000000000000018</c:v>
                </c:pt>
              </c:numCache>
            </c:numRef>
          </c:cat>
          <c:val>
            <c:numRef>
              <c:f>Sensitivity!$F$38:$F$58</c:f>
              <c:numCache>
                <c:formatCode>"$"#,##0.00</c:formatCode>
                <c:ptCount val="21"/>
                <c:pt idx="0">
                  <c:v>90.739712176508803</c:v>
                </c:pt>
                <c:pt idx="1">
                  <c:v>85.220231657028279</c:v>
                </c:pt>
                <c:pt idx="2">
                  <c:v>79.700751137547812</c:v>
                </c:pt>
                <c:pt idx="3">
                  <c:v>74.181270618067288</c:v>
                </c:pt>
                <c:pt idx="4">
                  <c:v>68.661790098586764</c:v>
                </c:pt>
                <c:pt idx="5">
                  <c:v>63.142309579106296</c:v>
                </c:pt>
                <c:pt idx="6">
                  <c:v>57.622829059625822</c:v>
                </c:pt>
                <c:pt idx="7">
                  <c:v>52.103348540145305</c:v>
                </c:pt>
                <c:pt idx="8">
                  <c:v>46.583868020664788</c:v>
                </c:pt>
                <c:pt idx="9">
                  <c:v>41.064387501184264</c:v>
                </c:pt>
                <c:pt idx="10">
                  <c:v>35.544906981703797</c:v>
                </c:pt>
                <c:pt idx="11">
                  <c:v>30.025426462223319</c:v>
                </c:pt>
                <c:pt idx="12">
                  <c:v>24.505945942742798</c:v>
                </c:pt>
                <c:pt idx="13">
                  <c:v>18.986465423262281</c:v>
                </c:pt>
                <c:pt idx="14">
                  <c:v>13.466984903781761</c:v>
                </c:pt>
                <c:pt idx="15">
                  <c:v>7.947504384301288</c:v>
                </c:pt>
                <c:pt idx="16">
                  <c:v>2.4280238648208163</c:v>
                </c:pt>
                <c:pt idx="17">
                  <c:v>-3.0914566546597029</c:v>
                </c:pt>
                <c:pt idx="18">
                  <c:v>-8.6109371741402239</c:v>
                </c:pt>
                <c:pt idx="19">
                  <c:v>-14.130417693620696</c:v>
                </c:pt>
                <c:pt idx="20">
                  <c:v>-19.649898213101213</c:v>
                </c:pt>
              </c:numCache>
            </c:numRef>
          </c:val>
          <c:extLst>
            <c:ext xmlns:c16="http://schemas.microsoft.com/office/drawing/2014/chart" uri="{C3380CC4-5D6E-409C-BE32-E72D297353CC}">
              <c16:uniqueId val="{00000000-597A-4347-AD0C-1BA8B7C25A3D}"/>
            </c:ext>
          </c:extLst>
        </c:ser>
        <c:dLbls>
          <c:showLegendKey val="0"/>
          <c:showVal val="0"/>
          <c:showCatName val="0"/>
          <c:showSerName val="0"/>
          <c:showPercent val="0"/>
          <c:showBubbleSize val="0"/>
        </c:dLbls>
        <c:gapWidth val="150"/>
        <c:axId val="301651464"/>
        <c:axId val="1"/>
      </c:barChart>
      <c:catAx>
        <c:axId val="301651464"/>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Market Price Per LB</a:t>
                </a:r>
              </a:p>
            </c:rich>
          </c:tx>
          <c:layout>
            <c:manualLayout>
              <c:xMode val="edge"/>
              <c:yMode val="edge"/>
              <c:x val="0.26019312195366434"/>
              <c:y val="0.92128252528154886"/>
            </c:manualLayout>
          </c:layout>
          <c:overlay val="0"/>
          <c:spPr>
            <a:noFill/>
            <a:ln w="25400">
              <a:noFill/>
            </a:ln>
          </c:spPr>
        </c:title>
        <c:numFmt formatCode="&quot;$&quot;#,##0.00" sourceLinked="1"/>
        <c:majorTickMark val="out"/>
        <c:minorTickMark val="none"/>
        <c:tickLblPos val="nextTo"/>
        <c:spPr>
          <a:ln w="3175">
            <a:solidFill>
              <a:srgbClr val="000000"/>
            </a:solidFill>
            <a:prstDash val="solid"/>
          </a:ln>
        </c:spPr>
        <c:txPr>
          <a:bodyPr rot="-4500000" vert="horz"/>
          <a:lstStyle/>
          <a:p>
            <a:pPr>
              <a:defRPr sz="9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2"/>
        <c:noMultiLvlLbl val="0"/>
      </c:catAx>
      <c:valAx>
        <c:axId val="1"/>
        <c:scaling>
          <c:orientation val="minMax"/>
          <c:max val="160"/>
          <c:min val="-10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 Per Slaughter Lamb</a:t>
                </a:r>
              </a:p>
            </c:rich>
          </c:tx>
          <c:layout>
            <c:manualLayout>
              <c:xMode val="edge"/>
              <c:yMode val="edge"/>
              <c:x val="2.6845621570031016E-2"/>
              <c:y val="0.25125623421366111"/>
            </c:manualLayout>
          </c:layout>
          <c:overlay val="0"/>
          <c:spPr>
            <a:noFill/>
            <a:ln w="25400">
              <a:noFill/>
            </a:ln>
          </c:spPr>
        </c:title>
        <c:numFmt formatCode="\$#,##0" sourceLinked="0"/>
        <c:majorTickMark val="out"/>
        <c:minorTickMark val="none"/>
        <c:tickLblPos val="low"/>
        <c:spPr>
          <a:ln w="3175">
            <a:solidFill>
              <a:srgbClr val="000000"/>
            </a:solidFill>
            <a:prstDash val="solid"/>
          </a:ln>
        </c:spPr>
        <c:txPr>
          <a:bodyPr rot="0" vert="horz"/>
          <a:lstStyle/>
          <a:p>
            <a:pPr>
              <a:defRPr sz="900" b="1" i="0" u="none" strike="noStrike" baseline="0">
                <a:solidFill>
                  <a:srgbClr val="000000"/>
                </a:solidFill>
                <a:latin typeface="Arial"/>
                <a:ea typeface="Arial"/>
                <a:cs typeface="Arial"/>
              </a:defRPr>
            </a:pPr>
            <a:endParaRPr lang="en-US"/>
          </a:p>
        </c:txPr>
        <c:crossAx val="301651464"/>
        <c:crosses val="autoZero"/>
        <c:crossBetween val="between"/>
        <c:majorUnit val="20"/>
      </c:valAx>
      <c:spPr>
        <a:solidFill>
          <a:srgbClr val="C0C0C0"/>
        </a:solidFill>
        <a:ln w="12700">
          <a:solidFill>
            <a:srgbClr val="808080"/>
          </a:solidFill>
          <a:prstDash val="solid"/>
        </a:ln>
      </c:spPr>
    </c:plotArea>
    <c:legend>
      <c:legendPos val="r"/>
      <c:layout>
        <c:manualLayout>
          <c:xMode val="edge"/>
          <c:yMode val="edge"/>
          <c:x val="0.5502363467559318"/>
          <c:y val="0.9081747700694941"/>
          <c:w val="0.39066504791248352"/>
          <c:h val="7.8907928629367532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75" b="1" i="0" u="none" strike="noStrike" baseline="0">
                <a:solidFill>
                  <a:srgbClr val="000000"/>
                </a:solidFill>
                <a:latin typeface="Arial"/>
                <a:cs typeface="Arial"/>
              </a:rPr>
              <a:t>Sensitivity To Lambing Rate</a:t>
            </a:r>
            <a:r>
              <a:rPr lang="en-US" sz="1475" b="1" i="0" u="none" strike="noStrike" baseline="0">
                <a:solidFill>
                  <a:srgbClr val="000000"/>
                </a:solidFill>
                <a:latin typeface="Arial"/>
                <a:cs typeface="Arial"/>
              </a:rPr>
              <a:t>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Net Cash Flow Per Market Lamb)</a:t>
            </a:r>
          </a:p>
        </c:rich>
      </c:tx>
      <c:layout>
        <c:manualLayout>
          <c:xMode val="edge"/>
          <c:yMode val="edge"/>
          <c:x val="0.25420919776940848"/>
          <c:y val="1.414090220783757E-2"/>
        </c:manualLayout>
      </c:layout>
      <c:overlay val="0"/>
      <c:spPr>
        <a:noFill/>
        <a:ln w="25400">
          <a:noFill/>
        </a:ln>
      </c:spPr>
    </c:title>
    <c:autoTitleDeleted val="0"/>
    <c:plotArea>
      <c:layout>
        <c:manualLayout>
          <c:layoutTarget val="inner"/>
          <c:xMode val="edge"/>
          <c:yMode val="edge"/>
          <c:x val="0.14038342457895744"/>
          <c:y val="0.15109386326709162"/>
          <c:w val="0.85124010433751485"/>
          <c:h val="0.72086114235720533"/>
        </c:manualLayout>
      </c:layout>
      <c:barChart>
        <c:barDir val="col"/>
        <c:grouping val="clustered"/>
        <c:varyColors val="0"/>
        <c:ser>
          <c:idx val="1"/>
          <c:order val="0"/>
          <c:tx>
            <c:strRef>
              <c:f>Sensitivity!$E$66</c:f>
              <c:strCache>
                <c:ptCount val="1"/>
                <c:pt idx="0">
                  <c:v>$NI/Lamb</c:v>
                </c:pt>
              </c:strCache>
            </c:strRef>
          </c:tx>
          <c:spPr>
            <a:solidFill>
              <a:schemeClr val="accent6"/>
            </a:solidFill>
          </c:spPr>
          <c:invertIfNegative val="0"/>
          <c:cat>
            <c:numRef>
              <c:f>Sensitivity!$B$67:$B$84</c:f>
              <c:numCache>
                <c:formatCode>0%</c:formatCode>
                <c:ptCount val="18"/>
                <c:pt idx="0">
                  <c:v>2.7000000000000006</c:v>
                </c:pt>
                <c:pt idx="1">
                  <c:v>2.6000000000000005</c:v>
                </c:pt>
                <c:pt idx="2">
                  <c:v>2.5000000000000004</c:v>
                </c:pt>
                <c:pt idx="3">
                  <c:v>2.4000000000000004</c:v>
                </c:pt>
                <c:pt idx="4">
                  <c:v>2.3000000000000003</c:v>
                </c:pt>
                <c:pt idx="5">
                  <c:v>2.2000000000000002</c:v>
                </c:pt>
                <c:pt idx="6">
                  <c:v>2.1</c:v>
                </c:pt>
                <c:pt idx="7">
                  <c:v>2</c:v>
                </c:pt>
                <c:pt idx="8">
                  <c:v>1.9000000000000001</c:v>
                </c:pt>
                <c:pt idx="9">
                  <c:v>1.8</c:v>
                </c:pt>
                <c:pt idx="10">
                  <c:v>1.7</c:v>
                </c:pt>
                <c:pt idx="11">
                  <c:v>1.5999999999999999</c:v>
                </c:pt>
                <c:pt idx="12">
                  <c:v>1.4999999999999998</c:v>
                </c:pt>
                <c:pt idx="13">
                  <c:v>1.3999999999999997</c:v>
                </c:pt>
                <c:pt idx="14">
                  <c:v>1.2999999999999996</c:v>
                </c:pt>
                <c:pt idx="15">
                  <c:v>1.1999999999999995</c:v>
                </c:pt>
                <c:pt idx="16">
                  <c:v>1.0999999999999994</c:v>
                </c:pt>
                <c:pt idx="17">
                  <c:v>0.99999999999999944</c:v>
                </c:pt>
              </c:numCache>
            </c:numRef>
          </c:cat>
          <c:val>
            <c:numRef>
              <c:f>Sensitivity!$E$67:$E$84</c:f>
              <c:numCache>
                <c:formatCode>"$"#,##0.00</c:formatCode>
                <c:ptCount val="18"/>
                <c:pt idx="0">
                  <c:v>100.17020020018388</c:v>
                </c:pt>
                <c:pt idx="1">
                  <c:v>95.058908907676283</c:v>
                </c:pt>
                <c:pt idx="2">
                  <c:v>89.541105559156378</c:v>
                </c:pt>
                <c:pt idx="3">
                  <c:v>83.566285611733491</c:v>
                </c:pt>
                <c:pt idx="4">
                  <c:v>77.075216926795008</c:v>
                </c:pt>
                <c:pt idx="5">
                  <c:v>69.780127022942267</c:v>
                </c:pt>
                <c:pt idx="6">
                  <c:v>62.012438378004262</c:v>
                </c:pt>
                <c:pt idx="7">
                  <c:v>53.472523376551948</c:v>
                </c:pt>
                <c:pt idx="8">
                  <c:v>44.039201882640022</c:v>
                </c:pt>
                <c:pt idx="9">
                  <c:v>33.564539704335225</c:v>
                </c:pt>
                <c:pt idx="10">
                  <c:v>21.501232801610026</c:v>
                </c:pt>
                <c:pt idx="11">
                  <c:v>8.304372014423965</c:v>
                </c:pt>
                <c:pt idx="12">
                  <c:v>-6.6417802611220722</c:v>
                </c:pt>
                <c:pt idx="13">
                  <c:v>-23.709724508979416</c:v>
                </c:pt>
                <c:pt idx="14">
                  <c:v>-43.38580405763296</c:v>
                </c:pt>
                <c:pt idx="15">
                  <c:v>-67.049324404345811</c:v>
                </c:pt>
                <c:pt idx="16">
                  <c:v>-94.255180243689679</c:v>
                </c:pt>
                <c:pt idx="17">
                  <c:v>-126.87038753647028</c:v>
                </c:pt>
              </c:numCache>
            </c:numRef>
          </c:val>
          <c:extLst>
            <c:ext xmlns:c16="http://schemas.microsoft.com/office/drawing/2014/chart" uri="{C3380CC4-5D6E-409C-BE32-E72D297353CC}">
              <c16:uniqueId val="{00000000-3375-49BE-9A1F-00B20F70238B}"/>
            </c:ext>
          </c:extLst>
        </c:ser>
        <c:ser>
          <c:idx val="0"/>
          <c:order val="1"/>
          <c:tx>
            <c:strRef>
              <c:f>Sensitivity!$F$66</c:f>
              <c:strCache>
                <c:ptCount val="1"/>
                <c:pt idx="0">
                  <c:v>$NCF/Lamb</c:v>
                </c:pt>
              </c:strCache>
            </c:strRef>
          </c:tx>
          <c:spPr>
            <a:solidFill>
              <a:srgbClr val="7030A0"/>
            </a:solidFill>
          </c:spPr>
          <c:invertIfNegative val="0"/>
          <c:cat>
            <c:numRef>
              <c:f>Sensitivity!$B$67:$B$84</c:f>
              <c:numCache>
                <c:formatCode>0%</c:formatCode>
                <c:ptCount val="18"/>
                <c:pt idx="0">
                  <c:v>2.7000000000000006</c:v>
                </c:pt>
                <c:pt idx="1">
                  <c:v>2.6000000000000005</c:v>
                </c:pt>
                <c:pt idx="2">
                  <c:v>2.5000000000000004</c:v>
                </c:pt>
                <c:pt idx="3">
                  <c:v>2.4000000000000004</c:v>
                </c:pt>
                <c:pt idx="4">
                  <c:v>2.3000000000000003</c:v>
                </c:pt>
                <c:pt idx="5">
                  <c:v>2.2000000000000002</c:v>
                </c:pt>
                <c:pt idx="6">
                  <c:v>2.1</c:v>
                </c:pt>
                <c:pt idx="7">
                  <c:v>2</c:v>
                </c:pt>
                <c:pt idx="8">
                  <c:v>1.9000000000000001</c:v>
                </c:pt>
                <c:pt idx="9">
                  <c:v>1.8</c:v>
                </c:pt>
                <c:pt idx="10">
                  <c:v>1.7</c:v>
                </c:pt>
                <c:pt idx="11">
                  <c:v>1.5999999999999999</c:v>
                </c:pt>
                <c:pt idx="12">
                  <c:v>1.4999999999999998</c:v>
                </c:pt>
                <c:pt idx="13">
                  <c:v>1.3999999999999997</c:v>
                </c:pt>
                <c:pt idx="14">
                  <c:v>1.2999999999999996</c:v>
                </c:pt>
                <c:pt idx="15">
                  <c:v>1.1999999999999995</c:v>
                </c:pt>
                <c:pt idx="16">
                  <c:v>1.0999999999999994</c:v>
                </c:pt>
                <c:pt idx="17">
                  <c:v>0.99999999999999944</c:v>
                </c:pt>
              </c:numCache>
            </c:numRef>
          </c:cat>
          <c:val>
            <c:numRef>
              <c:f>Sensitivity!$F$67:$F$84</c:f>
              <c:numCache>
                <c:formatCode>"$"#,##0.00</c:formatCode>
                <c:ptCount val="18"/>
                <c:pt idx="0">
                  <c:v>101.4918754362175</c:v>
                </c:pt>
                <c:pt idx="1">
                  <c:v>96.431131903018269</c:v>
                </c:pt>
                <c:pt idx="2">
                  <c:v>90.967896486476874</c:v>
                </c:pt>
                <c:pt idx="3">
                  <c:v>85.052164104862641</c:v>
                </c:pt>
                <c:pt idx="4">
                  <c:v>78.625288391673067</c:v>
                </c:pt>
                <c:pt idx="5">
                  <c:v>71.402342771425026</c:v>
                </c:pt>
                <c:pt idx="6">
                  <c:v>63.71147214243188</c:v>
                </c:pt>
                <c:pt idx="7">
                  <c:v>55.256012035702575</c:v>
                </c:pt>
                <c:pt idx="8">
                  <c:v>45.915980717807763</c:v>
                </c:pt>
                <c:pt idx="9">
                  <c:v>35.544906981703782</c:v>
                </c:pt>
                <c:pt idx="10">
                  <c:v>23.600899312555001</c:v>
                </c:pt>
                <c:pt idx="11">
                  <c:v>10.534547961149796</c:v>
                </c:pt>
                <c:pt idx="12">
                  <c:v>-4.2637953822545676</c:v>
                </c:pt>
                <c:pt idx="13">
                  <c:v>-21.162947384012757</c:v>
                </c:pt>
                <c:pt idx="14">
                  <c:v>-40.64444171412952</c:v>
                </c:pt>
                <c:pt idx="15">
                  <c:v>-64.073943324201835</c:v>
                </c:pt>
                <c:pt idx="16">
                  <c:v>-91.010748746724175</c:v>
                </c:pt>
                <c:pt idx="17">
                  <c:v>-123.30341021816902</c:v>
                </c:pt>
              </c:numCache>
            </c:numRef>
          </c:val>
          <c:extLst>
            <c:ext xmlns:c16="http://schemas.microsoft.com/office/drawing/2014/chart" uri="{C3380CC4-5D6E-409C-BE32-E72D297353CC}">
              <c16:uniqueId val="{00000000-A56B-4B2F-AEF6-9DB8BE60DDEC}"/>
            </c:ext>
          </c:extLst>
        </c:ser>
        <c:dLbls>
          <c:showLegendKey val="0"/>
          <c:showVal val="0"/>
          <c:showCatName val="0"/>
          <c:showSerName val="0"/>
          <c:showPercent val="0"/>
          <c:showBubbleSize val="0"/>
        </c:dLbls>
        <c:gapWidth val="150"/>
        <c:axId val="301644576"/>
        <c:axId val="1"/>
      </c:barChart>
      <c:catAx>
        <c:axId val="301644576"/>
        <c:scaling>
          <c:orientation val="minMax"/>
        </c:scaling>
        <c:delete val="0"/>
        <c:axPos val="b"/>
        <c:minorGridlines/>
        <c:title>
          <c:tx>
            <c:rich>
              <a:bodyPr/>
              <a:lstStyle/>
              <a:p>
                <a:pPr>
                  <a:defRPr sz="1200" b="1" i="0" u="none" strike="noStrike" baseline="0">
                    <a:solidFill>
                      <a:srgbClr val="000000"/>
                    </a:solidFill>
                    <a:latin typeface="Arial"/>
                    <a:ea typeface="Arial"/>
                    <a:cs typeface="Arial"/>
                  </a:defRPr>
                </a:pPr>
                <a:r>
                  <a:rPr lang="en-US"/>
                  <a:t>Productivity Rate</a:t>
                </a:r>
              </a:p>
            </c:rich>
          </c:tx>
          <c:layout>
            <c:manualLayout>
              <c:xMode val="edge"/>
              <c:yMode val="edge"/>
              <c:x val="0.22615102799650044"/>
              <c:y val="0.91728083989501319"/>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4500000" vert="horz"/>
          <a:lstStyle/>
          <a:p>
            <a:pPr>
              <a:defRPr sz="105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ax val="160"/>
          <c:min val="-12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Dollars Per Market Lamb</a:t>
                </a:r>
              </a:p>
            </c:rich>
          </c:tx>
          <c:layout>
            <c:manualLayout>
              <c:xMode val="edge"/>
              <c:yMode val="edge"/>
              <c:x val="2.6936037292213472E-2"/>
              <c:y val="0.25061417322834645"/>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50" b="1" i="0" u="none" strike="noStrike" baseline="0">
                <a:solidFill>
                  <a:srgbClr val="000000"/>
                </a:solidFill>
                <a:latin typeface="Arial"/>
                <a:ea typeface="Arial"/>
                <a:cs typeface="Arial"/>
              </a:defRPr>
            </a:pPr>
            <a:endParaRPr lang="en-US"/>
          </a:p>
        </c:txPr>
        <c:crossAx val="301644576"/>
        <c:crosses val="autoZero"/>
        <c:crossBetween val="between"/>
        <c:majorUnit val="20"/>
      </c:valAx>
      <c:spPr>
        <a:solidFill>
          <a:srgbClr val="C0C0C0"/>
        </a:solidFill>
        <a:ln w="12700">
          <a:solidFill>
            <a:srgbClr val="808080"/>
          </a:solidFill>
          <a:prstDash val="solid"/>
        </a:ln>
      </c:spPr>
    </c:plotArea>
    <c:legend>
      <c:legendPos val="r"/>
      <c:layout>
        <c:manualLayout>
          <c:xMode val="edge"/>
          <c:yMode val="edge"/>
          <c:x val="0.47236900563210849"/>
          <c:y val="0.91619097612798406"/>
          <c:w val="0.41556231999019072"/>
          <c:h val="6.7478132146336398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475" b="1" i="0" u="none" strike="noStrike" baseline="0">
                <a:solidFill>
                  <a:srgbClr val="000000"/>
                </a:solidFill>
                <a:latin typeface="Arial"/>
                <a:cs typeface="Arial"/>
              </a:rPr>
              <a:t>Sensitivity To Feed and Pasture Price Change</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Net Cash Flow Per Market Lamb) </a:t>
            </a:r>
          </a:p>
        </c:rich>
      </c:tx>
      <c:layout>
        <c:manualLayout>
          <c:xMode val="edge"/>
          <c:yMode val="edge"/>
          <c:x val="0.132773198272091"/>
          <c:y val="3.1325235199490008E-2"/>
        </c:manualLayout>
      </c:layout>
      <c:overlay val="0"/>
      <c:spPr>
        <a:noFill/>
        <a:ln w="25400">
          <a:noFill/>
        </a:ln>
      </c:spPr>
    </c:title>
    <c:autoTitleDeleted val="0"/>
    <c:plotArea>
      <c:layout>
        <c:manualLayout>
          <c:layoutTarget val="inner"/>
          <c:xMode val="edge"/>
          <c:yMode val="edge"/>
          <c:x val="0.13781523914722224"/>
          <c:y val="0.15646583502904834"/>
          <c:w val="0.83865615042029151"/>
          <c:h val="0.72681810138901182"/>
        </c:manualLayout>
      </c:layout>
      <c:barChart>
        <c:barDir val="col"/>
        <c:grouping val="clustered"/>
        <c:varyColors val="0"/>
        <c:ser>
          <c:idx val="0"/>
          <c:order val="0"/>
          <c:tx>
            <c:strRef>
              <c:f>Sensitivity!$E$94</c:f>
              <c:strCache>
                <c:ptCount val="1"/>
                <c:pt idx="0">
                  <c:v>$NI/Lamb</c:v>
                </c:pt>
              </c:strCache>
            </c:strRef>
          </c:tx>
          <c:spPr>
            <a:solidFill>
              <a:schemeClr val="tx1"/>
            </a:solidFill>
            <a:ln w="12700">
              <a:solidFill>
                <a:srgbClr val="000000"/>
              </a:solidFill>
              <a:prstDash val="solid"/>
            </a:ln>
          </c:spPr>
          <c:invertIfNegative val="0"/>
          <c:cat>
            <c:strRef>
              <c:f>Sensitivity!$B$95:$B$115</c:f>
              <c:strCache>
                <c:ptCount val="21"/>
                <c:pt idx="0">
                  <c:v>50%</c:v>
                </c:pt>
                <c:pt idx="1">
                  <c:v>45%</c:v>
                </c:pt>
                <c:pt idx="2">
                  <c:v>40%</c:v>
                </c:pt>
                <c:pt idx="3">
                  <c:v>35%</c:v>
                </c:pt>
                <c:pt idx="4">
                  <c:v>30%</c:v>
                </c:pt>
                <c:pt idx="5">
                  <c:v>25%</c:v>
                </c:pt>
                <c:pt idx="6">
                  <c:v>20%</c:v>
                </c:pt>
                <c:pt idx="7">
                  <c:v>15%</c:v>
                </c:pt>
                <c:pt idx="8">
                  <c:v>10%</c:v>
                </c:pt>
                <c:pt idx="9">
                  <c:v>5%</c:v>
                </c:pt>
                <c:pt idx="10">
                  <c:v>Base</c:v>
                </c:pt>
                <c:pt idx="11">
                  <c:v>-5%</c:v>
                </c:pt>
                <c:pt idx="12">
                  <c:v>-10%</c:v>
                </c:pt>
                <c:pt idx="13">
                  <c:v>-15%</c:v>
                </c:pt>
                <c:pt idx="14">
                  <c:v>-20%</c:v>
                </c:pt>
                <c:pt idx="15">
                  <c:v>-25%</c:v>
                </c:pt>
                <c:pt idx="16">
                  <c:v>-30%</c:v>
                </c:pt>
                <c:pt idx="17">
                  <c:v>-35%</c:v>
                </c:pt>
                <c:pt idx="18">
                  <c:v>-40%</c:v>
                </c:pt>
                <c:pt idx="19">
                  <c:v>-45%</c:v>
                </c:pt>
                <c:pt idx="20">
                  <c:v>-50%</c:v>
                </c:pt>
              </c:strCache>
            </c:strRef>
          </c:cat>
          <c:val>
            <c:numRef>
              <c:f>Sensitivity!$E$95:$E$115</c:f>
              <c:numCache>
                <c:formatCode>"$"#,##0.00</c:formatCode>
                <c:ptCount val="21"/>
                <c:pt idx="0">
                  <c:v>-35.266277183653379</c:v>
                </c:pt>
                <c:pt idx="1">
                  <c:v>-28.383195494854494</c:v>
                </c:pt>
                <c:pt idx="2">
                  <c:v>-21.500113806055609</c:v>
                </c:pt>
                <c:pt idx="3">
                  <c:v>-14.617032117256819</c:v>
                </c:pt>
                <c:pt idx="4">
                  <c:v>-7.7339504284579341</c:v>
                </c:pt>
                <c:pt idx="5">
                  <c:v>-0.8508687396590483</c:v>
                </c:pt>
                <c:pt idx="6">
                  <c:v>6.0322129491398373</c:v>
                </c:pt>
                <c:pt idx="7">
                  <c:v>12.915294637938675</c:v>
                </c:pt>
                <c:pt idx="8">
                  <c:v>19.798376326737515</c:v>
                </c:pt>
                <c:pt idx="9">
                  <c:v>26.6814580155364</c:v>
                </c:pt>
                <c:pt idx="10">
                  <c:v>33.564539704335239</c:v>
                </c:pt>
                <c:pt idx="11">
                  <c:v>40.447621393134078</c:v>
                </c:pt>
                <c:pt idx="12">
                  <c:v>47.33070308193296</c:v>
                </c:pt>
                <c:pt idx="13">
                  <c:v>54.213784770731849</c:v>
                </c:pt>
                <c:pt idx="14">
                  <c:v>61.096866459530638</c:v>
                </c:pt>
                <c:pt idx="15">
                  <c:v>67.979948148329527</c:v>
                </c:pt>
                <c:pt idx="16">
                  <c:v>74.863029837128408</c:v>
                </c:pt>
                <c:pt idx="17">
                  <c:v>81.746111525927247</c:v>
                </c:pt>
                <c:pt idx="18">
                  <c:v>88.629193214726087</c:v>
                </c:pt>
                <c:pt idx="19">
                  <c:v>95.512274903524968</c:v>
                </c:pt>
                <c:pt idx="20">
                  <c:v>102.39535659232381</c:v>
                </c:pt>
              </c:numCache>
            </c:numRef>
          </c:val>
          <c:extLst>
            <c:ext xmlns:c16="http://schemas.microsoft.com/office/drawing/2014/chart" uri="{C3380CC4-5D6E-409C-BE32-E72D297353CC}">
              <c16:uniqueId val="{00000000-061B-4C8B-9DC0-05FB5F2EEFC0}"/>
            </c:ext>
          </c:extLst>
        </c:ser>
        <c:ser>
          <c:idx val="1"/>
          <c:order val="1"/>
          <c:tx>
            <c:strRef>
              <c:f>Sensitivity!$F$94</c:f>
              <c:strCache>
                <c:ptCount val="1"/>
                <c:pt idx="0">
                  <c:v>$NCF/Lamb</c:v>
                </c:pt>
              </c:strCache>
            </c:strRef>
          </c:tx>
          <c:spPr>
            <a:solidFill>
              <a:srgbClr val="00B050"/>
            </a:solidFill>
          </c:spPr>
          <c:invertIfNegative val="0"/>
          <c:cat>
            <c:strRef>
              <c:f>Sensitivity!$B$95:$B$115</c:f>
              <c:strCache>
                <c:ptCount val="21"/>
                <c:pt idx="0">
                  <c:v>50%</c:v>
                </c:pt>
                <c:pt idx="1">
                  <c:v>45%</c:v>
                </c:pt>
                <c:pt idx="2">
                  <c:v>40%</c:v>
                </c:pt>
                <c:pt idx="3">
                  <c:v>35%</c:v>
                </c:pt>
                <c:pt idx="4">
                  <c:v>30%</c:v>
                </c:pt>
                <c:pt idx="5">
                  <c:v>25%</c:v>
                </c:pt>
                <c:pt idx="6">
                  <c:v>20%</c:v>
                </c:pt>
                <c:pt idx="7">
                  <c:v>15%</c:v>
                </c:pt>
                <c:pt idx="8">
                  <c:v>10%</c:v>
                </c:pt>
                <c:pt idx="9">
                  <c:v>5%</c:v>
                </c:pt>
                <c:pt idx="10">
                  <c:v>Base</c:v>
                </c:pt>
                <c:pt idx="11">
                  <c:v>-5%</c:v>
                </c:pt>
                <c:pt idx="12">
                  <c:v>-10%</c:v>
                </c:pt>
                <c:pt idx="13">
                  <c:v>-15%</c:v>
                </c:pt>
                <c:pt idx="14">
                  <c:v>-20%</c:v>
                </c:pt>
                <c:pt idx="15">
                  <c:v>-25%</c:v>
                </c:pt>
                <c:pt idx="16">
                  <c:v>-30%</c:v>
                </c:pt>
                <c:pt idx="17">
                  <c:v>-35%</c:v>
                </c:pt>
                <c:pt idx="18">
                  <c:v>-40%</c:v>
                </c:pt>
                <c:pt idx="19">
                  <c:v>-45%</c:v>
                </c:pt>
                <c:pt idx="20">
                  <c:v>-50%</c:v>
                </c:pt>
              </c:strCache>
            </c:strRef>
          </c:cat>
          <c:val>
            <c:numRef>
              <c:f>Sensitivity!$F$95:$F$115</c:f>
              <c:numCache>
                <c:formatCode>"$"#,##0.00</c:formatCode>
                <c:ptCount val="21"/>
                <c:pt idx="0">
                  <c:v>-33.285909906284822</c:v>
                </c:pt>
                <c:pt idx="1">
                  <c:v>-26.40282821748594</c:v>
                </c:pt>
                <c:pt idx="2">
                  <c:v>-19.519746528687055</c:v>
                </c:pt>
                <c:pt idx="3">
                  <c:v>-12.636664839888265</c:v>
                </c:pt>
                <c:pt idx="4">
                  <c:v>-5.75358315108938</c:v>
                </c:pt>
                <c:pt idx="5">
                  <c:v>1.1294985377095061</c:v>
                </c:pt>
                <c:pt idx="6">
                  <c:v>8.0125802265083923</c:v>
                </c:pt>
                <c:pt idx="7">
                  <c:v>14.89566191530723</c:v>
                </c:pt>
                <c:pt idx="8">
                  <c:v>21.778743604106069</c:v>
                </c:pt>
                <c:pt idx="9">
                  <c:v>28.661825292904954</c:v>
                </c:pt>
                <c:pt idx="10">
                  <c:v>35.544906981703797</c:v>
                </c:pt>
                <c:pt idx="11">
                  <c:v>42.427988670502636</c:v>
                </c:pt>
                <c:pt idx="12">
                  <c:v>49.311070359301517</c:v>
                </c:pt>
                <c:pt idx="13">
                  <c:v>56.194152048100406</c:v>
                </c:pt>
                <c:pt idx="14">
                  <c:v>63.077233736899196</c:v>
                </c:pt>
                <c:pt idx="15">
                  <c:v>69.960315425698084</c:v>
                </c:pt>
                <c:pt idx="16">
                  <c:v>76.843397114496966</c:v>
                </c:pt>
                <c:pt idx="17">
                  <c:v>83.726478803295805</c:v>
                </c:pt>
                <c:pt idx="18">
                  <c:v>90.609560492094644</c:v>
                </c:pt>
                <c:pt idx="19">
                  <c:v>97.492642180893526</c:v>
                </c:pt>
                <c:pt idx="20">
                  <c:v>104.37572386969237</c:v>
                </c:pt>
              </c:numCache>
            </c:numRef>
          </c:val>
          <c:extLst>
            <c:ext xmlns:c16="http://schemas.microsoft.com/office/drawing/2014/chart" uri="{C3380CC4-5D6E-409C-BE32-E72D297353CC}">
              <c16:uniqueId val="{00000000-D298-443A-97B4-CD12321BFEC2}"/>
            </c:ext>
          </c:extLst>
        </c:ser>
        <c:dLbls>
          <c:showLegendKey val="0"/>
          <c:showVal val="0"/>
          <c:showCatName val="0"/>
          <c:showSerName val="0"/>
          <c:showPercent val="0"/>
          <c:showBubbleSize val="0"/>
        </c:dLbls>
        <c:gapWidth val="150"/>
        <c:axId val="301649496"/>
        <c:axId val="1"/>
      </c:barChart>
      <c:catAx>
        <c:axId val="301649496"/>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Feed and Pasture Price Change (%)</a:t>
                </a:r>
              </a:p>
            </c:rich>
          </c:tx>
          <c:layout>
            <c:manualLayout>
              <c:xMode val="edge"/>
              <c:yMode val="edge"/>
              <c:x val="0.18991637275809273"/>
              <c:y val="0.9159390299172754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3120000" vert="horz"/>
          <a:lstStyle/>
          <a:p>
            <a:pPr>
              <a:defRPr sz="10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ax val="160"/>
          <c:min val="-10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Dollars Per Market Lamb</a:t>
                </a:r>
              </a:p>
            </c:rich>
          </c:tx>
          <c:layout>
            <c:manualLayout>
              <c:xMode val="edge"/>
              <c:yMode val="edge"/>
              <c:x val="2.6890754866579179E-2"/>
              <c:y val="0.2530121472007649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50" b="1" i="0" u="none" strike="noStrike" baseline="0">
                <a:solidFill>
                  <a:srgbClr val="000000"/>
                </a:solidFill>
                <a:latin typeface="Arial"/>
                <a:ea typeface="Arial"/>
                <a:cs typeface="Arial"/>
              </a:defRPr>
            </a:pPr>
            <a:endParaRPr lang="en-US"/>
          </a:p>
        </c:txPr>
        <c:crossAx val="301649496"/>
        <c:crosses val="autoZero"/>
        <c:crossBetween val="between"/>
        <c:majorUnit val="20"/>
      </c:valAx>
      <c:spPr>
        <a:solidFill>
          <a:srgbClr val="C0C0C0"/>
        </a:solidFill>
        <a:ln w="12700">
          <a:solidFill>
            <a:srgbClr val="808080"/>
          </a:solidFill>
          <a:prstDash val="solid"/>
        </a:ln>
      </c:spPr>
    </c:plotArea>
    <c:legend>
      <c:legendPos val="r"/>
      <c:layout>
        <c:manualLayout>
          <c:xMode val="edge"/>
          <c:yMode val="edge"/>
          <c:x val="0.66381679823166539"/>
          <c:y val="0.90659210415380542"/>
          <c:w val="0.32645094111614809"/>
          <c:h val="8.3644245378730983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Arial"/>
                <a:ea typeface="Arial"/>
                <a:cs typeface="Arial"/>
              </a:defRPr>
            </a:pPr>
            <a:r>
              <a:rPr lang="en-US" sz="1650" b="1" i="0" u="none" strike="noStrike" baseline="0">
                <a:solidFill>
                  <a:srgbClr val="000000"/>
                </a:solidFill>
                <a:latin typeface="Arial"/>
                <a:cs typeface="Arial"/>
              </a:rPr>
              <a:t>Sensitivity To Feeder Lamb Price </a:t>
            </a:r>
          </a:p>
          <a:p>
            <a:pPr>
              <a:defRPr sz="1200" b="0" i="0" u="none" strike="noStrike" baseline="0">
                <a:solidFill>
                  <a:srgbClr val="000000"/>
                </a:solidFill>
                <a:latin typeface="Arial"/>
                <a:ea typeface="Arial"/>
                <a:cs typeface="Arial"/>
              </a:defRPr>
            </a:pPr>
            <a:r>
              <a:rPr lang="en-US" sz="1200" b="1" i="0" u="none" strike="noStrike" baseline="0">
                <a:solidFill>
                  <a:srgbClr val="000000"/>
                </a:solidFill>
                <a:latin typeface="Arial"/>
                <a:cs typeface="Arial"/>
              </a:rPr>
              <a:t>(Net Income &amp; Cash Flow Per Feeder Lamb)</a:t>
            </a:r>
          </a:p>
        </c:rich>
      </c:tx>
      <c:layout>
        <c:manualLayout>
          <c:xMode val="edge"/>
          <c:yMode val="edge"/>
          <c:x val="0.2684562157003102"/>
          <c:y val="1.2562836425107879E-2"/>
        </c:manualLayout>
      </c:layout>
      <c:overlay val="0"/>
      <c:spPr>
        <a:noFill/>
        <a:ln w="25400">
          <a:noFill/>
        </a:ln>
      </c:spPr>
    </c:title>
    <c:autoTitleDeleted val="0"/>
    <c:plotArea>
      <c:layout>
        <c:manualLayout>
          <c:layoutTarget val="inner"/>
          <c:xMode val="edge"/>
          <c:yMode val="edge"/>
          <c:x val="0.1476510067114094"/>
          <c:y val="0.15829145728643215"/>
          <c:w val="0.82885906040268453"/>
          <c:h val="0.72427974713277576"/>
        </c:manualLayout>
      </c:layout>
      <c:barChart>
        <c:barDir val="col"/>
        <c:grouping val="clustered"/>
        <c:varyColors val="0"/>
        <c:ser>
          <c:idx val="0"/>
          <c:order val="0"/>
          <c:tx>
            <c:strRef>
              <c:f>Sensitivity!$E$8</c:f>
              <c:strCache>
                <c:ptCount val="1"/>
                <c:pt idx="0">
                  <c:v>$N.I./ Lamb</c:v>
                </c:pt>
              </c:strCache>
            </c:strRef>
          </c:tx>
          <c:spPr>
            <a:solidFill>
              <a:srgbClr val="00B050"/>
            </a:solidFill>
            <a:ln w="12700">
              <a:solidFill>
                <a:srgbClr val="00B050"/>
              </a:solidFill>
              <a:prstDash val="solid"/>
            </a:ln>
          </c:spPr>
          <c:invertIfNegative val="0"/>
          <c:cat>
            <c:numRef>
              <c:f>Sensitivity!$B$9:$B$29</c:f>
              <c:numCache>
                <c:formatCode>"$"#,##0.00</c:formatCode>
                <c:ptCount val="21"/>
                <c:pt idx="0">
                  <c:v>3.4999999999999982</c:v>
                </c:pt>
                <c:pt idx="1">
                  <c:v>3.4499999999999984</c:v>
                </c:pt>
                <c:pt idx="2">
                  <c:v>3.3999999999999986</c:v>
                </c:pt>
                <c:pt idx="3">
                  <c:v>3.3499999999999988</c:v>
                </c:pt>
                <c:pt idx="4">
                  <c:v>3.2999999999999989</c:v>
                </c:pt>
                <c:pt idx="5">
                  <c:v>3.2499999999999991</c:v>
                </c:pt>
                <c:pt idx="6">
                  <c:v>3.1999999999999993</c:v>
                </c:pt>
                <c:pt idx="7">
                  <c:v>3.1499999999999995</c:v>
                </c:pt>
                <c:pt idx="8">
                  <c:v>3.0999999999999996</c:v>
                </c:pt>
                <c:pt idx="9">
                  <c:v>3.05</c:v>
                </c:pt>
                <c:pt idx="10">
                  <c:v>3</c:v>
                </c:pt>
                <c:pt idx="11">
                  <c:v>2.9</c:v>
                </c:pt>
                <c:pt idx="12">
                  <c:v>2.85</c:v>
                </c:pt>
                <c:pt idx="13">
                  <c:v>2.8000000000000003</c:v>
                </c:pt>
                <c:pt idx="14">
                  <c:v>2.7500000000000004</c:v>
                </c:pt>
                <c:pt idx="15">
                  <c:v>2.7000000000000006</c:v>
                </c:pt>
                <c:pt idx="16">
                  <c:v>2.6500000000000008</c:v>
                </c:pt>
                <c:pt idx="17">
                  <c:v>2.600000000000001</c:v>
                </c:pt>
                <c:pt idx="18">
                  <c:v>2.5500000000000012</c:v>
                </c:pt>
                <c:pt idx="19">
                  <c:v>2.5000000000000013</c:v>
                </c:pt>
                <c:pt idx="20">
                  <c:v>2.4500000000000015</c:v>
                </c:pt>
              </c:numCache>
            </c:numRef>
          </c:cat>
          <c:val>
            <c:numRef>
              <c:f>Sensitivity!$E$9:$E$29</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0013-4949-B77A-267F465E8662}"/>
            </c:ext>
          </c:extLst>
        </c:ser>
        <c:ser>
          <c:idx val="1"/>
          <c:order val="1"/>
          <c:tx>
            <c:strRef>
              <c:f>Sensitivity!$F$8</c:f>
              <c:strCache>
                <c:ptCount val="1"/>
                <c:pt idx="0">
                  <c:v>$C.F./Lamb</c:v>
                </c:pt>
              </c:strCache>
            </c:strRef>
          </c:tx>
          <c:spPr>
            <a:solidFill>
              <a:srgbClr val="7030A0"/>
            </a:solidFill>
          </c:spPr>
          <c:invertIfNegative val="0"/>
          <c:cat>
            <c:numRef>
              <c:f>Sensitivity!$B$9:$B$29</c:f>
              <c:numCache>
                <c:formatCode>"$"#,##0.00</c:formatCode>
                <c:ptCount val="21"/>
                <c:pt idx="0">
                  <c:v>3.4999999999999982</c:v>
                </c:pt>
                <c:pt idx="1">
                  <c:v>3.4499999999999984</c:v>
                </c:pt>
                <c:pt idx="2">
                  <c:v>3.3999999999999986</c:v>
                </c:pt>
                <c:pt idx="3">
                  <c:v>3.3499999999999988</c:v>
                </c:pt>
                <c:pt idx="4">
                  <c:v>3.2999999999999989</c:v>
                </c:pt>
                <c:pt idx="5">
                  <c:v>3.2499999999999991</c:v>
                </c:pt>
                <c:pt idx="6">
                  <c:v>3.1999999999999993</c:v>
                </c:pt>
                <c:pt idx="7">
                  <c:v>3.1499999999999995</c:v>
                </c:pt>
                <c:pt idx="8">
                  <c:v>3.0999999999999996</c:v>
                </c:pt>
                <c:pt idx="9">
                  <c:v>3.05</c:v>
                </c:pt>
                <c:pt idx="10">
                  <c:v>3</c:v>
                </c:pt>
                <c:pt idx="11">
                  <c:v>2.9</c:v>
                </c:pt>
                <c:pt idx="12">
                  <c:v>2.85</c:v>
                </c:pt>
                <c:pt idx="13">
                  <c:v>2.8000000000000003</c:v>
                </c:pt>
                <c:pt idx="14">
                  <c:v>2.7500000000000004</c:v>
                </c:pt>
                <c:pt idx="15">
                  <c:v>2.7000000000000006</c:v>
                </c:pt>
                <c:pt idx="16">
                  <c:v>2.6500000000000008</c:v>
                </c:pt>
                <c:pt idx="17">
                  <c:v>2.600000000000001</c:v>
                </c:pt>
                <c:pt idx="18">
                  <c:v>2.5500000000000012</c:v>
                </c:pt>
                <c:pt idx="19">
                  <c:v>2.5000000000000013</c:v>
                </c:pt>
                <c:pt idx="20">
                  <c:v>2.4500000000000015</c:v>
                </c:pt>
              </c:numCache>
            </c:numRef>
          </c:cat>
          <c:val>
            <c:numRef>
              <c:f>Sensitivity!$F$9:$F$29</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D3BA-4D28-8676-B34E2866211B}"/>
            </c:ext>
          </c:extLst>
        </c:ser>
        <c:dLbls>
          <c:showLegendKey val="0"/>
          <c:showVal val="0"/>
          <c:showCatName val="0"/>
          <c:showSerName val="0"/>
          <c:showPercent val="0"/>
          <c:showBubbleSize val="0"/>
        </c:dLbls>
        <c:gapWidth val="150"/>
        <c:axId val="301651464"/>
        <c:axId val="1"/>
      </c:barChart>
      <c:catAx>
        <c:axId val="301651464"/>
        <c:scaling>
          <c:orientation val="minMax"/>
        </c:scaling>
        <c:delete val="0"/>
        <c:axPos val="b"/>
        <c:title>
          <c:tx>
            <c:rich>
              <a:bodyPr/>
              <a:lstStyle/>
              <a:p>
                <a:pPr>
                  <a:defRPr sz="1200" b="1" i="0" u="none" strike="noStrike" baseline="0">
                    <a:solidFill>
                      <a:srgbClr val="000000"/>
                    </a:solidFill>
                    <a:latin typeface="Arial"/>
                    <a:ea typeface="Arial"/>
                    <a:cs typeface="Arial"/>
                  </a:defRPr>
                </a:pPr>
                <a:r>
                  <a:rPr lang="en-US"/>
                  <a:t>$ Per LB</a:t>
                </a:r>
              </a:p>
            </c:rich>
          </c:tx>
          <c:layout>
            <c:manualLayout>
              <c:xMode val="edge"/>
              <c:yMode val="edge"/>
              <c:x val="0.28022309711286086"/>
              <c:y val="0.92128257979052053"/>
            </c:manualLayout>
          </c:layout>
          <c:overlay val="0"/>
          <c:spPr>
            <a:noFill/>
            <a:ln w="25400">
              <a:noFill/>
            </a:ln>
          </c:spPr>
        </c:title>
        <c:numFmt formatCode="&quot;$&quot;#,##0.00" sourceLinked="1"/>
        <c:majorTickMark val="out"/>
        <c:minorTickMark val="none"/>
        <c:tickLblPos val="nextTo"/>
        <c:spPr>
          <a:ln w="3175">
            <a:solidFill>
              <a:srgbClr val="000000"/>
            </a:solidFill>
            <a:prstDash val="solid"/>
          </a:ln>
        </c:spPr>
        <c:txPr>
          <a:bodyPr rot="-4500000" vert="horz"/>
          <a:lstStyle/>
          <a:p>
            <a:pPr>
              <a:defRPr sz="1000" b="1"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min val="-40"/>
        </c:scaling>
        <c:delete val="0"/>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en-US"/>
                  <a:t>Dollar Per Feeder Lamb</a:t>
                </a:r>
              </a:p>
            </c:rich>
          </c:tx>
          <c:layout>
            <c:manualLayout>
              <c:xMode val="edge"/>
              <c:yMode val="edge"/>
              <c:x val="2.6845621570031016E-2"/>
              <c:y val="0.25125623421366111"/>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00" b="1" i="0" u="none" strike="noStrike" baseline="0">
                <a:solidFill>
                  <a:srgbClr val="000000"/>
                </a:solidFill>
                <a:latin typeface="Arial"/>
                <a:ea typeface="Arial"/>
                <a:cs typeface="Arial"/>
              </a:defRPr>
            </a:pPr>
            <a:endParaRPr lang="en-US"/>
          </a:p>
        </c:txPr>
        <c:crossAx val="301651464"/>
        <c:crosses val="autoZero"/>
        <c:crossBetween val="between"/>
        <c:majorUnit val="10"/>
      </c:valAx>
      <c:spPr>
        <a:solidFill>
          <a:srgbClr val="C0C0C0"/>
        </a:solidFill>
        <a:ln w="12700">
          <a:solidFill>
            <a:srgbClr val="808080"/>
          </a:solidFill>
          <a:prstDash val="solid"/>
        </a:ln>
      </c:spPr>
    </c:plotArea>
    <c:legend>
      <c:legendPos val="r"/>
      <c:layout>
        <c:manualLayout>
          <c:xMode val="edge"/>
          <c:yMode val="edge"/>
          <c:x val="0.46789088863892014"/>
          <c:y val="0.91140397704524212"/>
          <c:w val="0.45000393633976388"/>
          <c:h val="7.5678838338235382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95250</xdr:colOff>
          <xdr:row>20</xdr:row>
          <xdr:rowOff>76200</xdr:rowOff>
        </xdr:from>
        <xdr:to>
          <xdr:col>10</xdr:col>
          <xdr:colOff>409575</xdr:colOff>
          <xdr:row>29</xdr:row>
          <xdr:rowOff>19050</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00000000-0008-0000-0000-000003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I have read, understood, and agree to the terms of the above copyright notice and disclaimer, as conditions of my usage of the said software, and I further agree to release and indemnify the Government of Saskatchewan and its agents from all claims arising from my use or operation of the software.</a:t>
              </a:r>
            </a:p>
            <a:p>
              <a:pPr algn="ctr" rtl="0">
                <a:defRPr sz="1000"/>
              </a:pPr>
              <a:endParaRPr lang="en-US" sz="1100" b="1" i="0" u="none" strike="noStrike" baseline="0">
                <a:solidFill>
                  <a:srgbClr val="000000"/>
                </a:solidFill>
                <a:latin typeface="Arial"/>
                <a:cs typeface="Arial"/>
              </a:endParaRPr>
            </a:p>
            <a:p>
              <a:pPr algn="ctr" rtl="0">
                <a:defRPr sz="1000"/>
              </a:pPr>
              <a:r>
                <a:rPr lang="en-US" sz="1100" b="1" i="0" u="none" strike="noStrike" baseline="0">
                  <a:solidFill>
                    <a:srgbClr val="000000"/>
                  </a:solidFill>
                  <a:latin typeface="Arial"/>
                  <a:cs typeface="Arial"/>
                </a:rPr>
                <a:t>(If you agree with the above please click on this box, you will then continue) </a:t>
              </a:r>
            </a:p>
          </xdr:txBody>
        </xdr:sp>
        <xdr:clientData fPrintsWithSheet="0"/>
      </xdr:twoCellAnchor>
    </mc:Choice>
    <mc:Fallback/>
  </mc:AlternateContent>
  <xdr:twoCellAnchor editAs="oneCell">
    <xdr:from>
      <xdr:col>6</xdr:col>
      <xdr:colOff>464820</xdr:colOff>
      <xdr:row>3</xdr:row>
      <xdr:rowOff>15240</xdr:rowOff>
    </xdr:from>
    <xdr:to>
      <xdr:col>10</xdr:col>
      <xdr:colOff>586740</xdr:colOff>
      <xdr:row>4</xdr:row>
      <xdr:rowOff>198120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848100" y="541020"/>
          <a:ext cx="2682240" cy="3581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314325</xdr:colOff>
          <xdr:row>32</xdr:row>
          <xdr:rowOff>161925</xdr:rowOff>
        </xdr:from>
        <xdr:to>
          <xdr:col>1</xdr:col>
          <xdr:colOff>2914650</xdr:colOff>
          <xdr:row>35</xdr:row>
          <xdr:rowOff>19050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Go To COP Calculation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2952750</xdr:colOff>
          <xdr:row>32</xdr:row>
          <xdr:rowOff>142875</xdr:rowOff>
        </xdr:from>
        <xdr:to>
          <xdr:col>2</xdr:col>
          <xdr:colOff>19050</xdr:colOff>
          <xdr:row>35</xdr:row>
          <xdr:rowOff>9525</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Go To Input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0</xdr:row>
          <xdr:rowOff>95250</xdr:rowOff>
        </xdr:from>
        <xdr:to>
          <xdr:col>1</xdr:col>
          <xdr:colOff>4086225</xdr:colOff>
          <xdr:row>2</xdr:row>
          <xdr:rowOff>95250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100-000003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 - Introduction Sheet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28575</xdr:colOff>
          <xdr:row>151</xdr:row>
          <xdr:rowOff>95250</xdr:rowOff>
        </xdr:from>
        <xdr:to>
          <xdr:col>2</xdr:col>
          <xdr:colOff>2581275</xdr:colOff>
          <xdr:row>153</xdr:row>
          <xdr:rowOff>133350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COP Analysis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600075</xdr:colOff>
          <xdr:row>0</xdr:row>
          <xdr:rowOff>133350</xdr:rowOff>
        </xdr:from>
        <xdr:to>
          <xdr:col>2</xdr:col>
          <xdr:colOff>2409825</xdr:colOff>
          <xdr:row>3</xdr:row>
          <xdr:rowOff>0</xdr:rowOff>
        </xdr:to>
        <xdr:sp macro="" textlink="">
          <xdr:nvSpPr>
            <xdr:cNvPr id="5134" name="Button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COP Input Sheet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161925</xdr:rowOff>
        </xdr:from>
        <xdr:to>
          <xdr:col>4</xdr:col>
          <xdr:colOff>38100</xdr:colOff>
          <xdr:row>2</xdr:row>
          <xdr:rowOff>142875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Sheep Input Sheet</a:t>
              </a:r>
            </a:p>
          </xdr:txBody>
        </xdr:sp>
        <xdr:clientData fPrintsWithSheet="0"/>
      </xdr:twoCellAnchor>
    </mc:Choice>
    <mc:Fallback/>
  </mc:AlternateContent>
  <xdr:oneCellAnchor>
    <xdr:from>
      <xdr:col>5</xdr:col>
      <xdr:colOff>662940</xdr:colOff>
      <xdr:row>12</xdr:row>
      <xdr:rowOff>102870</xdr:rowOff>
    </xdr:from>
    <xdr:ext cx="65" cy="172227"/>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584454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95250</xdr:rowOff>
        </xdr:from>
        <xdr:to>
          <xdr:col>5</xdr:col>
          <xdr:colOff>276225</xdr:colOff>
          <xdr:row>2</xdr:row>
          <xdr:rowOff>57150</xdr:rowOff>
        </xdr:to>
        <xdr:sp macro="" textlink="">
          <xdr:nvSpPr>
            <xdr:cNvPr id="233473" name="Button 1" hidden="1">
              <a:extLst>
                <a:ext uri="{63B3BB69-23CF-44E3-9099-C40C66FF867C}">
                  <a14:compatExt spid="_x0000_s233473"/>
                </a:ext>
                <a:ext uri="{FF2B5EF4-FFF2-40B4-BE49-F238E27FC236}">
                  <a16:creationId xmlns:a16="http://schemas.microsoft.com/office/drawing/2014/main" id="{00000000-0008-0000-0400-0000019003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Feed Summary</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3</xdr:row>
          <xdr:rowOff>104775</xdr:rowOff>
        </xdr:from>
        <xdr:to>
          <xdr:col>6</xdr:col>
          <xdr:colOff>600075</xdr:colOff>
          <xdr:row>7</xdr:row>
          <xdr:rowOff>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Monthly Revenue &amp; Expenses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0</xdr:row>
          <xdr:rowOff>57150</xdr:rowOff>
        </xdr:from>
        <xdr:to>
          <xdr:col>4</xdr:col>
          <xdr:colOff>676275</xdr:colOff>
          <xdr:row>2</xdr:row>
          <xdr:rowOff>95250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6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Annual Income and Expense Statement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92014</xdr:colOff>
      <xdr:row>35</xdr:row>
      <xdr:rowOff>26958</xdr:rowOff>
    </xdr:from>
    <xdr:to>
      <xdr:col>14</xdr:col>
      <xdr:colOff>17972</xdr:colOff>
      <xdr:row>57</xdr:row>
      <xdr:rowOff>134788</xdr:rowOff>
    </xdr:to>
    <xdr:graphicFrame macro="">
      <xdr:nvGraphicFramePr>
        <xdr:cNvPr id="1062957" name="Chart 2">
          <a:extLst>
            <a:ext uri="{FF2B5EF4-FFF2-40B4-BE49-F238E27FC236}">
              <a16:creationId xmlns:a16="http://schemas.microsoft.com/office/drawing/2014/main" id="{00000000-0008-0000-0700-00002D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36735</xdr:colOff>
      <xdr:row>63</xdr:row>
      <xdr:rowOff>26958</xdr:rowOff>
    </xdr:from>
    <xdr:to>
      <xdr:col>13</xdr:col>
      <xdr:colOff>705390</xdr:colOff>
      <xdr:row>84</xdr:row>
      <xdr:rowOff>143774</xdr:rowOff>
    </xdr:to>
    <xdr:graphicFrame macro="">
      <xdr:nvGraphicFramePr>
        <xdr:cNvPr id="1062958" name="Chart 3">
          <a:extLst>
            <a:ext uri="{FF2B5EF4-FFF2-40B4-BE49-F238E27FC236}">
              <a16:creationId xmlns:a16="http://schemas.microsoft.com/office/drawing/2014/main" id="{00000000-0008-0000-0700-00002E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36735</xdr:colOff>
      <xdr:row>91</xdr:row>
      <xdr:rowOff>70523</xdr:rowOff>
    </xdr:from>
    <xdr:to>
      <xdr:col>13</xdr:col>
      <xdr:colOff>705390</xdr:colOff>
      <xdr:row>114</xdr:row>
      <xdr:rowOff>134788</xdr:rowOff>
    </xdr:to>
    <xdr:graphicFrame macro="">
      <xdr:nvGraphicFramePr>
        <xdr:cNvPr id="1062959" name="Chart 4">
          <a:extLst>
            <a:ext uri="{FF2B5EF4-FFF2-40B4-BE49-F238E27FC236}">
              <a16:creationId xmlns:a16="http://schemas.microsoft.com/office/drawing/2014/main" id="{00000000-0008-0000-0700-00002F38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30480</xdr:colOff>
      <xdr:row>5</xdr:row>
      <xdr:rowOff>0</xdr:rowOff>
    </xdr:from>
    <xdr:to>
      <xdr:col>13</xdr:col>
      <xdr:colOff>723900</xdr:colOff>
      <xdr:row>28</xdr:row>
      <xdr:rowOff>167640</xdr:rowOff>
    </xdr:to>
    <xdr:graphicFrame macro="">
      <xdr:nvGraphicFramePr>
        <xdr:cNvPr id="6" name="Chart 2">
          <a:extLst>
            <a:ext uri="{FF2B5EF4-FFF2-40B4-BE49-F238E27FC236}">
              <a16:creationId xmlns:a16="http://schemas.microsoft.com/office/drawing/2014/main" id="{00000000-0008-0000-0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28</xdr:col>
      <xdr:colOff>312420</xdr:colOff>
      <xdr:row>13</xdr:row>
      <xdr:rowOff>110490</xdr:rowOff>
    </xdr:from>
    <xdr:ext cx="65" cy="172227"/>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20413980" y="214503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1</xdr:row>
          <xdr:rowOff>104775</xdr:rowOff>
        </xdr:from>
        <xdr:to>
          <xdr:col>2</xdr:col>
          <xdr:colOff>447675</xdr:colOff>
          <xdr:row>4</xdr:row>
          <xdr:rowOff>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800-0000012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 Balance Sheet</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Marceniuk, Brad AG" id="{D306B9D5-0C8C-4CD3-BD19-6B5EA30DE44C}" userId="S::bmarceni@gov.sk.ca::36d453ae-428d-4baa-a48f-f045c177df1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08" dT="2022-03-17T20:42:03.82" personId="{D306B9D5-0C8C-4CD3-BD19-6B5EA30DE44C}" id="{051E2935-4597-4BC0-9EDF-DA1EDCCDF147}">
    <text>Average price of barley per tonne. Dollars per bushel can be conveted by multiplying 45.93 as conversion factor.</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microsoft.com/office/2017/10/relationships/threadedComment" Target="../threadedComments/threadedComment1.xml"/><Relationship Id="rId5" Type="http://schemas.openxmlformats.org/officeDocument/2006/relationships/comments" Target="../comments2.xml"/><Relationship Id="rId4"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9.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3.xml"/><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1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B2:L32"/>
  <sheetViews>
    <sheetView showGridLines="0" showRowColHeaders="0" tabSelected="1" workbookViewId="0">
      <selection activeCell="B32" sqref="B32"/>
    </sheetView>
  </sheetViews>
  <sheetFormatPr defaultRowHeight="12.75" x14ac:dyDescent="0.2"/>
  <cols>
    <col min="1" max="1" width="2.7109375" customWidth="1"/>
    <col min="2" max="11" width="9.28515625" customWidth="1"/>
  </cols>
  <sheetData>
    <row r="2" spans="2:11" ht="9.9499999999999993" customHeight="1" thickBot="1" x14ac:dyDescent="0.25"/>
    <row r="3" spans="2:11" ht="20.25" thickTop="1" x14ac:dyDescent="0.35">
      <c r="B3" s="220" t="s">
        <v>963</v>
      </c>
      <c r="C3" s="221"/>
      <c r="D3" s="222"/>
      <c r="E3" s="223"/>
      <c r="F3" s="223"/>
      <c r="G3" s="223"/>
      <c r="H3" s="223"/>
      <c r="I3" s="223"/>
      <c r="J3" s="223"/>
      <c r="K3" s="224"/>
    </row>
    <row r="4" spans="2:11" ht="15" x14ac:dyDescent="0.25">
      <c r="B4" s="1207" t="s">
        <v>538</v>
      </c>
      <c r="C4" s="1208"/>
      <c r="D4" s="1208"/>
      <c r="E4" s="1208"/>
      <c r="F4" s="1208"/>
      <c r="G4" s="1208"/>
      <c r="H4" s="1208"/>
      <c r="I4" s="1208"/>
      <c r="K4" s="225"/>
    </row>
    <row r="5" spans="2:11" ht="15.75" x14ac:dyDescent="0.25">
      <c r="B5" s="321" t="s">
        <v>672</v>
      </c>
      <c r="C5" s="226"/>
      <c r="D5" s="226"/>
      <c r="K5" s="225"/>
    </row>
    <row r="6" spans="2:11" ht="15.75" x14ac:dyDescent="0.25">
      <c r="B6" s="321" t="s">
        <v>671</v>
      </c>
      <c r="C6" s="226"/>
      <c r="D6" s="226"/>
      <c r="K6" s="225"/>
    </row>
    <row r="7" spans="2:11" x14ac:dyDescent="0.2">
      <c r="B7" s="227"/>
      <c r="D7" s="228"/>
      <c r="K7" s="225"/>
    </row>
    <row r="8" spans="2:11" x14ac:dyDescent="0.2">
      <c r="B8" s="229" t="s">
        <v>507</v>
      </c>
      <c r="C8" s="230"/>
      <c r="D8" s="230"/>
      <c r="E8" s="230"/>
      <c r="F8" s="230"/>
      <c r="G8" s="230"/>
      <c r="H8" s="230"/>
      <c r="I8" s="230"/>
      <c r="J8" s="230"/>
      <c r="K8" s="231"/>
    </row>
    <row r="9" spans="2:11" ht="14.25" x14ac:dyDescent="0.2">
      <c r="B9" s="232" t="s">
        <v>508</v>
      </c>
      <c r="C9" s="230"/>
      <c r="D9" s="230"/>
      <c r="E9" s="230"/>
      <c r="F9" s="230"/>
      <c r="G9" s="230"/>
      <c r="H9" s="230"/>
      <c r="I9" s="230"/>
      <c r="J9" s="230"/>
      <c r="K9" s="231"/>
    </row>
    <row r="10" spans="2:11" ht="14.25" x14ac:dyDescent="0.2">
      <c r="B10" s="232" t="s">
        <v>509</v>
      </c>
      <c r="C10" s="230"/>
      <c r="D10" s="230"/>
      <c r="E10" s="230"/>
      <c r="F10" s="230"/>
      <c r="G10" s="230"/>
      <c r="H10" s="230"/>
      <c r="I10" s="230"/>
      <c r="J10" s="230"/>
      <c r="K10" s="231"/>
    </row>
    <row r="11" spans="2:11" ht="14.25" x14ac:dyDescent="0.2">
      <c r="B11" s="232" t="s">
        <v>510</v>
      </c>
      <c r="C11" s="230"/>
      <c r="D11" s="230"/>
      <c r="E11" s="230"/>
      <c r="F11" s="230"/>
      <c r="G11" s="230"/>
      <c r="H11" s="230"/>
      <c r="I11" s="230"/>
      <c r="J11" s="230"/>
      <c r="K11" s="231"/>
    </row>
    <row r="12" spans="2:11" ht="14.25" x14ac:dyDescent="0.2">
      <c r="B12" s="232" t="s">
        <v>511</v>
      </c>
      <c r="C12" s="230"/>
      <c r="D12" s="230"/>
      <c r="E12" s="230"/>
      <c r="F12" s="230"/>
      <c r="G12" s="230"/>
      <c r="H12" s="230"/>
      <c r="I12" s="230"/>
      <c r="J12" s="230"/>
      <c r="K12" s="231"/>
    </row>
    <row r="13" spans="2:11" ht="14.25" x14ac:dyDescent="0.2">
      <c r="B13" s="232" t="s">
        <v>512</v>
      </c>
      <c r="C13" s="230"/>
      <c r="D13" s="230"/>
      <c r="E13" s="230"/>
      <c r="F13" s="230"/>
      <c r="G13" s="230"/>
      <c r="H13" s="230"/>
      <c r="I13" s="230"/>
      <c r="J13" s="230"/>
      <c r="K13" s="231"/>
    </row>
    <row r="14" spans="2:11" ht="14.25" x14ac:dyDescent="0.2">
      <c r="B14" s="232" t="s">
        <v>513</v>
      </c>
      <c r="C14" s="230"/>
      <c r="D14" s="230"/>
      <c r="E14" s="230"/>
      <c r="F14" s="230"/>
      <c r="G14" s="230"/>
      <c r="H14" s="230"/>
      <c r="I14" s="230"/>
      <c r="J14" s="230"/>
      <c r="K14" s="231"/>
    </row>
    <row r="15" spans="2:11" ht="14.25" x14ac:dyDescent="0.2">
      <c r="B15" s="232" t="s">
        <v>514</v>
      </c>
      <c r="C15" s="230"/>
      <c r="D15" s="230"/>
      <c r="E15" s="230"/>
      <c r="F15" s="230"/>
      <c r="G15" s="230"/>
      <c r="H15" s="230"/>
      <c r="I15" s="230"/>
      <c r="J15" s="230"/>
      <c r="K15" s="231"/>
    </row>
    <row r="16" spans="2:11" x14ac:dyDescent="0.2">
      <c r="B16" s="233"/>
      <c r="C16" s="230"/>
      <c r="D16" s="230"/>
      <c r="E16" s="230"/>
      <c r="F16" s="230"/>
      <c r="G16" s="230"/>
      <c r="H16" s="230"/>
      <c r="I16" s="230"/>
      <c r="J16" s="230"/>
      <c r="K16" s="231"/>
    </row>
    <row r="17" spans="2:12" x14ac:dyDescent="0.2">
      <c r="B17" s="229" t="s">
        <v>515</v>
      </c>
      <c r="C17" s="230"/>
      <c r="D17" s="230"/>
      <c r="E17" s="230"/>
      <c r="F17" s="230"/>
      <c r="G17" s="230"/>
      <c r="H17" s="230"/>
      <c r="I17" s="230"/>
      <c r="J17" s="230"/>
      <c r="K17" s="231"/>
    </row>
    <row r="18" spans="2:12" ht="14.25" x14ac:dyDescent="0.2">
      <c r="B18" s="232" t="s">
        <v>516</v>
      </c>
      <c r="C18" s="230"/>
      <c r="D18" s="230"/>
      <c r="E18" s="230"/>
      <c r="F18" s="230"/>
      <c r="G18" s="230"/>
      <c r="H18" s="230"/>
      <c r="I18" s="230"/>
      <c r="J18" s="230"/>
      <c r="K18" s="231"/>
    </row>
    <row r="19" spans="2:12" ht="14.25" x14ac:dyDescent="0.2">
      <c r="B19" s="232" t="s">
        <v>517</v>
      </c>
      <c r="C19" s="230"/>
      <c r="D19" s="230"/>
      <c r="E19" s="230"/>
      <c r="F19" s="230"/>
      <c r="G19" s="230"/>
      <c r="H19" s="230"/>
      <c r="I19" s="230"/>
      <c r="J19" s="230"/>
      <c r="K19" s="231"/>
    </row>
    <row r="20" spans="2:12" ht="14.25" x14ac:dyDescent="0.2">
      <c r="B20" s="232" t="s">
        <v>518</v>
      </c>
      <c r="C20" s="230"/>
      <c r="D20" s="230"/>
      <c r="E20" s="230"/>
      <c r="F20" s="230"/>
      <c r="G20" s="230"/>
      <c r="H20" s="230"/>
      <c r="I20" s="230"/>
      <c r="J20" s="230"/>
      <c r="K20" s="231"/>
    </row>
    <row r="21" spans="2:12" x14ac:dyDescent="0.2">
      <c r="B21" s="201"/>
      <c r="C21" s="202"/>
      <c r="D21" s="202"/>
      <c r="E21" s="202"/>
      <c r="F21" s="202"/>
      <c r="G21" s="202"/>
      <c r="H21" s="202"/>
      <c r="I21" s="202"/>
      <c r="J21" s="202"/>
      <c r="K21" s="203"/>
      <c r="L21" s="29"/>
    </row>
    <row r="22" spans="2:12" x14ac:dyDescent="0.2">
      <c r="B22" s="201"/>
      <c r="C22" s="202"/>
      <c r="D22" s="202"/>
      <c r="E22" s="202"/>
      <c r="F22" s="202"/>
      <c r="G22" s="202"/>
      <c r="H22" s="202"/>
      <c r="I22" s="202"/>
      <c r="J22" s="202"/>
      <c r="K22" s="203"/>
      <c r="L22" s="29"/>
    </row>
    <row r="23" spans="2:12" x14ac:dyDescent="0.2">
      <c r="B23" s="201"/>
      <c r="C23" s="202"/>
      <c r="D23" s="202"/>
      <c r="E23" s="202"/>
      <c r="F23" s="202"/>
      <c r="G23" s="202"/>
      <c r="H23" s="202"/>
      <c r="I23" s="202"/>
      <c r="J23" s="202"/>
      <c r="K23" s="203"/>
      <c r="L23" s="29"/>
    </row>
    <row r="24" spans="2:12" x14ac:dyDescent="0.2">
      <c r="B24" s="201"/>
      <c r="C24" s="202"/>
      <c r="D24" s="202"/>
      <c r="E24" s="202"/>
      <c r="F24" s="202"/>
      <c r="G24" s="202"/>
      <c r="H24" s="202"/>
      <c r="I24" s="202"/>
      <c r="J24" s="202"/>
      <c r="K24" s="203"/>
      <c r="L24" s="29"/>
    </row>
    <row r="25" spans="2:12" x14ac:dyDescent="0.2">
      <c r="B25" s="201"/>
      <c r="C25" s="202"/>
      <c r="D25" s="202"/>
      <c r="E25" s="202"/>
      <c r="F25" s="202"/>
      <c r="G25" s="202"/>
      <c r="H25" s="202"/>
      <c r="I25" s="202"/>
      <c r="J25" s="202"/>
      <c r="K25" s="203"/>
      <c r="L25" s="29"/>
    </row>
    <row r="26" spans="2:12" x14ac:dyDescent="0.2">
      <c r="B26" s="201"/>
      <c r="C26" s="202"/>
      <c r="D26" s="202"/>
      <c r="E26" s="202"/>
      <c r="F26" s="202"/>
      <c r="G26" s="202"/>
      <c r="H26" s="202"/>
      <c r="I26" s="202"/>
      <c r="J26" s="202"/>
      <c r="K26" s="203"/>
      <c r="L26" s="29"/>
    </row>
    <row r="27" spans="2:12" x14ac:dyDescent="0.2">
      <c r="B27" s="201"/>
      <c r="C27" s="202"/>
      <c r="D27" s="202"/>
      <c r="E27" s="202"/>
      <c r="F27" s="202"/>
      <c r="G27" s="202"/>
      <c r="H27" s="202"/>
      <c r="I27" s="202"/>
      <c r="J27" s="202"/>
      <c r="K27" s="203"/>
      <c r="L27" s="29"/>
    </row>
    <row r="28" spans="2:12" x14ac:dyDescent="0.2">
      <c r="B28" s="201"/>
      <c r="C28" s="202"/>
      <c r="D28" s="202"/>
      <c r="E28" s="202"/>
      <c r="F28" s="202"/>
      <c r="G28" s="202"/>
      <c r="H28" s="202"/>
      <c r="I28" s="202"/>
      <c r="J28" s="202"/>
      <c r="K28" s="203"/>
      <c r="L28" s="29"/>
    </row>
    <row r="29" spans="2:12" x14ac:dyDescent="0.2">
      <c r="B29" s="201"/>
      <c r="C29" s="202"/>
      <c r="D29" s="202"/>
      <c r="E29" s="202"/>
      <c r="F29" s="202"/>
      <c r="G29" s="202"/>
      <c r="H29" s="202"/>
      <c r="I29" s="202"/>
      <c r="J29" s="202"/>
      <c r="K29" s="203"/>
      <c r="L29" s="29"/>
    </row>
    <row r="30" spans="2:12" x14ac:dyDescent="0.2">
      <c r="B30" s="201"/>
      <c r="C30" s="202"/>
      <c r="D30" s="202"/>
      <c r="E30" s="202"/>
      <c r="F30" s="202"/>
      <c r="G30" s="202"/>
      <c r="H30" s="202"/>
      <c r="I30" s="202"/>
      <c r="J30" s="202"/>
      <c r="K30" s="203"/>
      <c r="L30" s="29"/>
    </row>
    <row r="31" spans="2:12" ht="13.5" thickBot="1" x14ac:dyDescent="0.25">
      <c r="B31" s="204"/>
      <c r="C31" s="205"/>
      <c r="D31" s="205"/>
      <c r="E31" s="205"/>
      <c r="F31" s="205"/>
      <c r="G31" s="205"/>
      <c r="H31" s="205"/>
      <c r="I31" s="205"/>
      <c r="J31" s="205"/>
      <c r="K31" s="206"/>
      <c r="L31" s="29"/>
    </row>
    <row r="32" spans="2:12" ht="13.5" thickTop="1" x14ac:dyDescent="0.2">
      <c r="B32" s="29"/>
      <c r="C32" s="29"/>
      <c r="D32" s="29"/>
      <c r="E32" s="29"/>
      <c r="F32" s="29"/>
      <c r="G32" s="29"/>
      <c r="H32" s="29"/>
      <c r="I32" s="29"/>
      <c r="J32" s="29"/>
      <c r="K32" s="29"/>
    </row>
  </sheetData>
  <sheetProtection sheet="1" objects="1" scenarios="1"/>
  <mergeCells count="1">
    <mergeCell ref="B4:I4"/>
  </mergeCells>
  <phoneticPr fontId="10" type="noConversion"/>
  <pageMargins left="0.75" right="0.75" top="1" bottom="1" header="0.5" footer="0.5"/>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7" r:id="rId4" name="Button 3">
              <controlPr defaultSize="0" print="0" autoFill="0" autoPict="0" macro="[0]!DisclaimerTOInputSheet">
                <anchor moveWithCells="1" sizeWithCells="1">
                  <from>
                    <xdr:col>1</xdr:col>
                    <xdr:colOff>95250</xdr:colOff>
                    <xdr:row>20</xdr:row>
                    <xdr:rowOff>76200</xdr:rowOff>
                  </from>
                  <to>
                    <xdr:col>10</xdr:col>
                    <xdr:colOff>409575</xdr:colOff>
                    <xdr:row>29</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pageSetUpPr fitToPage="1"/>
  </sheetPr>
  <dimension ref="A1:H37"/>
  <sheetViews>
    <sheetView showGridLines="0" showRowColHeaders="0" workbookViewId="0">
      <selection activeCell="B41" sqref="B41"/>
    </sheetView>
  </sheetViews>
  <sheetFormatPr defaultRowHeight="12.75" x14ac:dyDescent="0.2"/>
  <cols>
    <col min="1" max="1" width="4.7109375" customWidth="1"/>
    <col min="2" max="2" width="85.7109375" customWidth="1"/>
  </cols>
  <sheetData>
    <row r="1" spans="1:8" x14ac:dyDescent="0.2">
      <c r="A1" s="29"/>
      <c r="B1" s="29"/>
    </row>
    <row r="2" spans="1:8" x14ac:dyDescent="0.2">
      <c r="A2" s="29"/>
      <c r="B2" s="29"/>
    </row>
    <row r="3" spans="1:8" x14ac:dyDescent="0.2">
      <c r="A3" s="29"/>
      <c r="B3" s="29"/>
    </row>
    <row r="4" spans="1:8" ht="18" x14ac:dyDescent="0.25">
      <c r="B4" s="931" t="s">
        <v>963</v>
      </c>
    </row>
    <row r="5" spans="1:8" ht="15.75" x14ac:dyDescent="0.25">
      <c r="B5" s="217" t="s">
        <v>520</v>
      </c>
    </row>
    <row r="7" spans="1:8" ht="15.75" x14ac:dyDescent="0.25">
      <c r="B7" s="125" t="s">
        <v>521</v>
      </c>
    </row>
    <row r="8" spans="1:8" ht="28.5" x14ac:dyDescent="0.2">
      <c r="B8" s="218" t="s">
        <v>522</v>
      </c>
      <c r="H8" s="29"/>
    </row>
    <row r="10" spans="1:8" ht="15.75" x14ac:dyDescent="0.25">
      <c r="B10" s="125" t="s">
        <v>523</v>
      </c>
    </row>
    <row r="11" spans="1:8" ht="42.75" x14ac:dyDescent="0.2">
      <c r="B11" s="218" t="s">
        <v>649</v>
      </c>
    </row>
    <row r="13" spans="1:8" ht="15.75" x14ac:dyDescent="0.25">
      <c r="B13" s="125" t="s">
        <v>524</v>
      </c>
    </row>
    <row r="14" spans="1:8" ht="28.5" x14ac:dyDescent="0.2">
      <c r="B14" s="218" t="s">
        <v>525</v>
      </c>
    </row>
    <row r="15" spans="1:8" ht="14.25" x14ac:dyDescent="0.2">
      <c r="B15" s="218"/>
    </row>
    <row r="16" spans="1:8" ht="15.75" x14ac:dyDescent="0.25">
      <c r="B16" s="125" t="s">
        <v>715</v>
      </c>
    </row>
    <row r="17" spans="2:2" ht="28.5" x14ac:dyDescent="0.2">
      <c r="B17" s="218" t="s">
        <v>819</v>
      </c>
    </row>
    <row r="18" spans="2:2" ht="14.25" x14ac:dyDescent="0.2">
      <c r="B18" s="218"/>
    </row>
    <row r="19" spans="2:2" ht="15.75" x14ac:dyDescent="0.25">
      <c r="B19" s="125" t="s">
        <v>526</v>
      </c>
    </row>
    <row r="20" spans="2:2" ht="85.5" x14ac:dyDescent="0.2">
      <c r="B20" s="218" t="s">
        <v>527</v>
      </c>
    </row>
    <row r="22" spans="2:2" ht="15.75" x14ac:dyDescent="0.25">
      <c r="B22" s="125" t="s">
        <v>528</v>
      </c>
    </row>
    <row r="23" spans="2:2" ht="28.5" x14ac:dyDescent="0.2">
      <c r="B23" s="218" t="s">
        <v>529</v>
      </c>
    </row>
    <row r="25" spans="2:2" ht="15.75" x14ac:dyDescent="0.25">
      <c r="B25" s="125" t="s">
        <v>530</v>
      </c>
    </row>
    <row r="26" spans="2:2" ht="28.5" x14ac:dyDescent="0.2">
      <c r="B26" s="218" t="s">
        <v>531</v>
      </c>
    </row>
    <row r="28" spans="2:2" ht="15.75" x14ac:dyDescent="0.25">
      <c r="B28" s="125" t="s">
        <v>532</v>
      </c>
    </row>
    <row r="29" spans="2:2" ht="28.5" x14ac:dyDescent="0.2">
      <c r="B29" s="218" t="s">
        <v>533</v>
      </c>
    </row>
    <row r="31" spans="2:2" ht="15.75" x14ac:dyDescent="0.25">
      <c r="B31" s="125" t="s">
        <v>110</v>
      </c>
    </row>
    <row r="32" spans="2:2" ht="71.25" x14ac:dyDescent="0.2">
      <c r="B32" s="218" t="s">
        <v>534</v>
      </c>
    </row>
    <row r="33" spans="1:3" x14ac:dyDescent="0.2">
      <c r="A33" s="29"/>
      <c r="B33" s="29"/>
      <c r="C33" s="29"/>
    </row>
    <row r="34" spans="1:3" x14ac:dyDescent="0.2">
      <c r="A34" s="29"/>
      <c r="B34" s="29"/>
      <c r="C34" s="29"/>
    </row>
    <row r="35" spans="1:3" x14ac:dyDescent="0.2">
      <c r="A35" s="29"/>
      <c r="B35" s="29"/>
      <c r="C35" s="29"/>
    </row>
    <row r="36" spans="1:3" x14ac:dyDescent="0.2">
      <c r="A36" s="29"/>
      <c r="B36" s="29"/>
      <c r="C36" s="29"/>
    </row>
    <row r="37" spans="1:3" x14ac:dyDescent="0.2">
      <c r="A37" s="29"/>
      <c r="B37" s="29"/>
      <c r="C37" s="29"/>
    </row>
  </sheetData>
  <phoneticPr fontId="10" type="noConversion"/>
  <pageMargins left="0.75" right="0.75" top="1" bottom="1" header="0.5" footer="0.5"/>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GoToCOPCalculation">
                <anchor moveWithCells="1" sizeWithCells="1">
                  <from>
                    <xdr:col>0</xdr:col>
                    <xdr:colOff>314325</xdr:colOff>
                    <xdr:row>32</xdr:row>
                    <xdr:rowOff>161925</xdr:rowOff>
                  </from>
                  <to>
                    <xdr:col>1</xdr:col>
                    <xdr:colOff>2914650</xdr:colOff>
                    <xdr:row>35</xdr:row>
                    <xdr:rowOff>19050</xdr:rowOff>
                  </to>
                </anchor>
              </controlPr>
            </control>
          </mc:Choice>
        </mc:AlternateContent>
        <mc:AlternateContent xmlns:mc="http://schemas.openxmlformats.org/markup-compatibility/2006">
          <mc:Choice Requires="x14">
            <control shapeId="12290" r:id="rId5" name="Button 2">
              <controlPr defaultSize="0" print="0" autoFill="0" autoPict="0" macro="[0]!GOTOINPUTSHEET">
                <anchor moveWithCells="1" sizeWithCells="1">
                  <from>
                    <xdr:col>1</xdr:col>
                    <xdr:colOff>2952750</xdr:colOff>
                    <xdr:row>32</xdr:row>
                    <xdr:rowOff>142875</xdr:rowOff>
                  </from>
                  <to>
                    <xdr:col>2</xdr:col>
                    <xdr:colOff>19050</xdr:colOff>
                    <xdr:row>35</xdr:row>
                    <xdr:rowOff>9525</xdr:rowOff>
                  </to>
                </anchor>
              </controlPr>
            </control>
          </mc:Choice>
        </mc:AlternateContent>
        <mc:AlternateContent xmlns:mc="http://schemas.openxmlformats.org/markup-compatibility/2006">
          <mc:Choice Requires="x14">
            <control shapeId="12291" r:id="rId6" name="Button 3">
              <controlPr defaultSize="0" print="0" autoFill="0" autoPict="0" macro="[0]!PrintIntroduction">
                <anchor moveWithCells="1" sizeWithCells="1">
                  <from>
                    <xdr:col>1</xdr:col>
                    <xdr:colOff>19050</xdr:colOff>
                    <xdr:row>0</xdr:row>
                    <xdr:rowOff>95250</xdr:rowOff>
                  </from>
                  <to>
                    <xdr:col>1</xdr:col>
                    <xdr:colOff>4086225</xdr:colOff>
                    <xdr:row>2</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pageSetUpPr autoPageBreaks="0" fitToPage="1"/>
  </sheetPr>
  <dimension ref="A1:I199"/>
  <sheetViews>
    <sheetView showGridLines="0" showRowColHeaders="0" workbookViewId="0">
      <selection activeCell="A6" sqref="A6"/>
    </sheetView>
  </sheetViews>
  <sheetFormatPr defaultRowHeight="12.75" x14ac:dyDescent="0.2"/>
  <cols>
    <col min="2" max="2" width="8.7109375" customWidth="1"/>
    <col min="3" max="3" width="38.7109375" customWidth="1"/>
    <col min="4" max="4" width="14.7109375" customWidth="1"/>
    <col min="5" max="9" width="13.7109375" customWidth="1"/>
    <col min="10" max="11" width="12.7109375" customWidth="1"/>
  </cols>
  <sheetData>
    <row r="1" spans="1:9" x14ac:dyDescent="0.2">
      <c r="A1" s="29"/>
      <c r="B1" s="29"/>
      <c r="C1" s="29"/>
      <c r="D1" s="29"/>
      <c r="E1" s="29"/>
    </row>
    <row r="2" spans="1:9" x14ac:dyDescent="0.2">
      <c r="A2" s="29"/>
      <c r="B2" s="29"/>
      <c r="C2" s="29"/>
      <c r="D2" s="29"/>
      <c r="E2" s="29"/>
      <c r="F2" s="29"/>
      <c r="G2" s="29"/>
      <c r="H2" s="29"/>
      <c r="I2" s="29"/>
    </row>
    <row r="3" spans="1:9" x14ac:dyDescent="0.2">
      <c r="A3" s="29"/>
      <c r="B3" s="29"/>
      <c r="C3" s="29"/>
      <c r="D3" s="29"/>
      <c r="E3" s="29"/>
      <c r="F3" s="29"/>
      <c r="G3" s="29"/>
      <c r="H3" s="29"/>
      <c r="I3" s="29"/>
    </row>
    <row r="4" spans="1:9" ht="13.5" thickBot="1" x14ac:dyDescent="0.25">
      <c r="A4" s="29"/>
      <c r="B4" s="29"/>
      <c r="C4" s="29"/>
      <c r="D4" s="29"/>
      <c r="E4" s="29"/>
      <c r="F4" s="29"/>
      <c r="G4" s="29"/>
      <c r="H4" s="29"/>
      <c r="I4" s="29"/>
    </row>
    <row r="5" spans="1:9" x14ac:dyDescent="0.2">
      <c r="A5" s="29"/>
      <c r="B5" s="216"/>
      <c r="C5" s="73"/>
      <c r="D5" s="73"/>
      <c r="E5" s="73"/>
      <c r="F5" s="73"/>
      <c r="G5" s="73"/>
      <c r="H5" s="73"/>
      <c r="I5" s="262"/>
    </row>
    <row r="6" spans="1:9" x14ac:dyDescent="0.2">
      <c r="A6" s="29"/>
      <c r="B6" s="160"/>
      <c r="C6" s="263" t="s">
        <v>640</v>
      </c>
      <c r="D6" s="1206" t="s">
        <v>961</v>
      </c>
      <c r="E6" s="1126"/>
      <c r="F6" s="165"/>
      <c r="G6" s="29"/>
      <c r="H6" s="29"/>
      <c r="I6" s="161"/>
    </row>
    <row r="7" spans="1:9" x14ac:dyDescent="0.2">
      <c r="A7" s="29"/>
      <c r="B7" s="160"/>
      <c r="C7" s="263"/>
      <c r="D7" s="29"/>
      <c r="E7" s="29"/>
      <c r="F7" s="29"/>
      <c r="G7" s="29"/>
      <c r="H7" s="29"/>
      <c r="I7" s="161"/>
    </row>
    <row r="8" spans="1:9" ht="15" x14ac:dyDescent="0.2">
      <c r="A8" s="29"/>
      <c r="B8" s="160"/>
      <c r="C8" s="29"/>
      <c r="D8" s="108" t="s">
        <v>555</v>
      </c>
      <c r="E8" s="264"/>
      <c r="F8" s="29"/>
      <c r="G8" s="29"/>
      <c r="H8" s="29"/>
      <c r="I8" s="161"/>
    </row>
    <row r="9" spans="1:9" x14ac:dyDescent="0.2">
      <c r="A9" s="29"/>
      <c r="B9" s="160"/>
      <c r="C9" s="29"/>
      <c r="D9" s="1205" t="s">
        <v>960</v>
      </c>
      <c r="E9" s="265" t="s">
        <v>631</v>
      </c>
      <c r="F9" s="29"/>
      <c r="G9" s="29"/>
      <c r="H9" s="29"/>
      <c r="I9" s="161"/>
    </row>
    <row r="10" spans="1:9" x14ac:dyDescent="0.2">
      <c r="A10" s="29"/>
      <c r="B10" s="160"/>
      <c r="C10" s="29"/>
      <c r="D10" s="266"/>
      <c r="E10" s="265" t="s">
        <v>668</v>
      </c>
      <c r="F10" s="29"/>
      <c r="G10" s="29"/>
      <c r="H10" s="29"/>
      <c r="I10" s="161"/>
    </row>
    <row r="11" spans="1:9" x14ac:dyDescent="0.2">
      <c r="A11" s="29"/>
      <c r="B11" s="160"/>
      <c r="C11" s="29"/>
      <c r="D11" s="266"/>
      <c r="E11" s="265" t="s">
        <v>632</v>
      </c>
      <c r="F11" s="29"/>
      <c r="G11" s="29"/>
      <c r="H11" s="29"/>
      <c r="I11" s="161"/>
    </row>
    <row r="12" spans="1:9" ht="8.1" customHeight="1" thickBot="1" x14ac:dyDescent="0.25">
      <c r="A12" s="29"/>
      <c r="B12" s="160"/>
      <c r="C12" s="29"/>
      <c r="D12" s="29"/>
      <c r="E12" s="29"/>
      <c r="F12" s="29"/>
      <c r="G12" s="29"/>
      <c r="H12" s="29"/>
      <c r="I12" s="161"/>
    </row>
    <row r="13" spans="1:9" x14ac:dyDescent="0.2">
      <c r="A13" s="29"/>
      <c r="B13" s="267"/>
      <c r="C13" s="268"/>
      <c r="D13" s="73"/>
      <c r="E13" s="269"/>
      <c r="F13" s="73"/>
      <c r="G13" s="73"/>
      <c r="H13" s="269"/>
      <c r="I13" s="262"/>
    </row>
    <row r="14" spans="1:9" x14ac:dyDescent="0.2">
      <c r="A14" s="29"/>
      <c r="B14" s="322" t="s">
        <v>676</v>
      </c>
      <c r="C14" s="323"/>
      <c r="D14" s="1130" t="s">
        <v>178</v>
      </c>
      <c r="E14" s="324"/>
      <c r="F14" s="29"/>
      <c r="G14" s="29"/>
      <c r="H14" s="41"/>
      <c r="I14" s="161"/>
    </row>
    <row r="15" spans="1:9" x14ac:dyDescent="0.2">
      <c r="A15" s="29"/>
      <c r="B15" s="325" t="s">
        <v>679</v>
      </c>
      <c r="C15" s="326"/>
      <c r="D15" s="1131" t="s">
        <v>962</v>
      </c>
      <c r="E15" s="300"/>
      <c r="F15" s="29"/>
      <c r="G15" s="29"/>
      <c r="H15" s="41"/>
      <c r="I15" s="161"/>
    </row>
    <row r="16" spans="1:9" x14ac:dyDescent="0.2">
      <c r="A16" s="29"/>
      <c r="B16" s="325" t="s">
        <v>678</v>
      </c>
      <c r="C16" s="326"/>
      <c r="D16" s="1131" t="s">
        <v>910</v>
      </c>
      <c r="E16" s="300"/>
      <c r="F16" s="29"/>
      <c r="G16" s="29"/>
      <c r="H16" s="41"/>
      <c r="I16" s="161"/>
    </row>
    <row r="17" spans="1:9" ht="13.5" thickBot="1" x14ac:dyDescent="0.25">
      <c r="A17" s="29"/>
      <c r="B17" s="200"/>
      <c r="C17" s="108"/>
      <c r="D17" s="29"/>
      <c r="E17" s="41"/>
      <c r="F17" s="29"/>
      <c r="G17" s="29"/>
      <c r="H17" s="41"/>
      <c r="I17" s="161"/>
    </row>
    <row r="18" spans="1:9" x14ac:dyDescent="0.2">
      <c r="A18" s="29"/>
      <c r="B18" s="2" t="s">
        <v>626</v>
      </c>
      <c r="C18" s="44"/>
      <c r="D18" s="44"/>
      <c r="E18" s="44"/>
      <c r="F18" s="144"/>
      <c r="G18" s="44"/>
      <c r="H18" s="44"/>
      <c r="I18" s="144"/>
    </row>
    <row r="19" spans="1:9" x14ac:dyDescent="0.2">
      <c r="A19" s="29"/>
      <c r="B19" s="30"/>
      <c r="D19" s="299"/>
      <c r="E19" s="300">
        <v>2025</v>
      </c>
      <c r="F19" s="162"/>
      <c r="G19" s="301"/>
      <c r="H19" s="300">
        <v>2024</v>
      </c>
      <c r="I19" s="162"/>
    </row>
    <row r="20" spans="1:9" x14ac:dyDescent="0.2">
      <c r="A20" s="29"/>
      <c r="B20" s="4" t="s">
        <v>150</v>
      </c>
      <c r="D20" s="302" t="s">
        <v>560</v>
      </c>
      <c r="E20" s="41" t="s">
        <v>570</v>
      </c>
      <c r="F20" s="303" t="s">
        <v>562</v>
      </c>
      <c r="G20" s="304" t="s">
        <v>560</v>
      </c>
      <c r="H20" s="41" t="s">
        <v>570</v>
      </c>
      <c r="I20" s="303" t="s">
        <v>562</v>
      </c>
    </row>
    <row r="21" spans="1:9" x14ac:dyDescent="0.2">
      <c r="A21" s="29"/>
      <c r="B21" s="4"/>
      <c r="C21" t="s">
        <v>627</v>
      </c>
      <c r="D21" s="305">
        <v>400</v>
      </c>
      <c r="E21" s="306"/>
      <c r="F21" s="307"/>
      <c r="G21" s="308"/>
      <c r="H21" s="306"/>
      <c r="I21" s="307"/>
    </row>
    <row r="22" spans="1:9" x14ac:dyDescent="0.2">
      <c r="A22" s="29"/>
      <c r="B22" s="30"/>
      <c r="C22" t="s">
        <v>628</v>
      </c>
      <c r="D22" s="305">
        <v>400</v>
      </c>
      <c r="E22" s="309"/>
      <c r="F22" s="310"/>
      <c r="G22" s="277"/>
      <c r="H22" s="309"/>
      <c r="I22" s="310"/>
    </row>
    <row r="23" spans="1:9" x14ac:dyDescent="0.2">
      <c r="A23" s="29"/>
      <c r="B23" s="30"/>
      <c r="C23" s="236" t="s">
        <v>646</v>
      </c>
      <c r="D23" s="305">
        <v>11</v>
      </c>
      <c r="E23" s="309"/>
      <c r="F23" s="310"/>
      <c r="G23" s="277"/>
      <c r="H23" s="309"/>
      <c r="I23" s="310"/>
    </row>
    <row r="24" spans="1:9" x14ac:dyDescent="0.2">
      <c r="A24" s="29"/>
      <c r="B24" s="30"/>
      <c r="C24" s="236" t="s">
        <v>647</v>
      </c>
      <c r="D24" s="305">
        <v>11</v>
      </c>
      <c r="E24" s="309"/>
      <c r="F24" s="310"/>
      <c r="G24" s="277"/>
      <c r="H24" s="309"/>
      <c r="I24" s="310"/>
    </row>
    <row r="25" spans="1:9" x14ac:dyDescent="0.2">
      <c r="A25" s="29"/>
      <c r="B25" s="30"/>
      <c r="C25" s="236" t="s">
        <v>629</v>
      </c>
      <c r="D25" s="305">
        <v>0</v>
      </c>
      <c r="E25" s="309"/>
      <c r="F25" s="310"/>
      <c r="G25" s="277"/>
      <c r="H25" s="309"/>
      <c r="I25" s="310"/>
    </row>
    <row r="26" spans="1:9" x14ac:dyDescent="0.2">
      <c r="A26" s="29"/>
      <c r="B26" s="30"/>
      <c r="C26" s="236" t="s">
        <v>630</v>
      </c>
      <c r="D26" s="305">
        <v>0</v>
      </c>
      <c r="E26" s="309"/>
      <c r="F26" s="310"/>
      <c r="G26" s="277"/>
      <c r="H26" s="309"/>
      <c r="I26" s="310"/>
    </row>
    <row r="27" spans="1:9" x14ac:dyDescent="0.2">
      <c r="A27" s="29"/>
      <c r="B27" s="30"/>
      <c r="D27" s="29"/>
      <c r="E27" s="29"/>
      <c r="F27" s="161"/>
      <c r="G27" s="29"/>
      <c r="H27" s="29"/>
      <c r="I27" s="161"/>
    </row>
    <row r="28" spans="1:9" x14ac:dyDescent="0.2">
      <c r="A28" s="29"/>
      <c r="B28" s="4" t="s">
        <v>386</v>
      </c>
      <c r="D28" s="41" t="s">
        <v>560</v>
      </c>
      <c r="E28" s="41">
        <f>E19</f>
        <v>2025</v>
      </c>
      <c r="F28" s="161"/>
      <c r="G28" s="41" t="s">
        <v>560</v>
      </c>
      <c r="H28" s="41">
        <f>H19</f>
        <v>2024</v>
      </c>
      <c r="I28" s="161"/>
    </row>
    <row r="29" spans="1:9" x14ac:dyDescent="0.2">
      <c r="A29" s="29"/>
      <c r="B29" s="30"/>
      <c r="C29" t="s">
        <v>677</v>
      </c>
      <c r="D29" s="305">
        <v>400</v>
      </c>
      <c r="E29" s="29"/>
      <c r="F29" s="161"/>
      <c r="G29" s="328">
        <v>0</v>
      </c>
      <c r="H29" s="29"/>
      <c r="I29" s="161"/>
    </row>
    <row r="30" spans="1:9" x14ac:dyDescent="0.2">
      <c r="A30" s="29"/>
      <c r="B30" s="30"/>
      <c r="C30" t="s">
        <v>556</v>
      </c>
      <c r="D30" s="305">
        <v>760</v>
      </c>
      <c r="E30" s="29"/>
      <c r="F30" s="161"/>
      <c r="G30" s="328">
        <v>0</v>
      </c>
      <c r="H30" s="29"/>
      <c r="I30" s="161"/>
    </row>
    <row r="31" spans="1:9" x14ac:dyDescent="0.2">
      <c r="A31" s="29"/>
      <c r="B31" s="30"/>
      <c r="C31" t="s">
        <v>557</v>
      </c>
      <c r="D31" s="305">
        <v>65</v>
      </c>
      <c r="E31" s="311">
        <f>IF(D30&gt;0,D31/D30,0)</f>
        <v>8.5526315789473686E-2</v>
      </c>
      <c r="F31" s="161"/>
      <c r="G31" s="328">
        <v>0</v>
      </c>
      <c r="H31" s="311">
        <f>IF(G30&gt;0,G31/G30,0)</f>
        <v>0</v>
      </c>
      <c r="I31" s="161"/>
    </row>
    <row r="32" spans="1:9" x14ac:dyDescent="0.2">
      <c r="A32" s="29"/>
      <c r="B32" s="30"/>
      <c r="C32" t="s">
        <v>389</v>
      </c>
      <c r="D32" s="305">
        <v>695</v>
      </c>
      <c r="E32" s="311">
        <f>IF(D32&gt;0,D32/D29,0)</f>
        <v>1.7375</v>
      </c>
      <c r="F32" s="161"/>
      <c r="G32" s="328">
        <v>0</v>
      </c>
      <c r="H32" s="311">
        <f>IF(G32&gt;0,G32/G29,0)</f>
        <v>0</v>
      </c>
      <c r="I32" s="161"/>
    </row>
    <row r="33" spans="1:9" x14ac:dyDescent="0.2">
      <c r="A33" s="29"/>
      <c r="B33" s="30"/>
      <c r="C33" t="s">
        <v>558</v>
      </c>
      <c r="D33" s="305">
        <v>35</v>
      </c>
      <c r="E33" s="311">
        <f>IF(D32&gt;0,D33/D32,0)</f>
        <v>5.0359712230215826E-2</v>
      </c>
      <c r="F33" s="161"/>
      <c r="G33" s="328">
        <v>0</v>
      </c>
      <c r="H33" s="311">
        <f>IF(G32&gt;0,G33/G32,0)</f>
        <v>0</v>
      </c>
      <c r="I33" s="161"/>
    </row>
    <row r="34" spans="1:9" x14ac:dyDescent="0.2">
      <c r="A34" s="29"/>
      <c r="B34" s="30"/>
      <c r="C34" t="s">
        <v>683</v>
      </c>
      <c r="D34" s="305">
        <v>600</v>
      </c>
      <c r="E34" s="311">
        <f>IF(D34&gt;0,D34/D29,0)</f>
        <v>1.5</v>
      </c>
      <c r="F34" s="161"/>
      <c r="G34" s="328">
        <v>0</v>
      </c>
      <c r="H34" s="311">
        <f>IF(G34&gt;0,G34/G29,0)</f>
        <v>0</v>
      </c>
      <c r="I34" s="161"/>
    </row>
    <row r="35" spans="1:9" x14ac:dyDescent="0.2">
      <c r="A35" s="29"/>
      <c r="B35" s="30"/>
      <c r="C35" t="s">
        <v>675</v>
      </c>
      <c r="D35" s="305">
        <v>60</v>
      </c>
      <c r="E35" s="29"/>
      <c r="F35" s="161"/>
      <c r="G35" s="328">
        <v>0</v>
      </c>
      <c r="H35" s="29"/>
      <c r="I35" s="161"/>
    </row>
    <row r="36" spans="1:9" ht="13.5" thickBot="1" x14ac:dyDescent="0.25">
      <c r="A36" s="29"/>
      <c r="B36" s="197"/>
      <c r="C36" s="198"/>
      <c r="D36" s="312"/>
      <c r="E36" s="280"/>
      <c r="F36" s="313"/>
      <c r="G36" s="312"/>
      <c r="H36" s="280"/>
      <c r="I36" s="281"/>
    </row>
    <row r="37" spans="1:9" x14ac:dyDescent="0.2">
      <c r="A37" s="29"/>
      <c r="B37" s="44"/>
      <c r="C37" s="44"/>
      <c r="D37" s="357"/>
      <c r="E37" s="44"/>
      <c r="F37" s="44"/>
      <c r="G37" s="357"/>
      <c r="H37" s="44"/>
      <c r="I37" s="335"/>
    </row>
    <row r="38" spans="1:9" ht="13.5" thickBot="1" x14ac:dyDescent="0.25">
      <c r="A38" s="29"/>
      <c r="B38" s="198"/>
      <c r="C38" s="198"/>
      <c r="D38" s="362"/>
      <c r="E38" s="198"/>
      <c r="F38" s="198"/>
      <c r="G38" s="362"/>
      <c r="H38" s="198"/>
      <c r="I38" s="352"/>
    </row>
    <row r="39" spans="1:9" x14ac:dyDescent="0.2">
      <c r="A39" s="29"/>
      <c r="B39" s="2" t="s">
        <v>569</v>
      </c>
      <c r="C39" s="234"/>
      <c r="D39" s="73"/>
      <c r="E39" s="269">
        <v>2025</v>
      </c>
      <c r="F39" s="73"/>
      <c r="G39" s="216"/>
      <c r="H39" s="269">
        <v>2024</v>
      </c>
      <c r="I39" s="262"/>
    </row>
    <row r="40" spans="1:9" x14ac:dyDescent="0.2">
      <c r="A40" s="29"/>
      <c r="B40" s="4" t="s">
        <v>559</v>
      </c>
      <c r="D40" s="41" t="s">
        <v>560</v>
      </c>
      <c r="E40" s="41" t="s">
        <v>561</v>
      </c>
      <c r="F40" s="41" t="s">
        <v>562</v>
      </c>
      <c r="G40" s="278" t="s">
        <v>560</v>
      </c>
      <c r="H40" s="41" t="s">
        <v>561</v>
      </c>
      <c r="I40" s="270" t="s">
        <v>562</v>
      </c>
    </row>
    <row r="41" spans="1:9" x14ac:dyDescent="0.2">
      <c r="A41" s="29"/>
      <c r="B41" s="30"/>
      <c r="C41" t="s">
        <v>635</v>
      </c>
      <c r="D41" s="271">
        <v>540</v>
      </c>
      <c r="E41" s="272">
        <v>62100</v>
      </c>
      <c r="F41" s="276">
        <v>186300</v>
      </c>
      <c r="G41" s="277"/>
      <c r="H41" s="272"/>
      <c r="I41" s="273"/>
    </row>
    <row r="42" spans="1:9" x14ac:dyDescent="0.2">
      <c r="A42" s="29"/>
      <c r="B42" s="30"/>
      <c r="C42" t="s">
        <v>633</v>
      </c>
      <c r="D42" s="271"/>
      <c r="E42" s="272"/>
      <c r="F42" s="276"/>
      <c r="G42" s="277"/>
      <c r="H42" s="272"/>
      <c r="I42" s="273"/>
    </row>
    <row r="43" spans="1:9" x14ac:dyDescent="0.2">
      <c r="A43" s="29"/>
      <c r="B43" s="30"/>
      <c r="C43" t="s">
        <v>634</v>
      </c>
      <c r="D43" s="271">
        <v>60</v>
      </c>
      <c r="E43" s="272"/>
      <c r="F43" s="276"/>
      <c r="G43" s="277"/>
      <c r="H43" s="272"/>
      <c r="I43" s="273"/>
    </row>
    <row r="44" spans="1:9" x14ac:dyDescent="0.2">
      <c r="A44" s="29"/>
      <c r="B44" s="30"/>
      <c r="C44" t="s">
        <v>564</v>
      </c>
      <c r="D44" s="271"/>
      <c r="E44" s="272"/>
      <c r="F44" s="276"/>
      <c r="G44" s="277"/>
      <c r="H44" s="272"/>
      <c r="I44" s="273"/>
    </row>
    <row r="45" spans="1:9" ht="8.1" customHeight="1" x14ac:dyDescent="0.2">
      <c r="A45" s="29"/>
      <c r="B45" s="30"/>
      <c r="D45" s="274" t="s">
        <v>1</v>
      </c>
      <c r="E45" s="275"/>
      <c r="F45" s="329"/>
      <c r="G45" s="160"/>
      <c r="H45" s="29"/>
      <c r="I45" s="161"/>
    </row>
    <row r="46" spans="1:9" x14ac:dyDescent="0.2">
      <c r="A46" s="29"/>
      <c r="B46" s="4" t="s">
        <v>565</v>
      </c>
      <c r="D46" s="41" t="s">
        <v>560</v>
      </c>
      <c r="E46" s="41" t="s">
        <v>568</v>
      </c>
      <c r="F46" s="41" t="s">
        <v>562</v>
      </c>
      <c r="G46" s="278" t="s">
        <v>560</v>
      </c>
      <c r="H46" s="41" t="s">
        <v>568</v>
      </c>
      <c r="I46" s="270" t="s">
        <v>562</v>
      </c>
    </row>
    <row r="47" spans="1:9" x14ac:dyDescent="0.2">
      <c r="A47" s="29"/>
      <c r="B47" s="30"/>
      <c r="C47" t="s">
        <v>566</v>
      </c>
      <c r="D47" s="271">
        <v>50</v>
      </c>
      <c r="E47" s="309">
        <v>250</v>
      </c>
      <c r="F47" s="276">
        <v>12500</v>
      </c>
      <c r="G47" s="277"/>
      <c r="H47" s="272"/>
      <c r="I47" s="273"/>
    </row>
    <row r="48" spans="1:9" x14ac:dyDescent="0.2">
      <c r="A48" s="29"/>
      <c r="B48" s="30"/>
      <c r="C48" t="s">
        <v>567</v>
      </c>
      <c r="D48" s="271">
        <v>2</v>
      </c>
      <c r="E48" s="309">
        <v>400</v>
      </c>
      <c r="F48" s="276">
        <v>800</v>
      </c>
      <c r="G48" s="277"/>
      <c r="H48" s="272"/>
      <c r="I48" s="273"/>
    </row>
    <row r="49" spans="1:9" ht="8.1" customHeight="1" x14ac:dyDescent="0.2">
      <c r="A49" s="29"/>
      <c r="B49" s="30"/>
      <c r="D49" s="274"/>
      <c r="E49" s="275"/>
      <c r="F49" s="29"/>
      <c r="G49" s="160"/>
      <c r="H49" s="29"/>
      <c r="I49" s="164"/>
    </row>
    <row r="50" spans="1:9" x14ac:dyDescent="0.2">
      <c r="A50" s="29"/>
      <c r="B50" s="4" t="s">
        <v>489</v>
      </c>
      <c r="D50" s="41" t="s">
        <v>560</v>
      </c>
      <c r="E50" s="41" t="s">
        <v>561</v>
      </c>
      <c r="F50" s="41" t="s">
        <v>562</v>
      </c>
      <c r="G50" s="278" t="s">
        <v>560</v>
      </c>
      <c r="H50" s="41" t="s">
        <v>561</v>
      </c>
      <c r="I50" s="270" t="s">
        <v>562</v>
      </c>
    </row>
    <row r="51" spans="1:9" x14ac:dyDescent="0.2">
      <c r="A51" s="29"/>
      <c r="B51" s="30"/>
      <c r="C51" t="s">
        <v>571</v>
      </c>
      <c r="D51" s="271"/>
      <c r="E51" s="272"/>
      <c r="F51" s="276"/>
      <c r="G51" s="277"/>
      <c r="H51" s="272"/>
      <c r="I51" s="273"/>
    </row>
    <row r="52" spans="1:9" x14ac:dyDescent="0.2">
      <c r="A52" s="29"/>
      <c r="B52" s="30"/>
      <c r="C52" t="s">
        <v>572</v>
      </c>
      <c r="D52" s="271"/>
      <c r="E52" s="272"/>
      <c r="F52" s="276"/>
      <c r="G52" s="277"/>
      <c r="H52" s="272"/>
      <c r="I52" s="273"/>
    </row>
    <row r="53" spans="1:9" ht="8.1" customHeight="1" x14ac:dyDescent="0.2">
      <c r="A53" s="29"/>
      <c r="B53" s="30"/>
      <c r="D53" s="29"/>
      <c r="E53" s="29"/>
      <c r="F53" s="29"/>
      <c r="G53" s="160"/>
      <c r="H53" s="29"/>
      <c r="I53" s="161"/>
    </row>
    <row r="54" spans="1:9" x14ac:dyDescent="0.2">
      <c r="A54" s="29"/>
      <c r="B54" s="4" t="s">
        <v>321</v>
      </c>
      <c r="D54" s="41" t="s">
        <v>560</v>
      </c>
      <c r="E54" s="41" t="s">
        <v>574</v>
      </c>
      <c r="F54" s="41" t="s">
        <v>562</v>
      </c>
      <c r="G54" s="278" t="s">
        <v>560</v>
      </c>
      <c r="H54" s="41" t="s">
        <v>574</v>
      </c>
      <c r="I54" s="270" t="s">
        <v>562</v>
      </c>
    </row>
    <row r="55" spans="1:9" x14ac:dyDescent="0.2">
      <c r="A55" s="29"/>
      <c r="B55" s="30"/>
      <c r="C55" t="s">
        <v>319</v>
      </c>
      <c r="D55" s="271">
        <v>410</v>
      </c>
      <c r="E55" s="272">
        <v>3280</v>
      </c>
      <c r="F55" s="276">
        <v>1640</v>
      </c>
      <c r="G55" s="277"/>
      <c r="H55" s="272"/>
      <c r="I55" s="273"/>
    </row>
    <row r="56" spans="1:9" ht="8.1" customHeight="1" x14ac:dyDescent="0.2">
      <c r="A56" s="29"/>
      <c r="B56" s="30"/>
      <c r="D56" s="29"/>
      <c r="E56" s="29"/>
      <c r="F56" s="29"/>
      <c r="G56" s="160"/>
      <c r="H56" s="29"/>
      <c r="I56" s="161"/>
    </row>
    <row r="57" spans="1:9" x14ac:dyDescent="0.2">
      <c r="A57" s="29"/>
      <c r="B57" s="4" t="s">
        <v>340</v>
      </c>
      <c r="D57" s="41" t="s">
        <v>560</v>
      </c>
      <c r="E57" s="41" t="s">
        <v>575</v>
      </c>
      <c r="F57" s="41" t="s">
        <v>562</v>
      </c>
      <c r="G57" s="278" t="s">
        <v>560</v>
      </c>
      <c r="H57" s="41" t="s">
        <v>575</v>
      </c>
      <c r="I57" s="270" t="s">
        <v>562</v>
      </c>
    </row>
    <row r="58" spans="1:9" x14ac:dyDescent="0.2">
      <c r="A58" s="29"/>
      <c r="B58" s="30"/>
      <c r="C58" t="s">
        <v>573</v>
      </c>
      <c r="D58" s="271"/>
      <c r="E58" s="272"/>
      <c r="F58" s="276"/>
      <c r="G58" s="277"/>
      <c r="H58" s="272"/>
      <c r="I58" s="273"/>
    </row>
    <row r="59" spans="1:9" x14ac:dyDescent="0.2">
      <c r="A59" s="29"/>
      <c r="B59" s="30"/>
      <c r="C59" t="s">
        <v>636</v>
      </c>
      <c r="D59" s="167"/>
      <c r="E59" s="163"/>
      <c r="F59" s="168"/>
      <c r="G59" s="327"/>
      <c r="H59" s="163"/>
      <c r="I59" s="279"/>
    </row>
    <row r="60" spans="1:9" ht="8.1" customHeight="1" x14ac:dyDescent="0.2">
      <c r="A60" s="29"/>
      <c r="B60" s="30"/>
      <c r="D60" s="29"/>
      <c r="E60" s="29"/>
      <c r="F60" s="29"/>
      <c r="G60" s="160"/>
      <c r="H60" s="29"/>
      <c r="I60" s="161"/>
    </row>
    <row r="61" spans="1:9" x14ac:dyDescent="0.2">
      <c r="A61" s="29"/>
      <c r="B61" s="4" t="s">
        <v>637</v>
      </c>
      <c r="D61" s="41"/>
      <c r="E61" s="41"/>
      <c r="F61" s="41" t="s">
        <v>562</v>
      </c>
      <c r="G61" s="278"/>
      <c r="H61" s="41"/>
      <c r="I61" s="270" t="s">
        <v>562</v>
      </c>
    </row>
    <row r="62" spans="1:9" x14ac:dyDescent="0.2">
      <c r="A62" s="29"/>
      <c r="B62" s="4"/>
      <c r="C62" t="s">
        <v>680</v>
      </c>
      <c r="D62" s="41"/>
      <c r="E62" s="41"/>
      <c r="F62" s="330"/>
      <c r="G62" s="278"/>
      <c r="H62" s="41"/>
      <c r="I62" s="331"/>
    </row>
    <row r="63" spans="1:9" x14ac:dyDescent="0.2">
      <c r="A63" s="29"/>
      <c r="B63" s="4"/>
      <c r="C63" t="s">
        <v>681</v>
      </c>
      <c r="D63" s="41"/>
      <c r="E63" s="41"/>
      <c r="F63" s="330"/>
      <c r="G63" s="278"/>
      <c r="H63" s="41"/>
      <c r="I63" s="331"/>
    </row>
    <row r="64" spans="1:9" x14ac:dyDescent="0.2">
      <c r="A64" s="29"/>
      <c r="B64" s="30"/>
      <c r="C64" t="s">
        <v>669</v>
      </c>
      <c r="D64" s="274" t="s">
        <v>1</v>
      </c>
      <c r="E64" s="315"/>
      <c r="F64" s="276"/>
      <c r="G64" s="316" t="s">
        <v>1</v>
      </c>
      <c r="H64" s="315"/>
      <c r="I64" s="273"/>
    </row>
    <row r="65" spans="1:9" ht="8.1" customHeight="1" thickBot="1" x14ac:dyDescent="0.25">
      <c r="A65" s="29"/>
      <c r="B65" s="197"/>
      <c r="C65" s="198"/>
      <c r="D65" s="198"/>
      <c r="E65" s="198"/>
      <c r="F65" s="198"/>
      <c r="G65" s="197"/>
      <c r="H65" s="198"/>
      <c r="I65" s="353"/>
    </row>
    <row r="66" spans="1:9" x14ac:dyDescent="0.2">
      <c r="A66" s="29"/>
      <c r="I66" s="335"/>
    </row>
    <row r="67" spans="1:9" ht="13.5" thickBot="1" x14ac:dyDescent="0.25">
      <c r="A67" s="29"/>
    </row>
    <row r="68" spans="1:9" x14ac:dyDescent="0.2">
      <c r="A68" s="29"/>
      <c r="B68" s="2" t="s">
        <v>620</v>
      </c>
      <c r="C68" s="44"/>
      <c r="D68" s="73"/>
      <c r="E68" s="269">
        <v>2025</v>
      </c>
      <c r="F68" s="262"/>
      <c r="G68" s="73"/>
      <c r="H68" s="269">
        <v>2024</v>
      </c>
      <c r="I68" s="262"/>
    </row>
    <row r="69" spans="1:9" x14ac:dyDescent="0.2">
      <c r="A69" s="29"/>
      <c r="B69" s="4" t="s">
        <v>583</v>
      </c>
      <c r="D69" s="41" t="s">
        <v>578</v>
      </c>
      <c r="E69" s="41" t="s">
        <v>576</v>
      </c>
      <c r="F69" s="270" t="s">
        <v>577</v>
      </c>
      <c r="G69" s="41" t="s">
        <v>578</v>
      </c>
      <c r="H69" s="41" t="s">
        <v>576</v>
      </c>
      <c r="I69" s="270" t="s">
        <v>577</v>
      </c>
    </row>
    <row r="70" spans="1:9" x14ac:dyDescent="0.2">
      <c r="A70" s="29"/>
      <c r="B70" s="30"/>
      <c r="C70" s="566" t="s">
        <v>587</v>
      </c>
      <c r="D70" s="282"/>
      <c r="E70" s="283"/>
      <c r="F70" s="284"/>
      <c r="G70" s="285"/>
      <c r="H70" s="283"/>
      <c r="I70" s="286"/>
    </row>
    <row r="71" spans="1:9" x14ac:dyDescent="0.2">
      <c r="A71" s="29"/>
      <c r="B71" s="30"/>
      <c r="C71" s="566" t="s">
        <v>638</v>
      </c>
      <c r="D71" s="282"/>
      <c r="E71" s="283"/>
      <c r="F71" s="284"/>
      <c r="G71" s="285"/>
      <c r="H71" s="283"/>
      <c r="I71" s="286"/>
    </row>
    <row r="72" spans="1:9" x14ac:dyDescent="0.2">
      <c r="A72" s="29"/>
      <c r="B72" s="30"/>
      <c r="C72" s="565" t="s">
        <v>638</v>
      </c>
      <c r="D72" s="282"/>
      <c r="E72" s="283"/>
      <c r="F72" s="284"/>
      <c r="G72" s="285"/>
      <c r="H72" s="283"/>
      <c r="I72" s="286"/>
    </row>
    <row r="73" spans="1:9" x14ac:dyDescent="0.2">
      <c r="A73" s="29"/>
      <c r="B73" s="30"/>
      <c r="C73" s="565" t="s">
        <v>624</v>
      </c>
      <c r="D73" s="282"/>
      <c r="E73" s="283"/>
      <c r="F73" s="284">
        <v>34000</v>
      </c>
      <c r="G73" s="285"/>
      <c r="H73" s="283"/>
      <c r="I73" s="286"/>
    </row>
    <row r="74" spans="1:9" x14ac:dyDescent="0.2">
      <c r="A74" s="29"/>
      <c r="B74" s="30"/>
      <c r="C74" s="566" t="s">
        <v>625</v>
      </c>
      <c r="D74" s="282"/>
      <c r="E74" s="283"/>
      <c r="F74" s="284"/>
      <c r="G74" s="285"/>
      <c r="H74" s="283"/>
      <c r="I74" s="286"/>
    </row>
    <row r="75" spans="1:9" x14ac:dyDescent="0.2">
      <c r="A75" s="29"/>
      <c r="B75" s="30"/>
      <c r="C75" s="566" t="s">
        <v>625</v>
      </c>
      <c r="D75" s="282"/>
      <c r="E75" s="283"/>
      <c r="F75" s="284"/>
      <c r="G75" s="285"/>
      <c r="H75" s="283"/>
      <c r="I75" s="286"/>
    </row>
    <row r="76" spans="1:9" x14ac:dyDescent="0.2">
      <c r="A76" s="29"/>
      <c r="B76" s="30"/>
      <c r="C76" s="236" t="s">
        <v>588</v>
      </c>
      <c r="D76" s="282"/>
      <c r="E76" s="283"/>
      <c r="F76" s="284">
        <v>5000</v>
      </c>
      <c r="G76" s="285"/>
      <c r="H76" s="283"/>
      <c r="I76" s="286"/>
    </row>
    <row r="77" spans="1:9" x14ac:dyDescent="0.2">
      <c r="A77" s="29"/>
      <c r="B77" s="30"/>
      <c r="C77" s="567" t="s">
        <v>589</v>
      </c>
      <c r="D77" s="282"/>
      <c r="E77" s="283"/>
      <c r="F77" s="284"/>
      <c r="G77" s="285"/>
      <c r="H77" s="283"/>
      <c r="I77" s="286"/>
    </row>
    <row r="78" spans="1:9" x14ac:dyDescent="0.2">
      <c r="A78" s="29"/>
      <c r="B78" s="30"/>
      <c r="C78" s="567" t="s">
        <v>591</v>
      </c>
      <c r="D78" s="282"/>
      <c r="E78" s="283"/>
      <c r="F78" s="284">
        <v>7000</v>
      </c>
      <c r="G78" s="285"/>
      <c r="H78" s="283"/>
      <c r="I78" s="286"/>
    </row>
    <row r="79" spans="1:9" x14ac:dyDescent="0.2">
      <c r="A79" s="29"/>
      <c r="B79" s="30"/>
      <c r="C79" s="567" t="s">
        <v>590</v>
      </c>
      <c r="D79" s="282"/>
      <c r="E79" s="283"/>
      <c r="F79" s="284">
        <v>22000</v>
      </c>
      <c r="G79" s="285"/>
      <c r="H79" s="283"/>
      <c r="I79" s="286"/>
    </row>
    <row r="80" spans="1:9" ht="8.1" customHeight="1" x14ac:dyDescent="0.2">
      <c r="A80" s="29"/>
      <c r="B80" s="30"/>
      <c r="D80" s="29"/>
      <c r="E80" s="29"/>
      <c r="F80" s="161"/>
      <c r="G80" s="29"/>
      <c r="H80" s="29"/>
      <c r="I80" s="161"/>
    </row>
    <row r="81" spans="1:9" x14ac:dyDescent="0.2">
      <c r="A81" s="29"/>
      <c r="B81" s="4" t="s">
        <v>579</v>
      </c>
      <c r="D81" s="41" t="s">
        <v>560</v>
      </c>
      <c r="E81" s="41" t="s">
        <v>563</v>
      </c>
      <c r="F81" s="270" t="s">
        <v>577</v>
      </c>
      <c r="G81" s="41" t="s">
        <v>560</v>
      </c>
      <c r="H81" s="41" t="s">
        <v>563</v>
      </c>
      <c r="I81" s="270" t="s">
        <v>577</v>
      </c>
    </row>
    <row r="82" spans="1:9" x14ac:dyDescent="0.2">
      <c r="A82" s="29"/>
      <c r="B82" s="30"/>
      <c r="C82" t="s">
        <v>670</v>
      </c>
      <c r="D82" s="287">
        <v>0</v>
      </c>
      <c r="E82" s="283">
        <v>0</v>
      </c>
      <c r="F82" s="284">
        <v>0</v>
      </c>
      <c r="G82" s="169"/>
      <c r="H82" s="163"/>
      <c r="I82" s="279"/>
    </row>
    <row r="83" spans="1:9" x14ac:dyDescent="0.2">
      <c r="A83" s="29"/>
      <c r="B83" s="30"/>
      <c r="C83" t="s">
        <v>645</v>
      </c>
      <c r="D83" s="287">
        <v>2</v>
      </c>
      <c r="E83" s="283">
        <v>600</v>
      </c>
      <c r="F83" s="284">
        <v>1200</v>
      </c>
      <c r="G83" s="169"/>
      <c r="H83" s="163"/>
      <c r="I83" s="279"/>
    </row>
    <row r="84" spans="1:9" x14ac:dyDescent="0.2">
      <c r="A84" s="29"/>
      <c r="B84" s="30"/>
      <c r="C84" t="s">
        <v>596</v>
      </c>
      <c r="D84" s="29"/>
      <c r="E84" s="29"/>
      <c r="F84" s="284"/>
      <c r="G84" s="29"/>
      <c r="H84" s="29"/>
      <c r="I84" s="279"/>
    </row>
    <row r="85" spans="1:9" x14ac:dyDescent="0.2">
      <c r="A85" s="29"/>
      <c r="B85" s="30"/>
      <c r="C85" t="s">
        <v>639</v>
      </c>
      <c r="D85" s="29"/>
      <c r="E85" s="29"/>
      <c r="F85" s="284"/>
      <c r="G85" s="29"/>
      <c r="H85" s="29"/>
      <c r="I85" s="279"/>
    </row>
    <row r="86" spans="1:9" ht="8.1" customHeight="1" x14ac:dyDescent="0.2">
      <c r="A86" s="29"/>
      <c r="B86" s="30"/>
      <c r="D86" s="29"/>
      <c r="E86" s="288"/>
      <c r="F86" s="161"/>
      <c r="G86" s="29"/>
      <c r="H86" s="29"/>
      <c r="I86" s="161"/>
    </row>
    <row r="87" spans="1:9" x14ac:dyDescent="0.2">
      <c r="A87" s="29"/>
      <c r="B87" s="4" t="s">
        <v>580</v>
      </c>
      <c r="D87" s="29"/>
      <c r="E87" s="29"/>
      <c r="F87" s="270" t="s">
        <v>577</v>
      </c>
      <c r="G87" s="29"/>
      <c r="H87" s="29"/>
      <c r="I87" s="270" t="s">
        <v>577</v>
      </c>
    </row>
    <row r="88" spans="1:9" x14ac:dyDescent="0.2">
      <c r="A88" s="29"/>
      <c r="B88" s="30"/>
      <c r="C88" t="s">
        <v>581</v>
      </c>
      <c r="D88" s="29"/>
      <c r="E88" s="29"/>
      <c r="F88" s="284">
        <v>5000</v>
      </c>
      <c r="G88" s="29"/>
      <c r="H88" s="29"/>
      <c r="I88" s="279"/>
    </row>
    <row r="89" spans="1:9" x14ac:dyDescent="0.2">
      <c r="A89" s="29"/>
      <c r="B89" s="30"/>
      <c r="C89" t="s">
        <v>582</v>
      </c>
      <c r="D89" s="29"/>
      <c r="E89" s="29"/>
      <c r="F89" s="284"/>
      <c r="G89" s="29"/>
      <c r="H89" s="29"/>
      <c r="I89" s="279"/>
    </row>
    <row r="90" spans="1:9" ht="8.1" customHeight="1" x14ac:dyDescent="0.2">
      <c r="A90" s="29"/>
      <c r="B90" s="30"/>
      <c r="D90" s="29"/>
      <c r="E90" s="288"/>
      <c r="F90" s="164"/>
      <c r="G90" s="29"/>
      <c r="H90" s="288"/>
      <c r="I90" s="164"/>
    </row>
    <row r="91" spans="1:9" x14ac:dyDescent="0.2">
      <c r="A91" s="29"/>
      <c r="B91" s="4" t="s">
        <v>584</v>
      </c>
      <c r="D91" s="29"/>
      <c r="E91" s="29"/>
      <c r="F91" s="270" t="s">
        <v>577</v>
      </c>
      <c r="G91" s="29"/>
      <c r="H91" s="29"/>
      <c r="I91" s="270" t="s">
        <v>577</v>
      </c>
    </row>
    <row r="92" spans="1:9" x14ac:dyDescent="0.2">
      <c r="A92" s="29"/>
      <c r="B92" s="4"/>
      <c r="C92" t="s">
        <v>592</v>
      </c>
      <c r="D92" s="29"/>
      <c r="E92" s="29"/>
      <c r="F92" s="284">
        <v>1200</v>
      </c>
      <c r="G92" s="29"/>
      <c r="H92" s="29"/>
      <c r="I92" s="284"/>
    </row>
    <row r="93" spans="1:9" x14ac:dyDescent="0.2">
      <c r="A93" s="29"/>
      <c r="B93" s="4"/>
      <c r="C93" t="s">
        <v>593</v>
      </c>
      <c r="D93" s="29"/>
      <c r="E93" s="29"/>
      <c r="F93" s="284">
        <v>600</v>
      </c>
      <c r="G93" s="29"/>
      <c r="H93" s="29"/>
      <c r="I93" s="284"/>
    </row>
    <row r="94" spans="1:9" x14ac:dyDescent="0.2">
      <c r="A94" s="29"/>
      <c r="B94" s="4"/>
      <c r="C94" t="s">
        <v>594</v>
      </c>
      <c r="D94" s="29"/>
      <c r="E94" s="29"/>
      <c r="F94" s="284">
        <v>1000</v>
      </c>
      <c r="G94" s="29"/>
      <c r="H94" s="29"/>
      <c r="I94" s="284"/>
    </row>
    <row r="95" spans="1:9" x14ac:dyDescent="0.2">
      <c r="A95" s="29"/>
      <c r="B95" s="4"/>
      <c r="C95" t="s">
        <v>595</v>
      </c>
      <c r="D95" s="29"/>
      <c r="E95" s="29"/>
      <c r="F95" s="284">
        <v>600</v>
      </c>
      <c r="G95" s="29"/>
      <c r="H95" s="29"/>
      <c r="I95" s="284"/>
    </row>
    <row r="96" spans="1:9" x14ac:dyDescent="0.2">
      <c r="A96" s="29"/>
      <c r="B96" s="30"/>
      <c r="D96" s="29"/>
      <c r="F96" s="611">
        <f>E68</f>
        <v>2025</v>
      </c>
      <c r="G96" s="29"/>
      <c r="I96" s="611">
        <f>H68</f>
        <v>2024</v>
      </c>
    </row>
    <row r="97" spans="1:9" x14ac:dyDescent="0.2">
      <c r="A97" s="29"/>
      <c r="B97" s="4" t="s">
        <v>585</v>
      </c>
      <c r="D97" s="29"/>
      <c r="E97" s="41" t="s">
        <v>597</v>
      </c>
      <c r="F97" s="270" t="s">
        <v>854</v>
      </c>
      <c r="G97" s="29"/>
      <c r="H97" s="41" t="s">
        <v>597</v>
      </c>
      <c r="I97" s="270" t="s">
        <v>854</v>
      </c>
    </row>
    <row r="98" spans="1:9" x14ac:dyDescent="0.2">
      <c r="A98" s="29"/>
      <c r="B98" s="4"/>
      <c r="C98" s="5" t="s">
        <v>855</v>
      </c>
      <c r="D98" s="29"/>
      <c r="E98" s="282">
        <v>2</v>
      </c>
      <c r="F98" s="612">
        <v>1200</v>
      </c>
      <c r="G98" s="289"/>
      <c r="H98" s="282"/>
      <c r="I98" s="612"/>
    </row>
    <row r="99" spans="1:9" x14ac:dyDescent="0.2">
      <c r="A99" s="29"/>
      <c r="B99" s="30"/>
      <c r="C99" s="5" t="s">
        <v>856</v>
      </c>
      <c r="D99" s="29"/>
      <c r="E99" s="29"/>
      <c r="F99" s="284">
        <v>20000</v>
      </c>
      <c r="G99" s="290"/>
      <c r="H99" s="290"/>
      <c r="I99" s="284"/>
    </row>
    <row r="100" spans="1:9" ht="8.1" customHeight="1" x14ac:dyDescent="0.2">
      <c r="A100" s="29"/>
      <c r="B100" s="30"/>
      <c r="D100" s="29"/>
      <c r="E100" s="29"/>
      <c r="F100" s="291"/>
      <c r="G100" s="290"/>
      <c r="H100" s="290"/>
      <c r="I100" s="291"/>
    </row>
    <row r="101" spans="1:9" x14ac:dyDescent="0.2">
      <c r="A101" s="29"/>
      <c r="B101" s="4" t="s">
        <v>586</v>
      </c>
      <c r="D101" s="29"/>
      <c r="E101" s="29"/>
      <c r="F101" s="292" t="s">
        <v>577</v>
      </c>
      <c r="G101" s="290"/>
      <c r="H101" s="290"/>
      <c r="I101" s="292" t="s">
        <v>577</v>
      </c>
    </row>
    <row r="102" spans="1:9" x14ac:dyDescent="0.2">
      <c r="A102" s="29"/>
      <c r="B102" s="30"/>
      <c r="C102" t="s">
        <v>598</v>
      </c>
      <c r="D102" s="29"/>
      <c r="E102" s="29"/>
      <c r="F102" s="284">
        <v>2000</v>
      </c>
      <c r="G102" s="290"/>
      <c r="H102" s="290"/>
      <c r="I102" s="284"/>
    </row>
    <row r="103" spans="1:9" x14ac:dyDescent="0.2">
      <c r="A103" s="29"/>
      <c r="B103" s="30"/>
      <c r="C103" t="s">
        <v>599</v>
      </c>
      <c r="D103" s="29"/>
      <c r="E103" s="29"/>
      <c r="F103" s="293"/>
      <c r="G103" s="290"/>
      <c r="H103" s="290"/>
      <c r="I103" s="293"/>
    </row>
    <row r="104" spans="1:9" ht="13.5" thickBot="1" x14ac:dyDescent="0.25">
      <c r="A104" s="29"/>
      <c r="B104" s="197"/>
      <c r="C104" s="198" t="s">
        <v>599</v>
      </c>
      <c r="D104" s="280"/>
      <c r="E104" s="280"/>
      <c r="F104" s="294"/>
      <c r="G104" s="295"/>
      <c r="H104" s="295"/>
      <c r="I104" s="294"/>
    </row>
    <row r="105" spans="1:9" x14ac:dyDescent="0.2">
      <c r="A105" s="29"/>
      <c r="D105" s="29"/>
      <c r="E105" s="29"/>
      <c r="F105" s="290"/>
      <c r="G105" s="290"/>
      <c r="H105" s="290"/>
      <c r="I105" s="290"/>
    </row>
    <row r="106" spans="1:9" ht="13.5" thickBot="1" x14ac:dyDescent="0.25">
      <c r="A106" s="29"/>
      <c r="B106" s="198"/>
      <c r="C106" s="198"/>
      <c r="D106" s="280"/>
      <c r="E106" s="280"/>
      <c r="F106" s="295"/>
      <c r="G106" s="295"/>
      <c r="H106" s="295"/>
      <c r="I106" s="295"/>
    </row>
    <row r="107" spans="1:9" x14ac:dyDescent="0.2">
      <c r="A107" s="29"/>
      <c r="B107" s="2" t="s">
        <v>620</v>
      </c>
      <c r="C107" s="44"/>
      <c r="D107" s="73"/>
      <c r="E107" s="73"/>
      <c r="F107" s="296">
        <f>E68</f>
        <v>2025</v>
      </c>
      <c r="G107" s="297"/>
      <c r="H107" s="297"/>
      <c r="I107" s="296">
        <f>H68</f>
        <v>2024</v>
      </c>
    </row>
    <row r="108" spans="1:9" x14ac:dyDescent="0.2">
      <c r="A108" s="29"/>
      <c r="B108" s="4" t="s">
        <v>600</v>
      </c>
      <c r="D108" s="29"/>
      <c r="E108" s="29"/>
      <c r="F108" s="292" t="s">
        <v>577</v>
      </c>
      <c r="G108" s="290"/>
      <c r="H108" s="290"/>
      <c r="I108" s="292" t="s">
        <v>577</v>
      </c>
    </row>
    <row r="109" spans="1:9" x14ac:dyDescent="0.2">
      <c r="A109" s="29"/>
      <c r="B109" s="30"/>
      <c r="C109" t="s">
        <v>160</v>
      </c>
      <c r="D109" s="29"/>
      <c r="E109" s="29"/>
      <c r="F109" s="284">
        <v>2200</v>
      </c>
      <c r="G109" s="290"/>
      <c r="H109" s="290"/>
      <c r="I109" s="284"/>
    </row>
    <row r="110" spans="1:9" x14ac:dyDescent="0.2">
      <c r="A110" s="29"/>
      <c r="B110" s="30"/>
      <c r="C110" t="s">
        <v>162</v>
      </c>
      <c r="D110" s="29"/>
      <c r="E110" s="29"/>
      <c r="F110" s="284">
        <v>1200</v>
      </c>
      <c r="G110" s="290"/>
      <c r="H110" s="290"/>
      <c r="I110" s="284"/>
    </row>
    <row r="111" spans="1:9" ht="8.1" customHeight="1" x14ac:dyDescent="0.2">
      <c r="A111" s="29"/>
      <c r="B111" s="30"/>
      <c r="D111" s="29"/>
      <c r="E111" s="29"/>
      <c r="F111" s="41"/>
      <c r="G111" s="298"/>
      <c r="H111" s="290"/>
      <c r="I111" s="270"/>
    </row>
    <row r="112" spans="1:9" x14ac:dyDescent="0.2">
      <c r="A112" s="29"/>
      <c r="B112" s="4" t="s">
        <v>601</v>
      </c>
      <c r="D112" s="29"/>
      <c r="E112" s="29"/>
      <c r="F112" s="292" t="s">
        <v>577</v>
      </c>
      <c r="G112" s="290"/>
      <c r="H112" s="290"/>
      <c r="I112" s="292" t="s">
        <v>577</v>
      </c>
    </row>
    <row r="113" spans="1:9" x14ac:dyDescent="0.2">
      <c r="A113" s="29"/>
      <c r="B113" s="30"/>
      <c r="C113" t="s">
        <v>161</v>
      </c>
      <c r="D113" s="29"/>
      <c r="E113" s="29"/>
      <c r="F113" s="284">
        <v>1500</v>
      </c>
      <c r="G113" s="290"/>
      <c r="H113" s="290"/>
      <c r="I113" s="284"/>
    </row>
    <row r="114" spans="1:9" x14ac:dyDescent="0.2">
      <c r="A114" s="29"/>
      <c r="B114" s="30"/>
      <c r="C114" t="s">
        <v>165</v>
      </c>
      <c r="D114" s="29"/>
      <c r="E114" s="29"/>
      <c r="F114" s="284">
        <v>2000</v>
      </c>
      <c r="G114" s="290"/>
      <c r="H114" s="290"/>
      <c r="I114" s="284"/>
    </row>
    <row r="115" spans="1:9" ht="8.1" customHeight="1" x14ac:dyDescent="0.2">
      <c r="A115" s="29"/>
      <c r="B115" s="30"/>
      <c r="D115" s="29"/>
      <c r="E115" s="29"/>
      <c r="F115" s="291"/>
      <c r="G115" s="290"/>
      <c r="H115" s="290"/>
      <c r="I115" s="291"/>
    </row>
    <row r="116" spans="1:9" x14ac:dyDescent="0.2">
      <c r="A116" s="29"/>
      <c r="B116" s="4" t="s">
        <v>59</v>
      </c>
      <c r="D116" s="29"/>
      <c r="E116" s="29"/>
      <c r="F116" s="292" t="s">
        <v>577</v>
      </c>
      <c r="G116" s="290"/>
      <c r="H116" s="290"/>
      <c r="I116" s="292" t="s">
        <v>577</v>
      </c>
    </row>
    <row r="117" spans="1:9" x14ac:dyDescent="0.2">
      <c r="A117" s="29"/>
      <c r="B117" s="30"/>
      <c r="C117" t="s">
        <v>666</v>
      </c>
      <c r="D117" s="29"/>
      <c r="E117" s="29"/>
      <c r="F117" s="284">
        <v>3600</v>
      </c>
      <c r="G117" s="290"/>
      <c r="H117" s="290"/>
      <c r="I117" s="284"/>
    </row>
    <row r="118" spans="1:9" x14ac:dyDescent="0.2">
      <c r="A118" s="29"/>
      <c r="B118" s="30"/>
      <c r="C118" t="s">
        <v>665</v>
      </c>
      <c r="D118" s="29"/>
      <c r="E118" s="29"/>
      <c r="F118" s="284">
        <v>2543</v>
      </c>
      <c r="G118" s="290"/>
      <c r="H118" s="290"/>
      <c r="I118" s="284" t="s">
        <v>1</v>
      </c>
    </row>
    <row r="119" spans="1:9" x14ac:dyDescent="0.2">
      <c r="A119" s="29"/>
      <c r="B119" s="30"/>
      <c r="C119" t="s">
        <v>602</v>
      </c>
      <c r="D119" s="29"/>
      <c r="E119" s="29"/>
      <c r="F119" s="284">
        <v>8000</v>
      </c>
      <c r="G119" s="290"/>
      <c r="H119" s="290"/>
      <c r="I119" s="284"/>
    </row>
    <row r="120" spans="1:9" x14ac:dyDescent="0.2">
      <c r="A120" s="29"/>
      <c r="B120" s="30"/>
      <c r="C120" t="s">
        <v>667</v>
      </c>
      <c r="D120" s="29"/>
      <c r="E120" s="29"/>
      <c r="F120" s="284"/>
      <c r="G120" s="290"/>
      <c r="H120" s="290"/>
      <c r="I120" s="284"/>
    </row>
    <row r="121" spans="1:9" ht="8.1" customHeight="1" x14ac:dyDescent="0.2">
      <c r="A121" s="29"/>
      <c r="B121" s="30"/>
      <c r="D121" s="29"/>
      <c r="E121" s="29"/>
      <c r="F121" s="291"/>
      <c r="G121" s="290"/>
      <c r="H121" s="290"/>
      <c r="I121" s="291"/>
    </row>
    <row r="122" spans="1:9" x14ac:dyDescent="0.2">
      <c r="A122" s="29"/>
      <c r="B122" s="4" t="s">
        <v>603</v>
      </c>
      <c r="D122" s="29"/>
      <c r="E122" s="29"/>
      <c r="F122" s="292" t="s">
        <v>577</v>
      </c>
      <c r="G122" s="290"/>
      <c r="H122" s="290"/>
      <c r="I122" s="292" t="s">
        <v>577</v>
      </c>
    </row>
    <row r="123" spans="1:9" x14ac:dyDescent="0.2">
      <c r="A123" s="29"/>
      <c r="B123" s="30"/>
      <c r="C123" t="s">
        <v>604</v>
      </c>
      <c r="D123" s="29"/>
      <c r="E123" s="29"/>
      <c r="F123" s="284">
        <v>2500</v>
      </c>
      <c r="G123" s="290"/>
      <c r="H123" s="290"/>
      <c r="I123" s="284"/>
    </row>
    <row r="124" spans="1:9" x14ac:dyDescent="0.2">
      <c r="A124" s="29"/>
      <c r="B124" s="30"/>
      <c r="C124" t="s">
        <v>605</v>
      </c>
      <c r="D124" s="29"/>
      <c r="E124" s="29"/>
      <c r="F124" s="284"/>
      <c r="G124" s="290"/>
      <c r="H124" s="290"/>
      <c r="I124" s="284"/>
    </row>
    <row r="125" spans="1:9" ht="8.1" customHeight="1" x14ac:dyDescent="0.2">
      <c r="A125" s="29"/>
      <c r="B125" s="30"/>
      <c r="D125" s="29"/>
      <c r="E125" s="29"/>
      <c r="F125" s="291"/>
      <c r="G125" s="290"/>
      <c r="H125" s="290"/>
      <c r="I125" s="291"/>
    </row>
    <row r="126" spans="1:9" x14ac:dyDescent="0.2">
      <c r="A126" s="29"/>
      <c r="B126" s="4" t="s">
        <v>606</v>
      </c>
      <c r="D126" s="29"/>
      <c r="E126" s="29"/>
      <c r="F126" s="292" t="s">
        <v>577</v>
      </c>
      <c r="G126" s="290"/>
      <c r="H126" s="290"/>
      <c r="I126" s="292" t="s">
        <v>577</v>
      </c>
    </row>
    <row r="127" spans="1:9" x14ac:dyDescent="0.2">
      <c r="A127" s="29"/>
      <c r="B127" s="30"/>
      <c r="C127" t="s">
        <v>607</v>
      </c>
      <c r="D127" s="29"/>
      <c r="E127" s="29"/>
      <c r="F127" s="284"/>
      <c r="G127" s="290"/>
      <c r="H127" s="290"/>
      <c r="I127" s="284"/>
    </row>
    <row r="128" spans="1:9" ht="8.1" customHeight="1" x14ac:dyDescent="0.2">
      <c r="A128" s="29"/>
      <c r="B128" s="30"/>
      <c r="D128" s="29"/>
      <c r="E128" s="29"/>
      <c r="F128" s="291"/>
      <c r="G128" s="29"/>
      <c r="H128" s="29"/>
      <c r="I128" s="291"/>
    </row>
    <row r="129" spans="1:9" x14ac:dyDescent="0.2">
      <c r="A129" s="29"/>
      <c r="B129" s="4" t="s">
        <v>608</v>
      </c>
      <c r="D129" s="29"/>
      <c r="E129" s="29"/>
      <c r="F129" s="292" t="s">
        <v>577</v>
      </c>
      <c r="G129" s="29"/>
      <c r="H129" s="29"/>
      <c r="I129" s="292" t="s">
        <v>577</v>
      </c>
    </row>
    <row r="130" spans="1:9" x14ac:dyDescent="0.2">
      <c r="A130" s="29"/>
      <c r="B130" s="30"/>
      <c r="C130" t="s">
        <v>609</v>
      </c>
      <c r="D130" s="29"/>
      <c r="E130" s="29"/>
      <c r="F130" s="284">
        <v>1200</v>
      </c>
      <c r="G130" s="29"/>
      <c r="H130" s="29"/>
      <c r="I130" s="284"/>
    </row>
    <row r="131" spans="1:9" x14ac:dyDescent="0.2">
      <c r="A131" s="29"/>
      <c r="B131" s="30"/>
      <c r="C131" t="s">
        <v>610</v>
      </c>
      <c r="D131" s="29"/>
      <c r="E131" s="29"/>
      <c r="F131" s="284">
        <v>2000</v>
      </c>
      <c r="G131" s="29"/>
      <c r="H131" s="29"/>
      <c r="I131" s="284"/>
    </row>
    <row r="132" spans="1:9" x14ac:dyDescent="0.2">
      <c r="A132" s="29"/>
      <c r="B132" s="30"/>
      <c r="C132" t="s">
        <v>611</v>
      </c>
      <c r="D132" s="29"/>
      <c r="E132" s="29"/>
      <c r="F132" s="284">
        <v>1300</v>
      </c>
      <c r="G132" s="29"/>
      <c r="H132" s="29"/>
      <c r="I132" s="284"/>
    </row>
    <row r="133" spans="1:9" ht="8.1" customHeight="1" x14ac:dyDescent="0.2">
      <c r="A133" s="29"/>
      <c r="B133" s="30"/>
      <c r="D133" s="29"/>
      <c r="E133" s="29"/>
      <c r="F133" s="161"/>
      <c r="G133" s="29"/>
      <c r="H133" s="29"/>
      <c r="I133" s="161"/>
    </row>
    <row r="134" spans="1:9" ht="12.75" customHeight="1" x14ac:dyDescent="0.2">
      <c r="A134" s="29"/>
      <c r="B134" s="4" t="s">
        <v>614</v>
      </c>
      <c r="D134" s="29"/>
      <c r="E134" s="29"/>
      <c r="F134" s="292" t="s">
        <v>577</v>
      </c>
      <c r="G134" s="29"/>
      <c r="H134" s="29"/>
      <c r="I134" s="292" t="s">
        <v>577</v>
      </c>
    </row>
    <row r="135" spans="1:9" ht="12.75" customHeight="1" x14ac:dyDescent="0.2">
      <c r="A135" s="29"/>
      <c r="B135" s="30"/>
      <c r="C135" t="s">
        <v>615</v>
      </c>
      <c r="D135" s="29"/>
      <c r="E135" s="29"/>
      <c r="F135" s="284">
        <v>660</v>
      </c>
      <c r="G135" s="29"/>
      <c r="H135" s="29"/>
      <c r="I135" s="284"/>
    </row>
    <row r="136" spans="1:9" ht="12.75" customHeight="1" x14ac:dyDescent="0.2">
      <c r="A136" s="29"/>
      <c r="B136" s="30"/>
      <c r="C136" t="s">
        <v>616</v>
      </c>
      <c r="D136" s="29"/>
      <c r="E136" s="29"/>
      <c r="F136" s="284"/>
      <c r="G136" s="29"/>
      <c r="H136" s="29"/>
      <c r="I136" s="284"/>
    </row>
    <row r="137" spans="1:9" ht="8.1" customHeight="1" x14ac:dyDescent="0.2">
      <c r="A137" s="29"/>
      <c r="B137" s="30"/>
      <c r="D137" s="29"/>
      <c r="E137" s="29"/>
      <c r="F137" s="161"/>
      <c r="G137" s="29"/>
      <c r="H137" s="29"/>
      <c r="I137" s="161"/>
    </row>
    <row r="138" spans="1:9" ht="12.75" customHeight="1" x14ac:dyDescent="0.2">
      <c r="A138" s="29"/>
      <c r="B138" s="4" t="s">
        <v>612</v>
      </c>
      <c r="D138" s="29"/>
      <c r="E138" s="29"/>
      <c r="F138" s="292" t="s">
        <v>577</v>
      </c>
      <c r="G138" s="29"/>
      <c r="H138" s="29"/>
      <c r="I138" s="292" t="s">
        <v>577</v>
      </c>
    </row>
    <row r="139" spans="1:9" ht="13.5" thickBot="1" x14ac:dyDescent="0.25">
      <c r="A139" s="29"/>
      <c r="B139" s="30"/>
      <c r="C139" t="s">
        <v>613</v>
      </c>
      <c r="D139" s="29"/>
      <c r="E139" s="29"/>
      <c r="F139" s="284">
        <v>2000</v>
      </c>
      <c r="G139" s="29"/>
      <c r="H139" s="29"/>
      <c r="I139" s="284"/>
    </row>
    <row r="140" spans="1:9" x14ac:dyDescent="0.2">
      <c r="A140" s="29"/>
      <c r="B140" s="2" t="s">
        <v>621</v>
      </c>
      <c r="C140" s="44"/>
      <c r="D140" s="73"/>
      <c r="E140" s="73"/>
      <c r="F140" s="296">
        <v>2023</v>
      </c>
      <c r="G140" s="73"/>
      <c r="H140" s="73"/>
      <c r="I140" s="296">
        <v>2022</v>
      </c>
    </row>
    <row r="141" spans="1:9" x14ac:dyDescent="0.2">
      <c r="A141" s="29"/>
      <c r="B141" s="4" t="s">
        <v>617</v>
      </c>
      <c r="D141" s="29"/>
      <c r="E141" s="29"/>
      <c r="F141" s="292" t="s">
        <v>577</v>
      </c>
      <c r="G141" s="29"/>
      <c r="H141" s="29"/>
      <c r="I141" s="292" t="s">
        <v>577</v>
      </c>
    </row>
    <row r="142" spans="1:9" x14ac:dyDescent="0.2">
      <c r="A142" s="29"/>
      <c r="B142" s="30"/>
      <c r="C142" t="s">
        <v>618</v>
      </c>
      <c r="D142" s="29"/>
      <c r="E142" s="29"/>
      <c r="F142" s="284">
        <v>4000</v>
      </c>
      <c r="G142" s="29"/>
      <c r="H142" s="29"/>
      <c r="I142" s="284"/>
    </row>
    <row r="143" spans="1:9" x14ac:dyDescent="0.2">
      <c r="A143" s="29"/>
      <c r="B143" s="30"/>
      <c r="C143" t="s">
        <v>619</v>
      </c>
      <c r="D143" s="29"/>
      <c r="E143" s="29"/>
      <c r="F143" s="284">
        <v>5000</v>
      </c>
      <c r="G143" s="29"/>
      <c r="H143" s="29"/>
      <c r="I143" s="284"/>
    </row>
    <row r="144" spans="1:9" ht="8.1" customHeight="1" x14ac:dyDescent="0.2">
      <c r="A144" s="29"/>
      <c r="B144" s="30"/>
      <c r="D144" s="29"/>
      <c r="E144" s="29"/>
      <c r="F144" s="291"/>
      <c r="G144" s="29"/>
      <c r="H144" s="29"/>
      <c r="I144" s="291"/>
    </row>
    <row r="145" spans="1:9" x14ac:dyDescent="0.2">
      <c r="A145" s="29"/>
      <c r="B145" s="4" t="s">
        <v>622</v>
      </c>
      <c r="D145" s="29"/>
      <c r="E145" s="29"/>
      <c r="F145" s="292" t="s">
        <v>577</v>
      </c>
      <c r="G145" s="29"/>
      <c r="H145" s="29"/>
      <c r="I145" s="292" t="s">
        <v>577</v>
      </c>
    </row>
    <row r="146" spans="1:9" ht="13.5" thickBot="1" x14ac:dyDescent="0.25">
      <c r="A146" s="29"/>
      <c r="B146" s="197"/>
      <c r="C146" s="10" t="s">
        <v>623</v>
      </c>
      <c r="D146" s="280"/>
      <c r="E146" s="280"/>
      <c r="F146" s="294">
        <v>5000</v>
      </c>
      <c r="G146" s="280"/>
      <c r="H146" s="280"/>
      <c r="I146" s="294"/>
    </row>
    <row r="147" spans="1:9" x14ac:dyDescent="0.2">
      <c r="A147" s="29"/>
      <c r="I147" s="86"/>
    </row>
    <row r="148" spans="1:9" x14ac:dyDescent="0.2">
      <c r="A148" s="29"/>
      <c r="I148" s="86"/>
    </row>
    <row r="149" spans="1:9" x14ac:dyDescent="0.2">
      <c r="A149" s="29"/>
    </row>
    <row r="150" spans="1:9" x14ac:dyDescent="0.2">
      <c r="A150" s="29"/>
      <c r="I150" s="86"/>
    </row>
    <row r="151" spans="1:9" x14ac:dyDescent="0.2">
      <c r="A151" s="29"/>
      <c r="B151" s="29"/>
      <c r="C151" s="29"/>
      <c r="D151" s="29"/>
      <c r="E151" s="29"/>
      <c r="F151" s="29"/>
      <c r="G151" s="29"/>
      <c r="H151" s="29"/>
    </row>
    <row r="152" spans="1:9" x14ac:dyDescent="0.2">
      <c r="A152" s="29"/>
      <c r="B152" s="29"/>
      <c r="C152" s="29"/>
      <c r="D152" s="29"/>
      <c r="E152" s="29"/>
      <c r="F152" s="29"/>
      <c r="G152" s="29"/>
      <c r="H152" s="29"/>
    </row>
    <row r="153" spans="1:9" x14ac:dyDescent="0.2">
      <c r="A153" s="29"/>
      <c r="B153" s="29"/>
      <c r="C153" s="29"/>
      <c r="D153" s="29"/>
      <c r="E153" s="29"/>
      <c r="F153" s="29"/>
      <c r="G153" s="29"/>
      <c r="H153" s="29"/>
    </row>
    <row r="154" spans="1:9" x14ac:dyDescent="0.2">
      <c r="A154" s="29"/>
      <c r="B154" s="29"/>
      <c r="C154" s="29"/>
      <c r="D154" s="29"/>
      <c r="E154" s="29"/>
      <c r="F154" s="29"/>
      <c r="G154" s="29"/>
      <c r="H154" s="29"/>
    </row>
    <row r="155" spans="1:9" ht="15.75" x14ac:dyDescent="0.25">
      <c r="A155" s="29"/>
      <c r="B155" s="29"/>
      <c r="C155" s="29"/>
      <c r="D155" s="585" t="s">
        <v>482</v>
      </c>
      <c r="E155" s="29"/>
      <c r="F155" s="29"/>
      <c r="G155" s="29"/>
      <c r="H155" s="29"/>
    </row>
    <row r="156" spans="1:9" ht="18.75" thickBot="1" x14ac:dyDescent="0.3">
      <c r="C156" s="247" t="s">
        <v>644</v>
      </c>
    </row>
    <row r="157" spans="1:9" ht="13.5" thickBot="1" x14ac:dyDescent="0.25">
      <c r="B157" s="43"/>
      <c r="C157" s="44"/>
      <c r="D157" s="568" t="s">
        <v>199</v>
      </c>
      <c r="E157" s="335">
        <f>E39</f>
        <v>2025</v>
      </c>
      <c r="F157" s="481"/>
      <c r="G157" s="569" t="s">
        <v>199</v>
      </c>
      <c r="H157" s="260">
        <f>H39</f>
        <v>2024</v>
      </c>
      <c r="I157" s="523"/>
    </row>
    <row r="158" spans="1:9" x14ac:dyDescent="0.2">
      <c r="B158" s="45" t="s">
        <v>81</v>
      </c>
      <c r="C158" s="46"/>
      <c r="D158" s="21" t="s">
        <v>82</v>
      </c>
      <c r="E158" s="248" t="s">
        <v>542</v>
      </c>
      <c r="F158" s="249" t="s">
        <v>543</v>
      </c>
      <c r="G158" s="86" t="s">
        <v>82</v>
      </c>
      <c r="H158" s="248" t="s">
        <v>542</v>
      </c>
      <c r="I158" s="249" t="s">
        <v>543</v>
      </c>
    </row>
    <row r="159" spans="1:9" x14ac:dyDescent="0.2">
      <c r="B159" s="50"/>
      <c r="C159" s="51" t="s">
        <v>642</v>
      </c>
      <c r="D159" s="570">
        <f>IF(F41&gt;0,F41,0)</f>
        <v>186300</v>
      </c>
      <c r="E159" s="250">
        <f t="shared" ref="E159:E166" si="0">IF($E$190&gt;0,D159/$E$190,0)</f>
        <v>465.75</v>
      </c>
      <c r="F159" s="251">
        <f t="shared" ref="F159:F165" si="1">IF(F191&gt;0,D159/F191,0)</f>
        <v>345</v>
      </c>
      <c r="G159" s="571">
        <f>IF(I41&gt;0,I41,0)</f>
        <v>0</v>
      </c>
      <c r="H159" s="250">
        <f t="shared" ref="H159:H166" si="2">IF($H$190&gt;0,G159/$H$190,0)</f>
        <v>0</v>
      </c>
      <c r="I159" s="251">
        <f t="shared" ref="I159:I165" si="3">IF(I191&gt;0,G159/I191,0)</f>
        <v>0</v>
      </c>
    </row>
    <row r="160" spans="1:9" x14ac:dyDescent="0.2">
      <c r="B160" s="50"/>
      <c r="C160" s="51" t="s">
        <v>641</v>
      </c>
      <c r="D160" s="570">
        <f>IF(F42&gt;0,F42,0)</f>
        <v>0</v>
      </c>
      <c r="E160" s="250">
        <f t="shared" si="0"/>
        <v>0</v>
      </c>
      <c r="F160" s="251">
        <f t="shared" si="1"/>
        <v>0</v>
      </c>
      <c r="G160" s="571">
        <f>IF(I42&gt;0,I42,0)</f>
        <v>0</v>
      </c>
      <c r="H160" s="250">
        <f t="shared" si="2"/>
        <v>0</v>
      </c>
      <c r="I160" s="251">
        <f t="shared" si="3"/>
        <v>0</v>
      </c>
    </row>
    <row r="161" spans="2:9" x14ac:dyDescent="0.2">
      <c r="B161" s="50"/>
      <c r="C161" s="51" t="s">
        <v>634</v>
      </c>
      <c r="D161" s="570">
        <f>IF(F43&gt;0,F43,0)</f>
        <v>0</v>
      </c>
      <c r="E161" s="250">
        <f t="shared" si="0"/>
        <v>0</v>
      </c>
      <c r="F161" s="251">
        <f t="shared" si="1"/>
        <v>0</v>
      </c>
      <c r="G161" s="571">
        <f>IF(I43&gt;0,I43,0)</f>
        <v>0</v>
      </c>
      <c r="H161" s="250">
        <f t="shared" si="2"/>
        <v>0</v>
      </c>
      <c r="I161" s="251">
        <f t="shared" si="3"/>
        <v>0</v>
      </c>
    </row>
    <row r="162" spans="2:9" x14ac:dyDescent="0.2">
      <c r="B162" s="50"/>
      <c r="C162" s="51" t="s">
        <v>468</v>
      </c>
      <c r="D162" s="570">
        <f>IF((F47+F48)&gt;0,(F47+F48),0)</f>
        <v>13300</v>
      </c>
      <c r="E162" s="250">
        <f t="shared" si="0"/>
        <v>33.25</v>
      </c>
      <c r="F162" s="251">
        <f t="shared" si="1"/>
        <v>255.76923076923077</v>
      </c>
      <c r="G162" s="570">
        <f>IF((I47+I48)&gt;0,(I47+I48),0)</f>
        <v>0</v>
      </c>
      <c r="H162" s="250">
        <f t="shared" si="2"/>
        <v>0</v>
      </c>
      <c r="I162" s="251">
        <f t="shared" si="3"/>
        <v>0</v>
      </c>
    </row>
    <row r="163" spans="2:9" x14ac:dyDescent="0.2">
      <c r="B163" s="30"/>
      <c r="C163" t="s">
        <v>502</v>
      </c>
      <c r="D163" s="570">
        <f>IF((F51+F52)&gt;0,(F51+F52),0)</f>
        <v>0</v>
      </c>
      <c r="E163" s="250">
        <f t="shared" si="0"/>
        <v>0</v>
      </c>
      <c r="F163" s="251">
        <f t="shared" si="1"/>
        <v>0</v>
      </c>
      <c r="G163" s="570">
        <f>IF((I51+I52)&gt;0,(I51+I52),0)</f>
        <v>0</v>
      </c>
      <c r="H163" s="250">
        <f t="shared" si="2"/>
        <v>0</v>
      </c>
      <c r="I163" s="251">
        <f t="shared" si="3"/>
        <v>0</v>
      </c>
    </row>
    <row r="164" spans="2:9" x14ac:dyDescent="0.2">
      <c r="B164" s="50"/>
      <c r="C164" s="51" t="s">
        <v>319</v>
      </c>
      <c r="D164" s="570">
        <f>IF(F55&gt;0,F55,0)</f>
        <v>1640</v>
      </c>
      <c r="E164" s="250">
        <f t="shared" si="0"/>
        <v>4.0999999999999996</v>
      </c>
      <c r="F164" s="251">
        <f t="shared" si="1"/>
        <v>4</v>
      </c>
      <c r="G164" s="570">
        <f>IF(I55&gt;0,I55,0)</f>
        <v>0</v>
      </c>
      <c r="H164" s="250">
        <f t="shared" si="2"/>
        <v>0</v>
      </c>
      <c r="I164" s="251">
        <f t="shared" si="3"/>
        <v>0</v>
      </c>
    </row>
    <row r="165" spans="2:9" x14ac:dyDescent="0.2">
      <c r="B165" s="252"/>
      <c r="C165" s="46" t="s">
        <v>469</v>
      </c>
      <c r="D165" s="572">
        <f>IF((F58+F59)&gt;0,(F58+F59),0)</f>
        <v>0</v>
      </c>
      <c r="E165" s="240">
        <f t="shared" si="0"/>
        <v>0</v>
      </c>
      <c r="F165" s="251">
        <f t="shared" si="1"/>
        <v>0</v>
      </c>
      <c r="G165" s="572">
        <f>IF((I58+I59)&gt;0,(I58+I59),0)</f>
        <v>0</v>
      </c>
      <c r="H165" s="240">
        <f t="shared" si="2"/>
        <v>0</v>
      </c>
      <c r="I165" s="251">
        <f t="shared" si="3"/>
        <v>0</v>
      </c>
    </row>
    <row r="166" spans="2:9" ht="13.5" thickBot="1" x14ac:dyDescent="0.25">
      <c r="B166" s="69"/>
      <c r="C166" s="238" t="s">
        <v>643</v>
      </c>
      <c r="D166" s="572">
        <f>IF(F64&gt;0,F64,0)</f>
        <v>0</v>
      </c>
      <c r="E166" s="240">
        <f t="shared" si="0"/>
        <v>0</v>
      </c>
      <c r="F166" s="244">
        <f>IF($F$199&gt;0,D166/$F$199,0)</f>
        <v>0</v>
      </c>
      <c r="G166" s="572">
        <f>IF(I64&gt;0,I64,0)</f>
        <v>0</v>
      </c>
      <c r="H166" s="240">
        <f t="shared" si="2"/>
        <v>0</v>
      </c>
      <c r="I166" s="244">
        <f>IF($F$199&gt;0,G166/$F$199,0)</f>
        <v>0</v>
      </c>
    </row>
    <row r="167" spans="2:9" ht="13.5" thickBot="1" x14ac:dyDescent="0.25">
      <c r="B167" s="62"/>
      <c r="C167" s="63" t="s">
        <v>83</v>
      </c>
      <c r="D167" s="573">
        <f>SUM(D159:D166)</f>
        <v>201240</v>
      </c>
      <c r="E167" s="64">
        <f>IF(D167&gt;0,D167/E190,0)</f>
        <v>503.1</v>
      </c>
      <c r="F167" s="239">
        <f>IF(D167&gt;0,D167/F199,0)</f>
        <v>335.4</v>
      </c>
      <c r="G167" s="574">
        <f>SUM(G159:G166)</f>
        <v>0</v>
      </c>
      <c r="H167" s="64">
        <f>IF(G167&gt;0,G167/H190,0)</f>
        <v>0</v>
      </c>
      <c r="I167" s="239">
        <f>IF(G167&gt;0,G167/I199,0)</f>
        <v>0</v>
      </c>
    </row>
    <row r="168" spans="2:9" x14ac:dyDescent="0.2">
      <c r="B168" s="4" t="s">
        <v>233</v>
      </c>
      <c r="D168" s="575"/>
      <c r="E168" s="254"/>
      <c r="F168" s="255"/>
      <c r="G168" s="1"/>
      <c r="H168" s="256"/>
      <c r="I168" s="255"/>
    </row>
    <row r="169" spans="2:9" x14ac:dyDescent="0.2">
      <c r="B169" s="257"/>
      <c r="C169" s="51" t="s">
        <v>548</v>
      </c>
      <c r="D169" s="1127">
        <f>IF(SUM(F70:F79)&gt;0,SUM(F70:F79),0)</f>
        <v>68000</v>
      </c>
      <c r="E169" s="250">
        <f t="shared" ref="E169:E182" si="4">IF($E$190&gt;0,D169/$E$190,0)</f>
        <v>170</v>
      </c>
      <c r="F169" s="251">
        <f t="shared" ref="F169:F182" si="5">IF($F$199&gt;0,D169/$F$199,0)</f>
        <v>113.33333333333333</v>
      </c>
      <c r="G169" s="570">
        <f>IF(SUM(I70:I79)&gt;0,SUM(I70:I79),0)</f>
        <v>0</v>
      </c>
      <c r="H169" s="250">
        <f t="shared" ref="H169:H182" si="6">IF($H$190&gt;0,G169/$H$190,0)</f>
        <v>0</v>
      </c>
      <c r="I169" s="251">
        <f t="shared" ref="I169:I182" si="7">IF($I$199&gt;0,G169/$I$199,0)</f>
        <v>0</v>
      </c>
    </row>
    <row r="170" spans="2:9" x14ac:dyDescent="0.2">
      <c r="B170" s="30"/>
      <c r="C170" t="s">
        <v>553</v>
      </c>
      <c r="D170" s="1127">
        <f>IF(SUM(F82:F85)&gt;0,SUM(F82:F85),0)</f>
        <v>1200</v>
      </c>
      <c r="E170" s="250">
        <f t="shared" si="4"/>
        <v>3</v>
      </c>
      <c r="F170" s="251">
        <f t="shared" si="5"/>
        <v>2</v>
      </c>
      <c r="G170" s="570">
        <f>IF(SUM(I82:I85)&gt;0,SUM(I82:I85),0)</f>
        <v>0</v>
      </c>
      <c r="H170" s="250">
        <f t="shared" si="6"/>
        <v>0</v>
      </c>
      <c r="I170" s="251">
        <f t="shared" si="7"/>
        <v>0</v>
      </c>
    </row>
    <row r="171" spans="2:9" x14ac:dyDescent="0.2">
      <c r="B171" s="50"/>
      <c r="C171" s="51" t="s">
        <v>84</v>
      </c>
      <c r="D171" s="1127">
        <f>IF((F88+F89)&gt;0,(F88+F89),0)</f>
        <v>5000</v>
      </c>
      <c r="E171" s="250">
        <f t="shared" si="4"/>
        <v>12.5</v>
      </c>
      <c r="F171" s="251">
        <f t="shared" si="5"/>
        <v>8.3333333333333339</v>
      </c>
      <c r="G171" s="570">
        <f>IF((I88+I89)&gt;0,(I88+I89),0)</f>
        <v>0</v>
      </c>
      <c r="H171" s="250">
        <f t="shared" si="6"/>
        <v>0</v>
      </c>
      <c r="I171" s="251">
        <f t="shared" si="7"/>
        <v>0</v>
      </c>
    </row>
    <row r="172" spans="2:9" x14ac:dyDescent="0.2">
      <c r="B172" s="50"/>
      <c r="C172" s="51" t="s">
        <v>318</v>
      </c>
      <c r="D172" s="1127">
        <f>IF(SUM(F92:F95)&gt;0,SUM(F92:F95),0)</f>
        <v>3400</v>
      </c>
      <c r="E172" s="250">
        <f t="shared" si="4"/>
        <v>8.5</v>
      </c>
      <c r="F172" s="251">
        <f t="shared" si="5"/>
        <v>5.666666666666667</v>
      </c>
      <c r="G172" s="570">
        <f>IF(SUM(I92:I95)&gt;0,SUM(I92:I95),0)</f>
        <v>0</v>
      </c>
      <c r="H172" s="250">
        <f t="shared" si="6"/>
        <v>0</v>
      </c>
      <c r="I172" s="251">
        <f t="shared" si="7"/>
        <v>0</v>
      </c>
    </row>
    <row r="173" spans="2:9" x14ac:dyDescent="0.2">
      <c r="B173" s="50"/>
      <c r="C173" s="51" t="s">
        <v>85</v>
      </c>
      <c r="D173" s="1127">
        <f>IF(F99&gt;0,F99,0)</f>
        <v>20000</v>
      </c>
      <c r="E173" s="250">
        <f t="shared" si="4"/>
        <v>50</v>
      </c>
      <c r="F173" s="251">
        <f t="shared" si="5"/>
        <v>33.333333333333336</v>
      </c>
      <c r="G173" s="570">
        <f>IF(I99&gt;0,I99,0)</f>
        <v>0</v>
      </c>
      <c r="H173" s="250">
        <f t="shared" si="6"/>
        <v>0</v>
      </c>
      <c r="I173" s="251">
        <f t="shared" si="7"/>
        <v>0</v>
      </c>
    </row>
    <row r="174" spans="2:9" x14ac:dyDescent="0.2">
      <c r="B174" s="50"/>
      <c r="C174" s="51" t="s">
        <v>158</v>
      </c>
      <c r="D174" s="1127">
        <f>IF((F102+F103+F104)&gt;0,(F102+F103+F104),0)</f>
        <v>2000</v>
      </c>
      <c r="E174" s="250">
        <f t="shared" si="4"/>
        <v>5</v>
      </c>
      <c r="F174" s="251">
        <f t="shared" si="5"/>
        <v>3.3333333333333335</v>
      </c>
      <c r="G174" s="570">
        <f>IF((I102+I103+I104)&gt;0,(I102+I103+I104),0)</f>
        <v>0</v>
      </c>
      <c r="H174" s="250">
        <f t="shared" si="6"/>
        <v>0</v>
      </c>
      <c r="I174" s="251">
        <f t="shared" si="7"/>
        <v>0</v>
      </c>
    </row>
    <row r="175" spans="2:9" x14ac:dyDescent="0.2">
      <c r="B175" s="50"/>
      <c r="C175" s="51" t="s">
        <v>159</v>
      </c>
      <c r="D175" s="1127">
        <f>IF((F109+F110)&gt;0,(F109+F110),0)</f>
        <v>3400</v>
      </c>
      <c r="E175" s="250">
        <f t="shared" si="4"/>
        <v>8.5</v>
      </c>
      <c r="F175" s="251">
        <f t="shared" si="5"/>
        <v>5.666666666666667</v>
      </c>
      <c r="G175" s="570">
        <f>IF((I109+I110)&gt;0,(I109+I110),0)</f>
        <v>0</v>
      </c>
      <c r="H175" s="250">
        <f t="shared" si="6"/>
        <v>0</v>
      </c>
      <c r="I175" s="251">
        <f t="shared" si="7"/>
        <v>0</v>
      </c>
    </row>
    <row r="176" spans="2:9" x14ac:dyDescent="0.2">
      <c r="B176" s="50"/>
      <c r="C176" s="51" t="s">
        <v>546</v>
      </c>
      <c r="D176" s="1127">
        <f>IF((F113+F114)&gt;0,(F113+F114),0)</f>
        <v>3500</v>
      </c>
      <c r="E176" s="250">
        <f t="shared" si="4"/>
        <v>8.75</v>
      </c>
      <c r="F176" s="251">
        <f t="shared" si="5"/>
        <v>5.833333333333333</v>
      </c>
      <c r="G176" s="570">
        <f>IF((I113+I114)&gt;0,(I113+I114),0)</f>
        <v>0</v>
      </c>
      <c r="H176" s="250">
        <f t="shared" si="6"/>
        <v>0</v>
      </c>
      <c r="I176" s="251">
        <f t="shared" si="7"/>
        <v>0</v>
      </c>
    </row>
    <row r="177" spans="2:9" x14ac:dyDescent="0.2">
      <c r="B177" s="50"/>
      <c r="C177" s="51" t="s">
        <v>664</v>
      </c>
      <c r="D177" s="1127">
        <f>IF((SUM(F117:F120))&gt;0,(SUM(F117:F120)),0)</f>
        <v>14143</v>
      </c>
      <c r="E177" s="250">
        <f t="shared" si="4"/>
        <v>35.357500000000002</v>
      </c>
      <c r="F177" s="251">
        <f t="shared" si="5"/>
        <v>23.571666666666665</v>
      </c>
      <c r="G177" s="570">
        <f>IF((SUM(I117:I120))&gt;0,(SUM(I117:I120)),0)</f>
        <v>0</v>
      </c>
      <c r="H177" s="250">
        <f t="shared" si="6"/>
        <v>0</v>
      </c>
      <c r="I177" s="251">
        <f t="shared" si="7"/>
        <v>0</v>
      </c>
    </row>
    <row r="178" spans="2:9" x14ac:dyDescent="0.2">
      <c r="B178" s="50"/>
      <c r="C178" s="51" t="s">
        <v>338</v>
      </c>
      <c r="D178" s="1127">
        <f>IF((F123+F124)&gt;0,(F123+F124),0)</f>
        <v>2500</v>
      </c>
      <c r="E178" s="250">
        <f t="shared" si="4"/>
        <v>6.25</v>
      </c>
      <c r="F178" s="251">
        <f t="shared" si="5"/>
        <v>4.166666666666667</v>
      </c>
      <c r="G178" s="570">
        <f>IF((I123+I124)&gt;0,(I123+I124),0)</f>
        <v>0</v>
      </c>
      <c r="H178" s="250">
        <f t="shared" si="6"/>
        <v>0</v>
      </c>
      <c r="I178" s="251">
        <f t="shared" si="7"/>
        <v>0</v>
      </c>
    </row>
    <row r="179" spans="2:9" x14ac:dyDescent="0.2">
      <c r="B179" s="50"/>
      <c r="C179" s="51" t="s">
        <v>348</v>
      </c>
      <c r="D179" s="1127">
        <f>IF(F127&gt;0,F127,0)</f>
        <v>0</v>
      </c>
      <c r="E179" s="250">
        <f t="shared" si="4"/>
        <v>0</v>
      </c>
      <c r="F179" s="251">
        <f t="shared" si="5"/>
        <v>0</v>
      </c>
      <c r="G179" s="570">
        <f>IF(I127&gt;0,I127,0)</f>
        <v>0</v>
      </c>
      <c r="H179" s="250">
        <f t="shared" si="6"/>
        <v>0</v>
      </c>
      <c r="I179" s="251">
        <f t="shared" si="7"/>
        <v>0</v>
      </c>
    </row>
    <row r="180" spans="2:9" x14ac:dyDescent="0.2">
      <c r="B180" s="50"/>
      <c r="C180" s="51" t="s">
        <v>908</v>
      </c>
      <c r="D180" s="1127">
        <f>IF((F130+F131+F132)&gt;0,(F130+F131+F132),0)</f>
        <v>4500</v>
      </c>
      <c r="E180" s="250">
        <f t="shared" si="4"/>
        <v>11.25</v>
      </c>
      <c r="F180" s="251">
        <f t="shared" si="5"/>
        <v>7.5</v>
      </c>
      <c r="G180" s="570">
        <f>IF((I130+I131+I132)&gt;0,(I130+I131+I132),0)</f>
        <v>0</v>
      </c>
      <c r="H180" s="250">
        <f t="shared" si="6"/>
        <v>0</v>
      </c>
      <c r="I180" s="251">
        <f t="shared" si="7"/>
        <v>0</v>
      </c>
    </row>
    <row r="181" spans="2:9" x14ac:dyDescent="0.2">
      <c r="B181" s="50"/>
      <c r="C181" s="51" t="s">
        <v>98</v>
      </c>
      <c r="D181" s="1127">
        <f>IF((F135+F136)&gt;0,(F135+F136),0)</f>
        <v>660</v>
      </c>
      <c r="E181" s="250">
        <f t="shared" si="4"/>
        <v>1.65</v>
      </c>
      <c r="F181" s="251">
        <f t="shared" si="5"/>
        <v>1.1000000000000001</v>
      </c>
      <c r="G181" s="570">
        <f>IF((I135+I136)&gt;0,(I135+I136),0)</f>
        <v>0</v>
      </c>
      <c r="H181" s="250">
        <f t="shared" si="6"/>
        <v>0</v>
      </c>
      <c r="I181" s="251">
        <f t="shared" si="7"/>
        <v>0</v>
      </c>
    </row>
    <row r="182" spans="2:9" ht="13.5" thickBot="1" x14ac:dyDescent="0.25">
      <c r="B182" s="30"/>
      <c r="C182" t="s">
        <v>168</v>
      </c>
      <c r="D182" s="1128">
        <f>IF(F139&gt;0,F139,0)</f>
        <v>2000</v>
      </c>
      <c r="E182" s="70">
        <f t="shared" si="4"/>
        <v>5</v>
      </c>
      <c r="F182" s="243">
        <f t="shared" si="5"/>
        <v>3.3333333333333335</v>
      </c>
      <c r="G182" s="576">
        <f>IF(I139&gt;0,I139,0)</f>
        <v>0</v>
      </c>
      <c r="H182" s="70">
        <f t="shared" si="6"/>
        <v>0</v>
      </c>
      <c r="I182" s="243">
        <f t="shared" si="7"/>
        <v>0</v>
      </c>
    </row>
    <row r="183" spans="2:9" ht="13.5" thickBot="1" x14ac:dyDescent="0.25">
      <c r="B183" s="62"/>
      <c r="C183" s="63" t="s">
        <v>105</v>
      </c>
      <c r="D183" s="1129">
        <f t="shared" ref="D183:I183" si="8">SUM(D169:D182)</f>
        <v>130303</v>
      </c>
      <c r="E183" s="64">
        <f t="shared" si="8"/>
        <v>325.75749999999999</v>
      </c>
      <c r="F183" s="259">
        <f t="shared" si="8"/>
        <v>217.17166666666665</v>
      </c>
      <c r="G183" s="258">
        <f t="shared" si="8"/>
        <v>0</v>
      </c>
      <c r="H183" s="64">
        <f t="shared" si="8"/>
        <v>0</v>
      </c>
      <c r="I183" s="253">
        <f t="shared" si="8"/>
        <v>0</v>
      </c>
    </row>
    <row r="184" spans="2:9" x14ac:dyDescent="0.2">
      <c r="B184" s="50"/>
      <c r="C184" s="51" t="s">
        <v>110</v>
      </c>
      <c r="D184" s="1127">
        <f>IF((F142+F143)&gt;0,(F142+F143),0)</f>
        <v>9000</v>
      </c>
      <c r="E184" s="250">
        <f>IF($E$190&gt;0,D184/$E$190,0)</f>
        <v>22.5</v>
      </c>
      <c r="F184" s="251">
        <f>IF($F$199&gt;0,D184/$F$199,0)</f>
        <v>15</v>
      </c>
      <c r="G184" s="570">
        <f>IF((I142+I143)&gt;0,(I142+I143),0)</f>
        <v>0</v>
      </c>
      <c r="H184" s="250">
        <f>IF($H$190&gt;0,G184/$H$190,0)</f>
        <v>0</v>
      </c>
      <c r="I184" s="251">
        <f>IF($I$199&gt;0,G184/$I$199,0)</f>
        <v>0</v>
      </c>
    </row>
    <row r="185" spans="2:9" ht="13.5" thickBot="1" x14ac:dyDescent="0.25">
      <c r="B185" s="30"/>
      <c r="C185" t="s">
        <v>111</v>
      </c>
      <c r="D185" s="1127">
        <f>IF(F146&gt;0,F146,0)</f>
        <v>5000</v>
      </c>
      <c r="E185" s="250">
        <f>IF($E$190&gt;0,D185/$E$190,0)</f>
        <v>12.5</v>
      </c>
      <c r="F185" s="251">
        <f>IF($F$199&gt;0,D185/$F$199,0)</f>
        <v>8.3333333333333339</v>
      </c>
      <c r="G185" s="570">
        <f>IF(I146&gt;0,I146,0)</f>
        <v>0</v>
      </c>
      <c r="H185" s="250">
        <f>IF($H$190&gt;0,G185/$H$190,0)</f>
        <v>0</v>
      </c>
      <c r="I185" s="251">
        <f>IF($I$199&gt;0,G185/$I$199,0)</f>
        <v>0</v>
      </c>
    </row>
    <row r="186" spans="2:9" ht="13.5" thickBot="1" x14ac:dyDescent="0.25">
      <c r="B186" s="62"/>
      <c r="C186" s="63" t="s">
        <v>115</v>
      </c>
      <c r="D186" s="1129">
        <f t="shared" ref="D186:I186" si="9">D184+D185</f>
        <v>14000</v>
      </c>
      <c r="E186" s="64">
        <f t="shared" si="9"/>
        <v>35</v>
      </c>
      <c r="F186" s="259">
        <f t="shared" si="9"/>
        <v>23.333333333333336</v>
      </c>
      <c r="G186" s="258">
        <f t="shared" si="9"/>
        <v>0</v>
      </c>
      <c r="H186" s="64">
        <f t="shared" si="9"/>
        <v>0</v>
      </c>
      <c r="I186" s="259">
        <f t="shared" si="9"/>
        <v>0</v>
      </c>
    </row>
    <row r="187" spans="2:9" ht="13.5" thickBot="1" x14ac:dyDescent="0.25">
      <c r="B187" s="62"/>
      <c r="C187" s="63" t="s">
        <v>116</v>
      </c>
      <c r="D187" s="1129">
        <f t="shared" ref="D187:I187" si="10">D183+D186</f>
        <v>144303</v>
      </c>
      <c r="E187" s="64">
        <f t="shared" si="10"/>
        <v>360.75749999999999</v>
      </c>
      <c r="F187" s="259">
        <f t="shared" si="10"/>
        <v>240.505</v>
      </c>
      <c r="G187" s="258">
        <f t="shared" si="10"/>
        <v>0</v>
      </c>
      <c r="H187" s="64">
        <f t="shared" si="10"/>
        <v>0</v>
      </c>
      <c r="I187" s="253">
        <f t="shared" si="10"/>
        <v>0</v>
      </c>
    </row>
    <row r="188" spans="2:9" ht="13.5" thickBot="1" x14ac:dyDescent="0.25">
      <c r="B188" s="62"/>
      <c r="C188" s="260" t="s">
        <v>117</v>
      </c>
      <c r="D188" s="1129">
        <f t="shared" ref="D188:I188" si="11">D167-D187</f>
        <v>56937</v>
      </c>
      <c r="E188" s="64">
        <f t="shared" si="11"/>
        <v>142.34250000000003</v>
      </c>
      <c r="F188" s="259">
        <f t="shared" si="11"/>
        <v>94.894999999999982</v>
      </c>
      <c r="G188" s="258">
        <f t="shared" si="11"/>
        <v>0</v>
      </c>
      <c r="H188" s="64">
        <f t="shared" si="11"/>
        <v>0</v>
      </c>
      <c r="I188" s="253">
        <f t="shared" si="11"/>
        <v>0</v>
      </c>
    </row>
    <row r="189" spans="2:9" ht="13.5" thickBot="1" x14ac:dyDescent="0.25">
      <c r="D189" s="1"/>
      <c r="E189" s="1"/>
    </row>
    <row r="190" spans="2:9" ht="13.5" thickBot="1" x14ac:dyDescent="0.25">
      <c r="C190" s="261" t="s">
        <v>682</v>
      </c>
      <c r="E190" s="577">
        <f>D29</f>
        <v>400</v>
      </c>
      <c r="F190" s="578"/>
      <c r="H190" s="579">
        <f>G29</f>
        <v>0</v>
      </c>
    </row>
    <row r="191" spans="2:9" x14ac:dyDescent="0.2">
      <c r="C191" s="68" t="str">
        <f t="shared" ref="C191:C197" si="12">C159</f>
        <v>Market Lamb Sales (90lbs+)</v>
      </c>
      <c r="F191" s="580">
        <f>IF(D41&gt;0,D41,0)</f>
        <v>540</v>
      </c>
      <c r="I191" s="580">
        <f>IF(G41&gt;0,G41,0)</f>
        <v>0</v>
      </c>
    </row>
    <row r="192" spans="2:9" x14ac:dyDescent="0.2">
      <c r="C192" s="68" t="str">
        <f t="shared" si="12"/>
        <v>Feeder Lamb Sales (under 90lbs)</v>
      </c>
      <c r="F192" s="581">
        <f>IF(D42&gt;0,D42,0)</f>
        <v>0</v>
      </c>
      <c r="I192" s="581">
        <f>IF(G42&gt;0,G42,0)</f>
        <v>0</v>
      </c>
    </row>
    <row r="193" spans="3:9" x14ac:dyDescent="0.2">
      <c r="C193" s="68" t="str">
        <f t="shared" si="12"/>
        <v>Ewe Lambs Kept For Breeding</v>
      </c>
      <c r="F193" s="581">
        <f>IF(D43&gt;0,D43,0)</f>
        <v>60</v>
      </c>
      <c r="I193" s="581">
        <f>IF(G43&gt;0,G43,0)</f>
        <v>0</v>
      </c>
    </row>
    <row r="194" spans="3:9" x14ac:dyDescent="0.2">
      <c r="C194" s="68" t="str">
        <f t="shared" si="12"/>
        <v>Cull Ewe and Ram Sales</v>
      </c>
      <c r="F194" s="581">
        <f>IF((D47+D48)&gt;0,(D47+D48),0)</f>
        <v>52</v>
      </c>
      <c r="I194" s="581">
        <f>IF((G47+G48)&gt;0,(G47+G48),0)</f>
        <v>0</v>
      </c>
    </row>
    <row r="195" spans="3:9" x14ac:dyDescent="0.2">
      <c r="C195" s="68" t="str">
        <f t="shared" si="12"/>
        <v>Breeding Stock Sales</v>
      </c>
      <c r="F195" s="581">
        <f>IF((D51+D52)&gt;0,(D51+D52),0)</f>
        <v>0</v>
      </c>
      <c r="I195" s="581">
        <f>IF((G51+G52)&gt;0,(G51+G52),0)</f>
        <v>0</v>
      </c>
    </row>
    <row r="196" spans="3:9" x14ac:dyDescent="0.2">
      <c r="C196" s="68" t="str">
        <f t="shared" si="12"/>
        <v>Wool Sales</v>
      </c>
      <c r="F196" s="581">
        <f>IF((D55)&gt;0,(D55),0)</f>
        <v>410</v>
      </c>
      <c r="I196" s="581">
        <f>IF((G55)&gt;0,(G55),0)</f>
        <v>0</v>
      </c>
    </row>
    <row r="197" spans="3:9" ht="13.5" thickBot="1" x14ac:dyDescent="0.25">
      <c r="C197" s="68" t="str">
        <f t="shared" si="12"/>
        <v>Meat and Mutton Sales</v>
      </c>
      <c r="F197" s="582">
        <f>IF((D58+D59)&gt;0,(D58+D59),0)</f>
        <v>0</v>
      </c>
      <c r="I197" s="582">
        <f>IF((G58+G59)&gt;0,(G58+G59),0)</f>
        <v>0</v>
      </c>
    </row>
    <row r="198" spans="3:9" ht="13.5" thickBot="1" x14ac:dyDescent="0.25">
      <c r="C198" s="68"/>
      <c r="F198" s="583"/>
      <c r="I198" s="583"/>
    </row>
    <row r="199" spans="3:9" ht="13.5" thickBot="1" x14ac:dyDescent="0.25">
      <c r="D199" s="86" t="s">
        <v>909</v>
      </c>
      <c r="F199" s="584">
        <f>SUM(F191:F197)-F196-F194</f>
        <v>600</v>
      </c>
      <c r="I199" s="584">
        <f>SUM(I191:I197)-I196-I194</f>
        <v>0</v>
      </c>
    </row>
  </sheetData>
  <phoneticPr fontId="10" type="noConversion"/>
  <pageMargins left="0.75" right="0.75" top="1" bottom="1" header="0.5" footer="0.5"/>
  <pageSetup scale="70" orientation="portrait" r:id="rId1"/>
  <headerFooter alignWithMargins="0">
    <oddFooter>&amp;CEwePLAN Copyright Government of Saskatchewan, Developed by Brad Marceniuk&amp;RPage 4</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PrintCOPSummary">
                <anchor moveWithCells="1" sizeWithCells="1">
                  <from>
                    <xdr:col>1</xdr:col>
                    <xdr:colOff>28575</xdr:colOff>
                    <xdr:row>151</xdr:row>
                    <xdr:rowOff>95250</xdr:rowOff>
                  </from>
                  <to>
                    <xdr:col>2</xdr:col>
                    <xdr:colOff>2581275</xdr:colOff>
                    <xdr:row>153</xdr:row>
                    <xdr:rowOff>133350</xdr:rowOff>
                  </to>
                </anchor>
              </controlPr>
            </control>
          </mc:Choice>
        </mc:AlternateContent>
        <mc:AlternateContent xmlns:mc="http://schemas.openxmlformats.org/markup-compatibility/2006">
          <mc:Choice Requires="x14">
            <control shapeId="5134" r:id="rId5" name="Button 14">
              <controlPr defaultSize="0" print="0" autoFill="0" autoPict="0" macro="[0]!PrintCOPSheet">
                <anchor moveWithCells="1" sizeWithCells="1">
                  <from>
                    <xdr:col>0</xdr:col>
                    <xdr:colOff>600075</xdr:colOff>
                    <xdr:row>0</xdr:row>
                    <xdr:rowOff>133350</xdr:rowOff>
                  </from>
                  <to>
                    <xdr:col>2</xdr:col>
                    <xdr:colOff>2409825</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O462"/>
  <sheetViews>
    <sheetView showGridLines="0" showRowColHeaders="0" zoomScale="124" zoomScaleNormal="124" workbookViewId="0">
      <selection activeCell="E70" sqref="E70"/>
    </sheetView>
  </sheetViews>
  <sheetFormatPr defaultRowHeight="12.75" x14ac:dyDescent="0.2"/>
  <cols>
    <col min="2" max="2" width="2.7109375" customWidth="1"/>
    <col min="3" max="3" width="40.7109375" customWidth="1"/>
    <col min="4" max="9" width="10.7109375" customWidth="1"/>
  </cols>
  <sheetData>
    <row r="1" spans="1:9" x14ac:dyDescent="0.2">
      <c r="A1" s="29"/>
      <c r="B1" s="29"/>
      <c r="C1" s="29"/>
      <c r="D1" s="29"/>
      <c r="E1" s="29"/>
      <c r="F1" s="29"/>
      <c r="G1" s="29"/>
      <c r="H1" s="29"/>
      <c r="I1" s="29"/>
    </row>
    <row r="2" spans="1:9" x14ac:dyDescent="0.2">
      <c r="A2" s="29"/>
      <c r="B2" s="29"/>
      <c r="C2" s="29"/>
      <c r="D2" s="29"/>
      <c r="E2" s="29"/>
      <c r="F2" s="29"/>
      <c r="G2" s="29"/>
      <c r="H2" s="29"/>
      <c r="I2" s="29"/>
    </row>
    <row r="3" spans="1:9" x14ac:dyDescent="0.2">
      <c r="A3" s="29"/>
      <c r="B3" s="29"/>
      <c r="C3" s="29"/>
      <c r="D3" s="29"/>
      <c r="E3" s="29"/>
      <c r="F3" s="29"/>
      <c r="G3" s="29"/>
      <c r="H3" s="29"/>
      <c r="I3" s="29"/>
    </row>
    <row r="4" spans="1:9" ht="13.5" thickBot="1" x14ac:dyDescent="0.25">
      <c r="A4" s="29"/>
      <c r="B4" s="29"/>
      <c r="C4" s="29"/>
      <c r="D4" s="29"/>
      <c r="E4" s="29"/>
      <c r="F4" s="29"/>
      <c r="G4" s="29"/>
      <c r="H4" s="29"/>
      <c r="I4" s="29"/>
    </row>
    <row r="5" spans="1:9" ht="17.100000000000001" customHeight="1" x14ac:dyDescent="0.35">
      <c r="B5" s="77"/>
      <c r="C5" s="78"/>
      <c r="D5" s="853" t="s">
        <v>959</v>
      </c>
      <c r="E5" s="79"/>
      <c r="F5" s="79"/>
      <c r="G5" s="80"/>
      <c r="H5" s="80"/>
      <c r="I5" s="81"/>
    </row>
    <row r="6" spans="1:9" ht="15.75" x14ac:dyDescent="0.2">
      <c r="B6" s="82"/>
      <c r="C6" s="855" t="s">
        <v>504</v>
      </c>
      <c r="D6" s="854"/>
      <c r="E6" s="83"/>
      <c r="F6" s="83"/>
      <c r="G6" s="83"/>
      <c r="H6" s="83"/>
      <c r="I6" s="84"/>
    </row>
    <row r="7" spans="1:9" ht="13.5" thickBot="1" x14ac:dyDescent="0.25">
      <c r="B7" s="82"/>
      <c r="C7" s="85" t="s">
        <v>879</v>
      </c>
      <c r="E7" s="83"/>
      <c r="F7" s="83"/>
      <c r="G7" s="83"/>
      <c r="H7" s="83"/>
      <c r="I7" s="84"/>
    </row>
    <row r="8" spans="1:9" x14ac:dyDescent="0.2">
      <c r="A8" s="29"/>
      <c r="B8" s="77"/>
      <c r="C8" s="1124" t="s">
        <v>674</v>
      </c>
      <c r="D8" s="79"/>
      <c r="E8" s="314"/>
      <c r="F8" s="314"/>
      <c r="G8" s="314"/>
      <c r="H8" s="314"/>
      <c r="I8" s="81"/>
    </row>
    <row r="9" spans="1:9" ht="13.5" thickBot="1" x14ac:dyDescent="0.25">
      <c r="A9" s="29"/>
      <c r="B9" s="317"/>
      <c r="C9" s="1125" t="s">
        <v>673</v>
      </c>
      <c r="D9" s="318"/>
      <c r="E9" s="319"/>
      <c r="F9" s="319"/>
      <c r="G9" s="319"/>
      <c r="H9" s="319"/>
      <c r="I9" s="320"/>
    </row>
    <row r="10" spans="1:9" x14ac:dyDescent="0.2">
      <c r="A10" s="29"/>
      <c r="B10" s="38"/>
      <c r="C10" s="1116" t="s">
        <v>958</v>
      </c>
      <c r="D10" s="1118" t="s">
        <v>882</v>
      </c>
      <c r="E10" s="1037"/>
      <c r="F10" s="1037"/>
      <c r="G10" s="1119" t="s">
        <v>78</v>
      </c>
      <c r="H10" s="105"/>
      <c r="I10" s="106"/>
    </row>
    <row r="11" spans="1:9" x14ac:dyDescent="0.2">
      <c r="A11" s="29"/>
      <c r="B11" s="37"/>
      <c r="C11" s="1115" t="s">
        <v>905</v>
      </c>
      <c r="D11" s="1120"/>
      <c r="E11" s="1121"/>
      <c r="F11" s="1121"/>
      <c r="G11" s="1121"/>
      <c r="H11" s="1121"/>
      <c r="I11" s="40"/>
    </row>
    <row r="12" spans="1:9" ht="13.5" thickBot="1" x14ac:dyDescent="0.25">
      <c r="A12" s="29"/>
      <c r="B12" s="39"/>
      <c r="C12" s="1117" t="s">
        <v>79</v>
      </c>
      <c r="D12" s="1036"/>
      <c r="E12" s="1122"/>
      <c r="F12" s="1123"/>
      <c r="G12" s="1122" t="s">
        <v>80</v>
      </c>
      <c r="H12" s="1117" t="s">
        <v>1</v>
      </c>
      <c r="I12" s="107"/>
    </row>
    <row r="13" spans="1:9" ht="8.1" customHeight="1" x14ac:dyDescent="0.2">
      <c r="A13" s="29"/>
      <c r="B13" s="29"/>
      <c r="C13" s="29"/>
      <c r="D13" s="29"/>
      <c r="E13" s="29"/>
      <c r="F13" s="29"/>
      <c r="G13" s="29"/>
      <c r="H13" s="29"/>
      <c r="I13" s="29"/>
    </row>
    <row r="14" spans="1:9" x14ac:dyDescent="0.2">
      <c r="B14" s="68" t="s">
        <v>150</v>
      </c>
      <c r="E14" s="41" t="s">
        <v>4</v>
      </c>
      <c r="F14" s="41" t="s">
        <v>5</v>
      </c>
      <c r="G14" s="41" t="s">
        <v>6</v>
      </c>
      <c r="H14" s="41" t="s">
        <v>7</v>
      </c>
      <c r="I14" s="41" t="s">
        <v>8</v>
      </c>
    </row>
    <row r="15" spans="1:9" x14ac:dyDescent="0.2">
      <c r="C15" t="s">
        <v>235</v>
      </c>
      <c r="D15" s="86" t="s">
        <v>2</v>
      </c>
      <c r="E15" s="407">
        <v>400</v>
      </c>
      <c r="F15" s="407">
        <f>E27</f>
        <v>400</v>
      </c>
      <c r="G15" s="407">
        <f>F27</f>
        <v>400</v>
      </c>
      <c r="H15" s="407">
        <f>G27</f>
        <v>400</v>
      </c>
      <c r="I15" s="407">
        <f>H27</f>
        <v>400</v>
      </c>
    </row>
    <row r="16" spans="1:9" x14ac:dyDescent="0.2">
      <c r="C16" t="s">
        <v>648</v>
      </c>
      <c r="D16" s="86" t="s">
        <v>3</v>
      </c>
      <c r="E16" s="407">
        <v>10</v>
      </c>
      <c r="F16" s="407">
        <f>E16-E30-E32+E33</f>
        <v>10</v>
      </c>
      <c r="G16" s="407">
        <f>F16-F30-F32+F33</f>
        <v>10</v>
      </c>
      <c r="H16" s="407">
        <f>G16-G30-G32+G33</f>
        <v>10</v>
      </c>
      <c r="I16" s="407">
        <f>H16-H30-H32+H33</f>
        <v>10</v>
      </c>
    </row>
    <row r="17" spans="3:11" x14ac:dyDescent="0.2">
      <c r="C17" t="s">
        <v>382</v>
      </c>
      <c r="D17" s="86" t="s">
        <v>9</v>
      </c>
      <c r="E17" s="407">
        <v>0</v>
      </c>
      <c r="F17" s="407">
        <f>E17</f>
        <v>0</v>
      </c>
      <c r="G17" s="407">
        <f>F17</f>
        <v>0</v>
      </c>
      <c r="H17" s="407">
        <f>G17</f>
        <v>0</v>
      </c>
      <c r="I17" s="407">
        <f>H17</f>
        <v>0</v>
      </c>
    </row>
    <row r="18" spans="3:11" x14ac:dyDescent="0.2">
      <c r="D18" s="86"/>
      <c r="E18" s="103"/>
      <c r="F18" s="103"/>
      <c r="G18" s="103"/>
      <c r="H18" s="103"/>
      <c r="I18" s="103"/>
    </row>
    <row r="19" spans="3:11" x14ac:dyDescent="0.2">
      <c r="C19" t="s">
        <v>385</v>
      </c>
      <c r="D19" s="86" t="s">
        <v>10</v>
      </c>
      <c r="E19" s="405">
        <v>0.03</v>
      </c>
      <c r="F19" s="405">
        <f>E19</f>
        <v>0.03</v>
      </c>
      <c r="G19" s="405">
        <f>F19</f>
        <v>0.03</v>
      </c>
      <c r="H19" s="405">
        <f>G19</f>
        <v>0.03</v>
      </c>
      <c r="I19" s="405">
        <f>H19</f>
        <v>0.03</v>
      </c>
    </row>
    <row r="20" spans="3:11" x14ac:dyDescent="0.2">
      <c r="C20" t="s">
        <v>384</v>
      </c>
      <c r="D20" s="94" t="s">
        <v>11</v>
      </c>
      <c r="E20" s="463">
        <f>ROUND(E15*E19,0)</f>
        <v>12</v>
      </c>
      <c r="F20" s="463">
        <f>ROUND(F15*F19,0)</f>
        <v>12</v>
      </c>
      <c r="G20" s="463">
        <f>ROUND(G15*G19,0)</f>
        <v>12</v>
      </c>
      <c r="H20" s="463">
        <f>ROUND(H15*H19,0)</f>
        <v>12</v>
      </c>
      <c r="I20" s="463">
        <f>ROUND(I15*I19,0)</f>
        <v>12</v>
      </c>
    </row>
    <row r="21" spans="3:11" x14ac:dyDescent="0.2">
      <c r="C21" t="s">
        <v>378</v>
      </c>
      <c r="D21" s="86" t="s">
        <v>144</v>
      </c>
      <c r="E21" s="405">
        <v>0.15</v>
      </c>
      <c r="F21" s="405">
        <f>E21</f>
        <v>0.15</v>
      </c>
      <c r="G21" s="405">
        <f>F21</f>
        <v>0.15</v>
      </c>
      <c r="H21" s="405">
        <f>G21</f>
        <v>0.15</v>
      </c>
      <c r="I21" s="405">
        <f>H21</f>
        <v>0.15</v>
      </c>
    </row>
    <row r="22" spans="3:11" x14ac:dyDescent="0.2">
      <c r="C22" t="s">
        <v>387</v>
      </c>
      <c r="D22" s="94" t="s">
        <v>11</v>
      </c>
      <c r="E22" s="463">
        <f>ROUND(E15*E21,0)</f>
        <v>60</v>
      </c>
      <c r="F22" s="463">
        <f>ROUND(F15*F21,0)</f>
        <v>60</v>
      </c>
      <c r="G22" s="463">
        <f>ROUND(G15*G21,0)</f>
        <v>60</v>
      </c>
      <c r="H22" s="463">
        <f>ROUND(H15*H21,0)</f>
        <v>60</v>
      </c>
      <c r="I22" s="463">
        <f>ROUND(I15*I21,0)</f>
        <v>60</v>
      </c>
    </row>
    <row r="23" spans="3:11" x14ac:dyDescent="0.2">
      <c r="C23" s="5" t="s">
        <v>851</v>
      </c>
      <c r="D23" s="94" t="s">
        <v>11</v>
      </c>
      <c r="E23" s="464">
        <f>E15*(E19+E21)</f>
        <v>72</v>
      </c>
      <c r="F23" s="464">
        <f>F15*(F19+F21)</f>
        <v>72</v>
      </c>
      <c r="G23" s="464">
        <f>G15*(G19+G21)</f>
        <v>72</v>
      </c>
      <c r="H23" s="464">
        <f>H15*(H19+H21)</f>
        <v>72</v>
      </c>
      <c r="I23" s="464">
        <f>I15*(I19+I21)</f>
        <v>72</v>
      </c>
    </row>
    <row r="24" spans="3:11" x14ac:dyDescent="0.2">
      <c r="C24" t="s">
        <v>236</v>
      </c>
      <c r="D24" s="86" t="s">
        <v>145</v>
      </c>
      <c r="E24" s="408">
        <f>E23</f>
        <v>72</v>
      </c>
      <c r="F24" s="408">
        <f>F23</f>
        <v>72</v>
      </c>
      <c r="G24" s="408">
        <f>G23</f>
        <v>72</v>
      </c>
      <c r="H24" s="408">
        <f>H23</f>
        <v>72</v>
      </c>
      <c r="I24" s="408">
        <f>I23</f>
        <v>72</v>
      </c>
    </row>
    <row r="25" spans="3:11" x14ac:dyDescent="0.2">
      <c r="C25" t="s">
        <v>237</v>
      </c>
      <c r="D25" s="86" t="s">
        <v>146</v>
      </c>
      <c r="E25" s="411">
        <f>IF((E23-E24)&gt;0,E23-E24,0)</f>
        <v>0</v>
      </c>
      <c r="F25" s="411">
        <f>IF((F23-F24)&gt;0,F23-F24,0)</f>
        <v>0</v>
      </c>
      <c r="G25" s="411">
        <f>IF((G23-G24)&gt;0,G23-G24,0)</f>
        <v>0</v>
      </c>
      <c r="H25" s="411">
        <f>IF((H23-H24)&gt;0,H23-H24,0)</f>
        <v>0</v>
      </c>
      <c r="I25" s="411">
        <f>IF((I23-I24)&gt;0,I23-I24,0)</f>
        <v>0</v>
      </c>
    </row>
    <row r="26" spans="3:11" x14ac:dyDescent="0.2">
      <c r="C26" t="s">
        <v>238</v>
      </c>
      <c r="D26" s="86" t="s">
        <v>21</v>
      </c>
      <c r="E26" s="406">
        <v>425</v>
      </c>
      <c r="F26" s="406">
        <f>E26</f>
        <v>425</v>
      </c>
      <c r="G26" s="406">
        <f>F26</f>
        <v>425</v>
      </c>
      <c r="H26" s="406">
        <f>G26</f>
        <v>425</v>
      </c>
      <c r="I26" s="406">
        <f>H26</f>
        <v>425</v>
      </c>
      <c r="K26" s="5"/>
    </row>
    <row r="27" spans="3:11" x14ac:dyDescent="0.2">
      <c r="C27" t="s">
        <v>470</v>
      </c>
      <c r="D27" s="94" t="s">
        <v>11</v>
      </c>
      <c r="E27" s="463">
        <f>E15-E20-E22+E24+E25</f>
        <v>400</v>
      </c>
      <c r="F27" s="463">
        <f>F15-F20-F22+F24+F25</f>
        <v>400</v>
      </c>
      <c r="G27" s="463">
        <f>G15-G20-G22+G24+G25</f>
        <v>400</v>
      </c>
      <c r="H27" s="463">
        <f>H15-H20-H22+H24+H25</f>
        <v>400</v>
      </c>
      <c r="I27" s="463">
        <f>I15-I20-I22+I24+I25</f>
        <v>400</v>
      </c>
    </row>
    <row r="28" spans="3:11" x14ac:dyDescent="0.2">
      <c r="D28" s="94"/>
      <c r="E28" s="104"/>
      <c r="F28" s="104"/>
      <c r="G28" s="104"/>
      <c r="H28" s="104"/>
      <c r="I28" s="104"/>
    </row>
    <row r="29" spans="3:11" x14ac:dyDescent="0.2">
      <c r="C29" t="s">
        <v>383</v>
      </c>
      <c r="D29" s="86" t="s">
        <v>22</v>
      </c>
      <c r="E29" s="405">
        <v>0.03</v>
      </c>
      <c r="F29" s="405">
        <f>E29</f>
        <v>0.03</v>
      </c>
      <c r="G29" s="405">
        <f>F29</f>
        <v>0.03</v>
      </c>
      <c r="H29" s="405">
        <f>G29</f>
        <v>0.03</v>
      </c>
      <c r="I29" s="405">
        <f>H29</f>
        <v>0.03</v>
      </c>
    </row>
    <row r="30" spans="3:11" x14ac:dyDescent="0.2">
      <c r="C30" s="5" t="s">
        <v>730</v>
      </c>
      <c r="D30" s="94" t="s">
        <v>11</v>
      </c>
      <c r="E30" s="214">
        <f>(E16*E29)</f>
        <v>0.3</v>
      </c>
      <c r="F30" s="214">
        <f>(F16*F29)</f>
        <v>0.3</v>
      </c>
      <c r="G30" s="214">
        <f>(G16*G29)</f>
        <v>0.3</v>
      </c>
      <c r="H30" s="214">
        <f>(H16*H29)</f>
        <v>0.3</v>
      </c>
      <c r="I30" s="214">
        <f>(I16*I29)</f>
        <v>0.3</v>
      </c>
    </row>
    <row r="31" spans="3:11" x14ac:dyDescent="0.2">
      <c r="C31" s="5" t="s">
        <v>728</v>
      </c>
      <c r="D31" s="86" t="s">
        <v>23</v>
      </c>
      <c r="E31" s="405">
        <v>0.2</v>
      </c>
      <c r="F31" s="405">
        <f>E31</f>
        <v>0.2</v>
      </c>
      <c r="G31" s="405">
        <f>F31</f>
        <v>0.2</v>
      </c>
      <c r="H31" s="405">
        <f>G31</f>
        <v>0.2</v>
      </c>
      <c r="I31" s="405">
        <f>H31</f>
        <v>0.2</v>
      </c>
    </row>
    <row r="32" spans="3:11" x14ac:dyDescent="0.2">
      <c r="C32" s="5" t="s">
        <v>729</v>
      </c>
      <c r="D32" s="94" t="s">
        <v>11</v>
      </c>
      <c r="E32" s="215">
        <f>ROUND(E16*E31,0)</f>
        <v>2</v>
      </c>
      <c r="F32" s="215">
        <f>ROUND(F16*F31,0)</f>
        <v>2</v>
      </c>
      <c r="G32" s="215">
        <f>ROUND(G16*G31,0)</f>
        <v>2</v>
      </c>
      <c r="H32" s="215">
        <f>ROUND(H16*H31,0)</f>
        <v>2</v>
      </c>
      <c r="I32" s="215">
        <f>ROUND(I16*I31,0)</f>
        <v>2</v>
      </c>
    </row>
    <row r="33" spans="2:9" x14ac:dyDescent="0.2">
      <c r="C33" t="s">
        <v>239</v>
      </c>
      <c r="D33" s="86" t="s">
        <v>24</v>
      </c>
      <c r="E33" s="1159">
        <f>E30+E32</f>
        <v>2.2999999999999998</v>
      </c>
      <c r="F33" s="1159">
        <f>F30+F32</f>
        <v>2.2999999999999998</v>
      </c>
      <c r="G33" s="1159">
        <f>G30+G32</f>
        <v>2.2999999999999998</v>
      </c>
      <c r="H33" s="1159">
        <f>H30+H32</f>
        <v>2.2999999999999998</v>
      </c>
      <c r="I33" s="1159">
        <f>I30+I32</f>
        <v>2.2999999999999998</v>
      </c>
    </row>
    <row r="34" spans="2:9" x14ac:dyDescent="0.2">
      <c r="C34" t="s">
        <v>240</v>
      </c>
      <c r="D34" s="86" t="s">
        <v>26</v>
      </c>
      <c r="E34" s="406">
        <v>650</v>
      </c>
      <c r="F34" s="406">
        <f>E34</f>
        <v>650</v>
      </c>
      <c r="G34" s="406">
        <f>F34</f>
        <v>650</v>
      </c>
      <c r="H34" s="406">
        <f>G34</f>
        <v>650</v>
      </c>
      <c r="I34" s="406">
        <f>H34</f>
        <v>650</v>
      </c>
    </row>
    <row r="35" spans="2:9" x14ac:dyDescent="0.2">
      <c r="B35" s="29"/>
      <c r="C35" s="29"/>
      <c r="D35" s="74"/>
      <c r="E35" s="102"/>
      <c r="F35" s="102"/>
      <c r="G35" s="102"/>
      <c r="H35" s="102"/>
      <c r="I35" s="102"/>
    </row>
    <row r="36" spans="2:9" x14ac:dyDescent="0.2">
      <c r="B36" s="68" t="s">
        <v>386</v>
      </c>
      <c r="D36" s="86"/>
      <c r="E36" s="75"/>
      <c r="F36" s="75"/>
      <c r="G36" s="75"/>
      <c r="H36" s="75"/>
      <c r="I36" s="75"/>
    </row>
    <row r="37" spans="2:9" x14ac:dyDescent="0.2">
      <c r="B37" s="68"/>
      <c r="C37" t="s">
        <v>381</v>
      </c>
      <c r="D37" s="86" t="s">
        <v>27</v>
      </c>
      <c r="E37" s="405">
        <v>1.8</v>
      </c>
      <c r="F37" s="405">
        <f t="shared" ref="F37:I39" si="0">E37</f>
        <v>1.8</v>
      </c>
      <c r="G37" s="405">
        <f t="shared" si="0"/>
        <v>1.8</v>
      </c>
      <c r="H37" s="405">
        <f t="shared" si="0"/>
        <v>1.8</v>
      </c>
      <c r="I37" s="405">
        <f t="shared" si="0"/>
        <v>1.8</v>
      </c>
    </row>
    <row r="38" spans="2:9" x14ac:dyDescent="0.2">
      <c r="B38" s="68"/>
      <c r="C38" t="s">
        <v>388</v>
      </c>
      <c r="D38" s="94" t="s">
        <v>11</v>
      </c>
      <c r="E38" s="465">
        <f>ROUND((E15-E17)*E37,0)</f>
        <v>720</v>
      </c>
      <c r="F38" s="465">
        <f>ROUND((F15-F17)*F37,0)</f>
        <v>720</v>
      </c>
      <c r="G38" s="465">
        <f>ROUND((G15-G17)*G37,0)</f>
        <v>720</v>
      </c>
      <c r="H38" s="465">
        <f>ROUND((H15-H17)*H37,0)</f>
        <v>720</v>
      </c>
      <c r="I38" s="465">
        <f>ROUND((I15-I17)*I37,0)</f>
        <v>720</v>
      </c>
    </row>
    <row r="39" spans="2:9" x14ac:dyDescent="0.2">
      <c r="B39" s="68"/>
      <c r="C39" t="s">
        <v>485</v>
      </c>
      <c r="D39" s="86" t="s">
        <v>28</v>
      </c>
      <c r="E39" s="405">
        <v>0.1</v>
      </c>
      <c r="F39" s="405">
        <f t="shared" si="0"/>
        <v>0.1</v>
      </c>
      <c r="G39" s="405">
        <f t="shared" si="0"/>
        <v>0.1</v>
      </c>
      <c r="H39" s="405">
        <f t="shared" si="0"/>
        <v>0.1</v>
      </c>
      <c r="I39" s="405">
        <f t="shared" si="0"/>
        <v>0.1</v>
      </c>
    </row>
    <row r="40" spans="2:9" x14ac:dyDescent="0.2">
      <c r="C40" t="s">
        <v>484</v>
      </c>
      <c r="D40" s="94" t="s">
        <v>11</v>
      </c>
      <c r="E40" s="466">
        <f>ROUND(E38*E39,0)</f>
        <v>72</v>
      </c>
      <c r="F40" s="466">
        <f>ROUND(F38*F39,0)</f>
        <v>72</v>
      </c>
      <c r="G40" s="466">
        <f>ROUND(G38*G39,0)</f>
        <v>72</v>
      </c>
      <c r="H40" s="466">
        <f>ROUND(H38*H39,0)</f>
        <v>72</v>
      </c>
      <c r="I40" s="466">
        <f>ROUND(I38*I39,0)</f>
        <v>72</v>
      </c>
    </row>
    <row r="41" spans="2:9" x14ac:dyDescent="0.2">
      <c r="C41" t="s">
        <v>389</v>
      </c>
      <c r="D41" s="94" t="s">
        <v>11</v>
      </c>
      <c r="E41" s="466">
        <f>ROUND(E38-E40,0)</f>
        <v>648</v>
      </c>
      <c r="F41" s="466">
        <f>ROUND(F38-F40,0)</f>
        <v>648</v>
      </c>
      <c r="G41" s="466">
        <f>ROUND(G38-G40,0)</f>
        <v>648</v>
      </c>
      <c r="H41" s="466">
        <f>ROUND(H38-H40,0)</f>
        <v>648</v>
      </c>
      <c r="I41" s="466">
        <f>ROUND(I38-I40,0)</f>
        <v>648</v>
      </c>
    </row>
    <row r="42" spans="2:9" x14ac:dyDescent="0.2">
      <c r="C42" t="s">
        <v>486</v>
      </c>
      <c r="D42" s="94" t="s">
        <v>11</v>
      </c>
      <c r="E42" s="467">
        <f>E41/E38</f>
        <v>0.9</v>
      </c>
      <c r="F42" s="467">
        <f>F41/F38</f>
        <v>0.9</v>
      </c>
      <c r="G42" s="467">
        <f>G41/G38</f>
        <v>0.9</v>
      </c>
      <c r="H42" s="467">
        <f>H41/H38</f>
        <v>0.9</v>
      </c>
      <c r="I42" s="467">
        <f>I41/I38</f>
        <v>0.9</v>
      </c>
    </row>
    <row r="43" spans="2:9" x14ac:dyDescent="0.2">
      <c r="C43" t="s">
        <v>487</v>
      </c>
      <c r="D43" s="86" t="s">
        <v>29</v>
      </c>
      <c r="E43" s="405">
        <v>0.05</v>
      </c>
      <c r="F43" s="405">
        <f>E43</f>
        <v>0.05</v>
      </c>
      <c r="G43" s="405">
        <f>F43</f>
        <v>0.05</v>
      </c>
      <c r="H43" s="405">
        <f>G43</f>
        <v>0.05</v>
      </c>
      <c r="I43" s="405">
        <f>H43</f>
        <v>0.05</v>
      </c>
    </row>
    <row r="44" spans="2:9" x14ac:dyDescent="0.2">
      <c r="C44" t="s">
        <v>488</v>
      </c>
      <c r="D44" s="94" t="s">
        <v>11</v>
      </c>
      <c r="E44" s="466">
        <f>ROUND(E41*E43,0)</f>
        <v>32</v>
      </c>
      <c r="F44" s="466">
        <f>ROUND(F41*F43,0)</f>
        <v>32</v>
      </c>
      <c r="G44" s="466">
        <f>ROUND(G41*G43,0)</f>
        <v>32</v>
      </c>
      <c r="H44" s="466">
        <f>ROUND(H41*H43,0)</f>
        <v>32</v>
      </c>
      <c r="I44" s="466">
        <f>ROUND(I41*I43,0)</f>
        <v>32</v>
      </c>
    </row>
    <row r="45" spans="2:9" x14ac:dyDescent="0.2">
      <c r="C45" t="s">
        <v>390</v>
      </c>
      <c r="D45" s="94" t="s">
        <v>11</v>
      </c>
      <c r="E45" s="466">
        <f>E41-E44</f>
        <v>616</v>
      </c>
      <c r="F45" s="466">
        <f>F41-F44</f>
        <v>616</v>
      </c>
      <c r="G45" s="466">
        <f>G41-G44</f>
        <v>616</v>
      </c>
      <c r="H45" s="466">
        <f>H41-H44</f>
        <v>616</v>
      </c>
      <c r="I45" s="466">
        <f>I41-I44</f>
        <v>616</v>
      </c>
    </row>
    <row r="46" spans="2:9" x14ac:dyDescent="0.2">
      <c r="C46" t="s">
        <v>852</v>
      </c>
      <c r="D46" s="94" t="s">
        <v>11</v>
      </c>
      <c r="E46" s="610">
        <f>E45/E15</f>
        <v>1.54</v>
      </c>
      <c r="F46" s="610">
        <f>F45/F15</f>
        <v>1.54</v>
      </c>
      <c r="G46" s="610">
        <f>G45/G15</f>
        <v>1.54</v>
      </c>
      <c r="H46" s="610">
        <f>H45/H15</f>
        <v>1.54</v>
      </c>
      <c r="I46" s="610">
        <f>I45/I15</f>
        <v>1.54</v>
      </c>
    </row>
    <row r="47" spans="2:9" x14ac:dyDescent="0.2">
      <c r="C47" s="623" t="s">
        <v>864</v>
      </c>
      <c r="D47" s="94" t="s">
        <v>11</v>
      </c>
      <c r="E47" s="613">
        <f>E45-E24</f>
        <v>544</v>
      </c>
      <c r="F47" s="613">
        <f>F45-F24</f>
        <v>544</v>
      </c>
      <c r="G47" s="613">
        <f>G45-G24</f>
        <v>544</v>
      </c>
      <c r="H47" s="613">
        <f>H45-H24</f>
        <v>544</v>
      </c>
      <c r="I47" s="613">
        <f>I45-I24</f>
        <v>544</v>
      </c>
    </row>
    <row r="48" spans="2:9" x14ac:dyDescent="0.2">
      <c r="C48" s="5"/>
      <c r="D48" s="86"/>
      <c r="E48" s="613"/>
      <c r="F48" s="613"/>
      <c r="G48" s="613"/>
      <c r="H48" s="613"/>
      <c r="I48" s="613"/>
    </row>
    <row r="49" spans="2:9" x14ac:dyDescent="0.2">
      <c r="B49" s="68" t="s">
        <v>735</v>
      </c>
      <c r="D49" s="28"/>
      <c r="E49" s="41" t="str">
        <f>$E$14</f>
        <v>Year 1</v>
      </c>
      <c r="F49" s="41" t="str">
        <f>$F$14</f>
        <v>Year 2</v>
      </c>
      <c r="G49" s="41" t="str">
        <f>$G$14</f>
        <v>Year 3</v>
      </c>
      <c r="H49" s="41" t="str">
        <f>$H$14</f>
        <v>Year 4</v>
      </c>
      <c r="I49" s="41" t="str">
        <f>$I$14</f>
        <v>Year 5</v>
      </c>
    </row>
    <row r="50" spans="2:9" x14ac:dyDescent="0.2">
      <c r="B50" s="68"/>
      <c r="C50" t="s">
        <v>391</v>
      </c>
      <c r="D50" s="86" t="s">
        <v>30</v>
      </c>
      <c r="E50" s="407">
        <v>0</v>
      </c>
      <c r="F50" s="407">
        <f>E50</f>
        <v>0</v>
      </c>
      <c r="G50" s="407">
        <f>F50</f>
        <v>0</v>
      </c>
      <c r="H50" s="407">
        <f>G50</f>
        <v>0</v>
      </c>
      <c r="I50" s="407">
        <f>H50</f>
        <v>0</v>
      </c>
    </row>
    <row r="51" spans="2:9" x14ac:dyDescent="0.2">
      <c r="B51" s="68"/>
      <c r="C51" t="s">
        <v>393</v>
      </c>
      <c r="D51" s="86" t="s">
        <v>31</v>
      </c>
      <c r="E51" s="409">
        <f>IF(E50&gt;0,E47,0)</f>
        <v>0</v>
      </c>
      <c r="F51" s="409">
        <f>IF(F50&gt;0,F47,0)</f>
        <v>0</v>
      </c>
      <c r="G51" s="409">
        <f>IF(G50&gt;0,G47,0)</f>
        <v>0</v>
      </c>
      <c r="H51" s="409">
        <f>IF(H50&gt;0,H47,0)</f>
        <v>0</v>
      </c>
      <c r="I51" s="409">
        <f>IF(I50&gt;0,I47,0)</f>
        <v>0</v>
      </c>
    </row>
    <row r="52" spans="2:9" x14ac:dyDescent="0.2">
      <c r="B52" s="68"/>
      <c r="C52" t="s">
        <v>392</v>
      </c>
      <c r="D52" s="86" t="s">
        <v>32</v>
      </c>
      <c r="E52" s="410">
        <v>3</v>
      </c>
      <c r="F52" s="410">
        <f>E52</f>
        <v>3</v>
      </c>
      <c r="G52" s="410">
        <f>F52</f>
        <v>3</v>
      </c>
      <c r="H52" s="410">
        <f>G52</f>
        <v>3</v>
      </c>
      <c r="I52" s="410">
        <f>H52</f>
        <v>3</v>
      </c>
    </row>
    <row r="53" spans="2:9" x14ac:dyDescent="0.2">
      <c r="B53" s="68"/>
      <c r="C53" t="s">
        <v>394</v>
      </c>
      <c r="D53" s="94" t="s">
        <v>11</v>
      </c>
      <c r="E53" s="109">
        <f>E50*E52</f>
        <v>0</v>
      </c>
      <c r="F53" s="109">
        <f>F50*F52</f>
        <v>0</v>
      </c>
      <c r="G53" s="109">
        <f>G50*G52</f>
        <v>0</v>
      </c>
      <c r="H53" s="109">
        <f>H50*H52</f>
        <v>0</v>
      </c>
      <c r="I53" s="109">
        <f>I50*I52</f>
        <v>0</v>
      </c>
    </row>
    <row r="54" spans="2:9" x14ac:dyDescent="0.2">
      <c r="B54" s="68"/>
      <c r="D54" s="94"/>
      <c r="E54" s="109"/>
      <c r="F54" s="109"/>
      <c r="G54" s="109"/>
      <c r="H54" s="109"/>
      <c r="I54" s="109"/>
    </row>
    <row r="55" spans="2:9" x14ac:dyDescent="0.2">
      <c r="B55" s="68"/>
      <c r="C55" s="5" t="s">
        <v>732</v>
      </c>
      <c r="D55" s="86" t="s">
        <v>33</v>
      </c>
      <c r="E55" s="407">
        <v>125</v>
      </c>
      <c r="F55" s="407">
        <f>E55</f>
        <v>125</v>
      </c>
      <c r="G55" s="407">
        <f>F55</f>
        <v>125</v>
      </c>
      <c r="H55" s="407">
        <f>G55</f>
        <v>125</v>
      </c>
      <c r="I55" s="407">
        <f>H55</f>
        <v>125</v>
      </c>
    </row>
    <row r="56" spans="2:9" x14ac:dyDescent="0.2">
      <c r="B56" s="68"/>
      <c r="C56" s="5" t="s">
        <v>731</v>
      </c>
      <c r="D56" s="86" t="s">
        <v>34</v>
      </c>
      <c r="E56" s="409">
        <f>E45-E24-E51-E61-E63-E65-E89-E98</f>
        <v>544</v>
      </c>
      <c r="F56" s="409">
        <f>F45-F24-F51-F61-F63-F65-F89-F98</f>
        <v>544</v>
      </c>
      <c r="G56" s="409">
        <f>G45-G24-G51-G61-G63-G65-G89-G98</f>
        <v>544</v>
      </c>
      <c r="H56" s="409">
        <f>H45-H24-H51-H61-H63-H65-H89-H98</f>
        <v>544</v>
      </c>
      <c r="I56" s="409">
        <f>I45-I24-I51-I61-I63-I65-I89-I98</f>
        <v>544</v>
      </c>
    </row>
    <row r="57" spans="2:9" x14ac:dyDescent="0.2">
      <c r="B57" s="68"/>
      <c r="C57" s="5" t="s">
        <v>733</v>
      </c>
      <c r="D57" s="86" t="s">
        <v>35</v>
      </c>
      <c r="E57" s="410">
        <v>2.5</v>
      </c>
      <c r="F57" s="410">
        <f>E57</f>
        <v>2.5</v>
      </c>
      <c r="G57" s="410">
        <f>F57</f>
        <v>2.5</v>
      </c>
      <c r="H57" s="410">
        <f>G57</f>
        <v>2.5</v>
      </c>
      <c r="I57" s="410">
        <f>H57</f>
        <v>2.5</v>
      </c>
    </row>
    <row r="58" spans="2:9" x14ac:dyDescent="0.2">
      <c r="B58" s="68"/>
      <c r="C58" s="5" t="s">
        <v>734</v>
      </c>
      <c r="D58" s="94" t="s">
        <v>11</v>
      </c>
      <c r="E58" s="109">
        <f>E55*E57</f>
        <v>312.5</v>
      </c>
      <c r="F58" s="109">
        <f>F55*F57</f>
        <v>312.5</v>
      </c>
      <c r="G58" s="109">
        <f>G55*G57</f>
        <v>312.5</v>
      </c>
      <c r="H58" s="109">
        <f>H55*H57</f>
        <v>312.5</v>
      </c>
      <c r="I58" s="109">
        <f>I55*I57</f>
        <v>312.5</v>
      </c>
    </row>
    <row r="59" spans="2:9" x14ac:dyDescent="0.2">
      <c r="D59" s="94"/>
      <c r="E59" s="42"/>
      <c r="F59" s="42"/>
      <c r="G59" s="42"/>
      <c r="H59" s="42"/>
      <c r="I59" s="42"/>
    </row>
    <row r="60" spans="2:9" x14ac:dyDescent="0.2">
      <c r="B60" s="68" t="s">
        <v>489</v>
      </c>
      <c r="D60" s="94"/>
      <c r="E60" s="76"/>
      <c r="F60" s="76"/>
      <c r="G60" s="76"/>
      <c r="H60" s="76"/>
      <c r="I60" s="76"/>
    </row>
    <row r="61" spans="2:9" x14ac:dyDescent="0.2">
      <c r="C61" t="s">
        <v>490</v>
      </c>
      <c r="D61" s="86" t="s">
        <v>36</v>
      </c>
      <c r="E61" s="409">
        <v>0</v>
      </c>
      <c r="F61" s="409">
        <f t="shared" ref="F61:I64" si="1">E61</f>
        <v>0</v>
      </c>
      <c r="G61" s="409">
        <f t="shared" si="1"/>
        <v>0</v>
      </c>
      <c r="H61" s="409">
        <f t="shared" si="1"/>
        <v>0</v>
      </c>
      <c r="I61" s="409">
        <f t="shared" si="1"/>
        <v>0</v>
      </c>
    </row>
    <row r="62" spans="2:9" x14ac:dyDescent="0.2">
      <c r="C62" t="s">
        <v>491</v>
      </c>
      <c r="D62" s="86" t="s">
        <v>37</v>
      </c>
      <c r="E62" s="410">
        <v>0</v>
      </c>
      <c r="F62" s="410">
        <f t="shared" si="1"/>
        <v>0</v>
      </c>
      <c r="G62" s="410">
        <f t="shared" si="1"/>
        <v>0</v>
      </c>
      <c r="H62" s="410">
        <f t="shared" si="1"/>
        <v>0</v>
      </c>
      <c r="I62" s="410">
        <f t="shared" si="1"/>
        <v>0</v>
      </c>
    </row>
    <row r="63" spans="2:9" x14ac:dyDescent="0.2">
      <c r="C63" t="s">
        <v>492</v>
      </c>
      <c r="D63" s="86" t="s">
        <v>38</v>
      </c>
      <c r="E63" s="409">
        <v>0</v>
      </c>
      <c r="F63" s="409">
        <f t="shared" si="1"/>
        <v>0</v>
      </c>
      <c r="G63" s="409">
        <f t="shared" si="1"/>
        <v>0</v>
      </c>
      <c r="H63" s="409">
        <f t="shared" si="1"/>
        <v>0</v>
      </c>
      <c r="I63" s="409">
        <f t="shared" si="1"/>
        <v>0</v>
      </c>
    </row>
    <row r="64" spans="2:9" x14ac:dyDescent="0.2">
      <c r="C64" t="s">
        <v>493</v>
      </c>
      <c r="D64" s="86" t="s">
        <v>39</v>
      </c>
      <c r="E64" s="410">
        <v>0</v>
      </c>
      <c r="F64" s="410">
        <f t="shared" si="1"/>
        <v>0</v>
      </c>
      <c r="G64" s="410">
        <f t="shared" si="1"/>
        <v>0</v>
      </c>
      <c r="H64" s="410">
        <f t="shared" si="1"/>
        <v>0</v>
      </c>
      <c r="I64" s="410">
        <f t="shared" si="1"/>
        <v>0</v>
      </c>
    </row>
    <row r="65" spans="2:9" x14ac:dyDescent="0.2">
      <c r="C65" t="s">
        <v>494</v>
      </c>
      <c r="D65" s="86" t="s">
        <v>40</v>
      </c>
      <c r="E65" s="409">
        <v>0</v>
      </c>
      <c r="F65" s="409">
        <f t="shared" ref="F65:I66" si="2">E65</f>
        <v>0</v>
      </c>
      <c r="G65" s="409">
        <f t="shared" si="2"/>
        <v>0</v>
      </c>
      <c r="H65" s="409">
        <f t="shared" si="2"/>
        <v>0</v>
      </c>
      <c r="I65" s="409">
        <f t="shared" si="2"/>
        <v>0</v>
      </c>
    </row>
    <row r="66" spans="2:9" x14ac:dyDescent="0.2">
      <c r="C66" t="s">
        <v>495</v>
      </c>
      <c r="D66" s="86" t="s">
        <v>41</v>
      </c>
      <c r="E66" s="410">
        <v>0</v>
      </c>
      <c r="F66" s="410">
        <f t="shared" si="2"/>
        <v>0</v>
      </c>
      <c r="G66" s="410">
        <f t="shared" si="2"/>
        <v>0</v>
      </c>
      <c r="H66" s="410">
        <f t="shared" si="2"/>
        <v>0</v>
      </c>
      <c r="I66" s="410">
        <f t="shared" si="2"/>
        <v>0</v>
      </c>
    </row>
    <row r="67" spans="2:9" x14ac:dyDescent="0.2">
      <c r="E67" s="29"/>
      <c r="F67" s="29"/>
      <c r="G67" s="29"/>
      <c r="H67" s="29"/>
      <c r="I67" s="29"/>
    </row>
    <row r="68" spans="2:9" x14ac:dyDescent="0.2">
      <c r="B68" s="68" t="s">
        <v>565</v>
      </c>
      <c r="E68" s="86" t="str">
        <f>$E$14</f>
        <v>Year 1</v>
      </c>
      <c r="F68" s="86" t="str">
        <f>$F$14</f>
        <v>Year 2</v>
      </c>
      <c r="G68" s="86" t="str">
        <f>$G$14</f>
        <v>Year 3</v>
      </c>
      <c r="H68" s="86" t="str">
        <f>$H$14</f>
        <v>Year 4</v>
      </c>
      <c r="I68" s="86" t="str">
        <f>$I$14</f>
        <v>Year 5</v>
      </c>
    </row>
    <row r="69" spans="2:9" x14ac:dyDescent="0.2">
      <c r="C69" t="s">
        <v>395</v>
      </c>
      <c r="D69" s="94" t="s">
        <v>11</v>
      </c>
      <c r="E69" s="468">
        <f>E22</f>
        <v>60</v>
      </c>
      <c r="F69" s="468">
        <f>F22</f>
        <v>60</v>
      </c>
      <c r="G69" s="468">
        <f>G22</f>
        <v>60</v>
      </c>
      <c r="H69" s="468">
        <f>H22</f>
        <v>60</v>
      </c>
      <c r="I69" s="468">
        <f>I22</f>
        <v>60</v>
      </c>
    </row>
    <row r="70" spans="2:9" x14ac:dyDescent="0.2">
      <c r="C70" t="s">
        <v>241</v>
      </c>
      <c r="D70" s="86" t="s">
        <v>42</v>
      </c>
      <c r="E70" s="407">
        <v>160</v>
      </c>
      <c r="F70" s="407">
        <f t="shared" ref="F70:I71" si="3">E70</f>
        <v>160</v>
      </c>
      <c r="G70" s="407">
        <f t="shared" si="3"/>
        <v>160</v>
      </c>
      <c r="H70" s="407">
        <f t="shared" si="3"/>
        <v>160</v>
      </c>
      <c r="I70" s="407">
        <f t="shared" si="3"/>
        <v>160</v>
      </c>
    </row>
    <row r="71" spans="2:9" x14ac:dyDescent="0.2">
      <c r="C71" t="s">
        <v>398</v>
      </c>
      <c r="D71" s="86" t="s">
        <v>43</v>
      </c>
      <c r="E71" s="410">
        <v>1.75</v>
      </c>
      <c r="F71" s="410">
        <f t="shared" si="3"/>
        <v>1.75</v>
      </c>
      <c r="G71" s="410">
        <f t="shared" si="3"/>
        <v>1.75</v>
      </c>
      <c r="H71" s="410">
        <f t="shared" si="3"/>
        <v>1.75</v>
      </c>
      <c r="I71" s="410">
        <f t="shared" si="3"/>
        <v>1.75</v>
      </c>
    </row>
    <row r="72" spans="2:9" x14ac:dyDescent="0.2">
      <c r="C72" t="s">
        <v>379</v>
      </c>
      <c r="D72" s="94" t="s">
        <v>11</v>
      </c>
      <c r="E72" s="469">
        <f>E70*E71</f>
        <v>280</v>
      </c>
      <c r="F72" s="469">
        <f>F70*F71</f>
        <v>280</v>
      </c>
      <c r="G72" s="469">
        <f>G70*G71</f>
        <v>280</v>
      </c>
      <c r="H72" s="469">
        <f>H70*H71</f>
        <v>280</v>
      </c>
      <c r="I72" s="469">
        <f>I70*I71</f>
        <v>280</v>
      </c>
    </row>
    <row r="73" spans="2:9" x14ac:dyDescent="0.2">
      <c r="C73" t="s">
        <v>396</v>
      </c>
      <c r="D73" s="94" t="s">
        <v>11</v>
      </c>
      <c r="E73" s="470">
        <f>E32</f>
        <v>2</v>
      </c>
      <c r="F73" s="470">
        <f>F32</f>
        <v>2</v>
      </c>
      <c r="G73" s="470">
        <f>G32</f>
        <v>2</v>
      </c>
      <c r="H73" s="470">
        <f>H32</f>
        <v>2</v>
      </c>
      <c r="I73" s="470">
        <f>I32</f>
        <v>2</v>
      </c>
    </row>
    <row r="74" spans="2:9" x14ac:dyDescent="0.2">
      <c r="C74" t="s">
        <v>242</v>
      </c>
      <c r="D74" s="86" t="s">
        <v>44</v>
      </c>
      <c r="E74" s="407">
        <v>250</v>
      </c>
      <c r="F74" s="407">
        <f t="shared" ref="F74:I75" si="4">E74</f>
        <v>250</v>
      </c>
      <c r="G74" s="407">
        <f t="shared" si="4"/>
        <v>250</v>
      </c>
      <c r="H74" s="407">
        <f t="shared" si="4"/>
        <v>250</v>
      </c>
      <c r="I74" s="407">
        <f t="shared" si="4"/>
        <v>250</v>
      </c>
    </row>
    <row r="75" spans="2:9" x14ac:dyDescent="0.2">
      <c r="C75" t="s">
        <v>397</v>
      </c>
      <c r="D75" s="86" t="s">
        <v>736</v>
      </c>
      <c r="E75" s="410">
        <v>1.75</v>
      </c>
      <c r="F75" s="410">
        <f t="shared" si="4"/>
        <v>1.75</v>
      </c>
      <c r="G75" s="410">
        <f t="shared" si="4"/>
        <v>1.75</v>
      </c>
      <c r="H75" s="410">
        <f t="shared" si="4"/>
        <v>1.75</v>
      </c>
      <c r="I75" s="410">
        <f t="shared" si="4"/>
        <v>1.75</v>
      </c>
    </row>
    <row r="76" spans="2:9" x14ac:dyDescent="0.2">
      <c r="C76" t="s">
        <v>243</v>
      </c>
      <c r="D76" s="94" t="s">
        <v>11</v>
      </c>
      <c r="E76" s="110">
        <f>E74*E75</f>
        <v>437.5</v>
      </c>
      <c r="F76" s="110">
        <f>F74*F75</f>
        <v>437.5</v>
      </c>
      <c r="G76" s="110">
        <f>G74*G75</f>
        <v>437.5</v>
      </c>
      <c r="H76" s="110">
        <f>H74*H75</f>
        <v>437.5</v>
      </c>
      <c r="I76" s="110">
        <f>I74*I75</f>
        <v>437.5</v>
      </c>
    </row>
    <row r="77" spans="2:9" ht="9.9499999999999993" customHeight="1" x14ac:dyDescent="0.2">
      <c r="D77" s="94"/>
      <c r="E77" s="76"/>
      <c r="F77" s="76"/>
      <c r="G77" s="76"/>
      <c r="H77" s="76"/>
      <c r="I77" s="76"/>
    </row>
    <row r="78" spans="2:9" x14ac:dyDescent="0.2">
      <c r="B78" s="68" t="s">
        <v>321</v>
      </c>
      <c r="D78" s="94"/>
      <c r="E78" s="111"/>
      <c r="F78" s="111"/>
      <c r="G78" s="111"/>
      <c r="H78" s="111"/>
      <c r="I78" s="111"/>
    </row>
    <row r="79" spans="2:9" x14ac:dyDescent="0.2">
      <c r="C79" t="s">
        <v>322</v>
      </c>
      <c r="D79" s="86" t="s">
        <v>737</v>
      </c>
      <c r="E79" s="407">
        <f>E15+E16</f>
        <v>410</v>
      </c>
      <c r="F79" s="407">
        <f>F15+F16</f>
        <v>410</v>
      </c>
      <c r="G79" s="407">
        <f>G15+G16</f>
        <v>410</v>
      </c>
      <c r="H79" s="407">
        <f>H15+H16</f>
        <v>410</v>
      </c>
      <c r="I79" s="407">
        <f>I15+I16</f>
        <v>410</v>
      </c>
    </row>
    <row r="80" spans="2:9" x14ac:dyDescent="0.2">
      <c r="C80" t="s">
        <v>323</v>
      </c>
      <c r="D80" s="86" t="s">
        <v>738</v>
      </c>
      <c r="E80" s="412">
        <v>8</v>
      </c>
      <c r="F80" s="412">
        <f>E80</f>
        <v>8</v>
      </c>
      <c r="G80" s="412">
        <f>F80</f>
        <v>8</v>
      </c>
      <c r="H80" s="412">
        <f>G80</f>
        <v>8</v>
      </c>
      <c r="I80" s="412">
        <f>H80</f>
        <v>8</v>
      </c>
    </row>
    <row r="81" spans="2:10" x14ac:dyDescent="0.2">
      <c r="C81" t="s">
        <v>324</v>
      </c>
      <c r="D81" s="94" t="s">
        <v>11</v>
      </c>
      <c r="E81" s="471">
        <f>E79*E80</f>
        <v>3280</v>
      </c>
      <c r="F81" s="471">
        <f>F79*F80</f>
        <v>3280</v>
      </c>
      <c r="G81" s="471">
        <f>G79*G80</f>
        <v>3280</v>
      </c>
      <c r="H81" s="471">
        <f>H79*H80</f>
        <v>3280</v>
      </c>
      <c r="I81" s="471">
        <f>I79*I80</f>
        <v>3280</v>
      </c>
    </row>
    <row r="82" spans="2:10" x14ac:dyDescent="0.2">
      <c r="C82" t="s">
        <v>325</v>
      </c>
      <c r="D82" s="86" t="s">
        <v>739</v>
      </c>
      <c r="E82" s="410">
        <v>0.5</v>
      </c>
      <c r="F82" s="410">
        <f>E82</f>
        <v>0.5</v>
      </c>
      <c r="G82" s="410">
        <f>F82</f>
        <v>0.5</v>
      </c>
      <c r="H82" s="410">
        <f>G82</f>
        <v>0.5</v>
      </c>
      <c r="I82" s="410">
        <f>H82</f>
        <v>0.5</v>
      </c>
      <c r="J82" s="29"/>
    </row>
    <row r="83" spans="2:10" x14ac:dyDescent="0.2">
      <c r="C83" t="s">
        <v>326</v>
      </c>
      <c r="D83" s="94" t="s">
        <v>11</v>
      </c>
      <c r="E83" s="472">
        <f>E81*E82</f>
        <v>1640</v>
      </c>
      <c r="F83" s="472">
        <f>F81*F82</f>
        <v>1640</v>
      </c>
      <c r="G83" s="472">
        <f>G81*G82</f>
        <v>1640</v>
      </c>
      <c r="H83" s="472">
        <f>H81*H82</f>
        <v>1640</v>
      </c>
      <c r="I83" s="472">
        <f>I81*I82</f>
        <v>1640</v>
      </c>
    </row>
    <row r="84" spans="2:10" x14ac:dyDescent="0.2">
      <c r="C84" t="s">
        <v>327</v>
      </c>
      <c r="D84" s="86" t="s">
        <v>740</v>
      </c>
      <c r="E84" s="410">
        <v>6.5</v>
      </c>
      <c r="F84" s="410">
        <f t="shared" ref="F84:I85" si="5">E84</f>
        <v>6.5</v>
      </c>
      <c r="G84" s="410">
        <f t="shared" si="5"/>
        <v>6.5</v>
      </c>
      <c r="H84" s="410">
        <f t="shared" si="5"/>
        <v>6.5</v>
      </c>
      <c r="I84" s="410">
        <f t="shared" si="5"/>
        <v>6.5</v>
      </c>
    </row>
    <row r="85" spans="2:10" x14ac:dyDescent="0.2">
      <c r="C85" t="s">
        <v>346</v>
      </c>
      <c r="D85" s="86" t="s">
        <v>46</v>
      </c>
      <c r="E85" s="410">
        <v>0</v>
      </c>
      <c r="F85" s="410">
        <f t="shared" si="5"/>
        <v>0</v>
      </c>
      <c r="G85" s="410">
        <f t="shared" si="5"/>
        <v>0</v>
      </c>
      <c r="H85" s="410">
        <f t="shared" si="5"/>
        <v>0</v>
      </c>
      <c r="I85" s="410">
        <f t="shared" si="5"/>
        <v>0</v>
      </c>
    </row>
    <row r="86" spans="2:10" x14ac:dyDescent="0.2">
      <c r="C86" t="s">
        <v>339</v>
      </c>
      <c r="D86" s="94" t="s">
        <v>11</v>
      </c>
      <c r="E86" s="109">
        <f>(E79*E84)+(E81*E85)</f>
        <v>2665</v>
      </c>
      <c r="F86" s="109">
        <f>(F79*F84)+(F81*F85)</f>
        <v>2665</v>
      </c>
      <c r="G86" s="109">
        <f>(G79*G84)+(G81*G85)</f>
        <v>2665</v>
      </c>
      <c r="H86" s="109">
        <f>(H79*H84)+(H81*H85)</f>
        <v>2665</v>
      </c>
      <c r="I86" s="109">
        <f>(I79*I84)+(I81*I85)</f>
        <v>2665</v>
      </c>
    </row>
    <row r="87" spans="2:10" ht="9.9499999999999993" customHeight="1" x14ac:dyDescent="0.2">
      <c r="D87" s="94"/>
      <c r="E87" s="109"/>
      <c r="F87" s="109"/>
      <c r="G87" s="109"/>
      <c r="H87" s="109"/>
      <c r="I87" s="109"/>
    </row>
    <row r="88" spans="2:10" x14ac:dyDescent="0.2">
      <c r="B88" s="68" t="s">
        <v>340</v>
      </c>
      <c r="D88" s="94"/>
      <c r="E88" s="111"/>
      <c r="F88" s="111"/>
      <c r="G88" s="111"/>
      <c r="H88" s="111"/>
      <c r="I88" s="111"/>
    </row>
    <row r="89" spans="2:10" x14ac:dyDescent="0.2">
      <c r="C89" t="s">
        <v>400</v>
      </c>
      <c r="D89" s="86" t="s">
        <v>47</v>
      </c>
      <c r="E89" s="407">
        <v>0</v>
      </c>
      <c r="F89" s="407">
        <f t="shared" ref="F89:I90" si="6">E89</f>
        <v>0</v>
      </c>
      <c r="G89" s="407">
        <f t="shared" si="6"/>
        <v>0</v>
      </c>
      <c r="H89" s="407">
        <f t="shared" si="6"/>
        <v>0</v>
      </c>
      <c r="I89" s="407">
        <f t="shared" si="6"/>
        <v>0</v>
      </c>
    </row>
    <row r="90" spans="2:10" x14ac:dyDescent="0.2">
      <c r="C90" t="s">
        <v>342</v>
      </c>
      <c r="D90" s="86" t="s">
        <v>49</v>
      </c>
      <c r="E90" s="412">
        <v>0</v>
      </c>
      <c r="F90" s="412">
        <f t="shared" si="6"/>
        <v>0</v>
      </c>
      <c r="G90" s="412">
        <f t="shared" si="6"/>
        <v>0</v>
      </c>
      <c r="H90" s="412">
        <f t="shared" si="6"/>
        <v>0</v>
      </c>
      <c r="I90" s="412">
        <f t="shared" si="6"/>
        <v>0</v>
      </c>
    </row>
    <row r="91" spans="2:10" x14ac:dyDescent="0.2">
      <c r="C91" t="s">
        <v>343</v>
      </c>
      <c r="D91" s="94" t="s">
        <v>11</v>
      </c>
      <c r="E91" s="471">
        <f>IF(E89&gt;0.5,E89*E90,0)</f>
        <v>0</v>
      </c>
      <c r="F91" s="471">
        <f>IF(F89&gt;0.5,F89*F90,0)</f>
        <v>0</v>
      </c>
      <c r="G91" s="471">
        <f>IF(G89&gt;0.5,G89*G90,0)</f>
        <v>0</v>
      </c>
      <c r="H91" s="471">
        <f>IF(H89&gt;0.5,H89*H90,0)</f>
        <v>0</v>
      </c>
      <c r="I91" s="471">
        <f>IF(I89&gt;0.5,I89*I90,0)</f>
        <v>0</v>
      </c>
    </row>
    <row r="92" spans="2:10" x14ac:dyDescent="0.2">
      <c r="C92" t="s">
        <v>344</v>
      </c>
      <c r="D92" s="86" t="s">
        <v>50</v>
      </c>
      <c r="E92" s="410">
        <v>0</v>
      </c>
      <c r="F92" s="410">
        <f>E92</f>
        <v>0</v>
      </c>
      <c r="G92" s="410">
        <f>F92</f>
        <v>0</v>
      </c>
      <c r="H92" s="410">
        <f>G92</f>
        <v>0</v>
      </c>
      <c r="I92" s="410">
        <f>H92</f>
        <v>0</v>
      </c>
    </row>
    <row r="93" spans="2:10" x14ac:dyDescent="0.2">
      <c r="C93" t="s">
        <v>345</v>
      </c>
      <c r="D93" s="94" t="s">
        <v>11</v>
      </c>
      <c r="E93" s="472">
        <f>IF(E91&gt;0.5,E91*E92,0)</f>
        <v>0</v>
      </c>
      <c r="F93" s="472">
        <f>IF(F91&gt;0.5,F91*F92,0)</f>
        <v>0</v>
      </c>
      <c r="G93" s="472">
        <f>IF(G91&gt;0.5,G91*G92,0)</f>
        <v>0</v>
      </c>
      <c r="H93" s="472">
        <f>IF(H91&gt;0.5,H91*H92,0)</f>
        <v>0</v>
      </c>
      <c r="I93" s="472">
        <f>IF(I91&gt;0.5,I91*I92,0)</f>
        <v>0</v>
      </c>
    </row>
    <row r="94" spans="2:10" x14ac:dyDescent="0.2">
      <c r="C94" t="s">
        <v>401</v>
      </c>
      <c r="D94" s="86" t="s">
        <v>51</v>
      </c>
      <c r="E94" s="410">
        <v>0</v>
      </c>
      <c r="F94" s="410">
        <f>E94</f>
        <v>0</v>
      </c>
      <c r="G94" s="410">
        <f>F94</f>
        <v>0</v>
      </c>
      <c r="H94" s="410">
        <f>G94</f>
        <v>0</v>
      </c>
      <c r="I94" s="410">
        <f>H94</f>
        <v>0</v>
      </c>
      <c r="J94" s="29"/>
    </row>
    <row r="95" spans="2:10" x14ac:dyDescent="0.2">
      <c r="C95" t="s">
        <v>347</v>
      </c>
      <c r="D95" s="94" t="s">
        <v>11</v>
      </c>
      <c r="E95" s="109">
        <f>IF(E89&gt;0.5,(E89*E94),0)</f>
        <v>0</v>
      </c>
      <c r="F95" s="109">
        <f>IF(F89&gt;0.5,(F89*F94),0)</f>
        <v>0</v>
      </c>
      <c r="G95" s="109">
        <f>IF(G89&gt;0.5,(G89*G94),0)</f>
        <v>0</v>
      </c>
      <c r="H95" s="109">
        <f>IF(H89&gt;0.5,(H89*H94),0)</f>
        <v>0</v>
      </c>
      <c r="I95" s="109">
        <f>IF(I89&gt;0.5,(I89*I94),0)</f>
        <v>0</v>
      </c>
    </row>
    <row r="96" spans="2:10" x14ac:dyDescent="0.2">
      <c r="D96" s="94"/>
      <c r="E96" s="109"/>
      <c r="F96" s="109"/>
      <c r="G96" s="109"/>
      <c r="H96" s="109"/>
      <c r="I96" s="109"/>
    </row>
    <row r="97" spans="2:9" x14ac:dyDescent="0.2">
      <c r="B97" s="68" t="s">
        <v>399</v>
      </c>
      <c r="D97" s="94"/>
      <c r="E97" s="111"/>
      <c r="F97" s="111"/>
      <c r="G97" s="111"/>
      <c r="H97" s="111"/>
      <c r="I97" s="111"/>
    </row>
    <row r="98" spans="2:9" x14ac:dyDescent="0.2">
      <c r="C98" t="s">
        <v>341</v>
      </c>
      <c r="D98" s="86" t="s">
        <v>52</v>
      </c>
      <c r="E98" s="407">
        <v>0</v>
      </c>
      <c r="F98" s="407">
        <f t="shared" ref="F98:I99" si="7">E98</f>
        <v>0</v>
      </c>
      <c r="G98" s="407">
        <f t="shared" si="7"/>
        <v>0</v>
      </c>
      <c r="H98" s="407">
        <f t="shared" si="7"/>
        <v>0</v>
      </c>
      <c r="I98" s="407">
        <f t="shared" si="7"/>
        <v>0</v>
      </c>
    </row>
    <row r="99" spans="2:9" x14ac:dyDescent="0.2">
      <c r="C99" t="s">
        <v>402</v>
      </c>
      <c r="D99" s="86" t="s">
        <v>53</v>
      </c>
      <c r="E99" s="412">
        <v>0</v>
      </c>
      <c r="F99" s="412">
        <f t="shared" si="7"/>
        <v>0</v>
      </c>
      <c r="G99" s="412">
        <f t="shared" si="7"/>
        <v>0</v>
      </c>
      <c r="H99" s="412">
        <f t="shared" si="7"/>
        <v>0</v>
      </c>
      <c r="I99" s="412">
        <f t="shared" si="7"/>
        <v>0</v>
      </c>
    </row>
    <row r="100" spans="2:9" x14ac:dyDescent="0.2">
      <c r="C100" t="s">
        <v>403</v>
      </c>
      <c r="D100" s="94" t="s">
        <v>11</v>
      </c>
      <c r="E100" s="471">
        <f>IF(E98&gt;0.5,E98*E99,0)</f>
        <v>0</v>
      </c>
      <c r="F100" s="471">
        <f>IF(F98&gt;0.5,F98*F99,0)</f>
        <v>0</v>
      </c>
      <c r="G100" s="471">
        <f>IF(G98&gt;0.5,G98*G99,0)</f>
        <v>0</v>
      </c>
      <c r="H100" s="471">
        <f>IF(H98&gt;0.5,H98*H99,0)</f>
        <v>0</v>
      </c>
      <c r="I100" s="471">
        <f>IF(I98&gt;0.5,I98*I99,0)</f>
        <v>0</v>
      </c>
    </row>
    <row r="101" spans="2:9" x14ac:dyDescent="0.2">
      <c r="C101" t="s">
        <v>404</v>
      </c>
      <c r="D101" s="86" t="s">
        <v>54</v>
      </c>
      <c r="E101" s="410">
        <v>0</v>
      </c>
      <c r="F101" s="410">
        <f>E101</f>
        <v>0</v>
      </c>
      <c r="G101" s="410">
        <f>F101</f>
        <v>0</v>
      </c>
      <c r="H101" s="410">
        <f>G101</f>
        <v>0</v>
      </c>
      <c r="I101" s="410">
        <f>H101</f>
        <v>0</v>
      </c>
    </row>
    <row r="102" spans="2:9" x14ac:dyDescent="0.2">
      <c r="C102" t="s">
        <v>405</v>
      </c>
      <c r="D102" s="94" t="s">
        <v>11</v>
      </c>
      <c r="E102" s="472">
        <f>IF(E100&gt;0.5,E100*E101,0)</f>
        <v>0</v>
      </c>
      <c r="F102" s="472">
        <f>IF(F100&gt;0.5,F100*F101,0)</f>
        <v>0</v>
      </c>
      <c r="G102" s="472">
        <f>IF(G100&gt;0.5,G100*G101,0)</f>
        <v>0</v>
      </c>
      <c r="H102" s="472">
        <f>IF(H100&gt;0.5,H100*H101,0)</f>
        <v>0</v>
      </c>
      <c r="I102" s="472">
        <f>IF(I100&gt;0.5,I100*I101,0)</f>
        <v>0</v>
      </c>
    </row>
    <row r="103" spans="2:9" x14ac:dyDescent="0.2">
      <c r="C103" t="s">
        <v>401</v>
      </c>
      <c r="D103" s="86" t="s">
        <v>55</v>
      </c>
      <c r="E103" s="410">
        <v>0</v>
      </c>
      <c r="F103" s="410">
        <f>E103</f>
        <v>0</v>
      </c>
      <c r="G103" s="410">
        <f>F103</f>
        <v>0</v>
      </c>
      <c r="H103" s="410">
        <f>G103</f>
        <v>0</v>
      </c>
      <c r="I103" s="410">
        <f>H103</f>
        <v>0</v>
      </c>
    </row>
    <row r="104" spans="2:9" x14ac:dyDescent="0.2">
      <c r="C104" t="s">
        <v>406</v>
      </c>
      <c r="D104" s="94" t="s">
        <v>11</v>
      </c>
      <c r="E104" s="109">
        <f>IF(E98&gt;0.5,(E98*E103),0)</f>
        <v>0</v>
      </c>
      <c r="F104" s="109">
        <f>IF(F98&gt;0.5,(F98*F103),0)</f>
        <v>0</v>
      </c>
      <c r="G104" s="109">
        <f>IF(G98&gt;0.5,(G98*G103),0)</f>
        <v>0</v>
      </c>
      <c r="H104" s="109">
        <f>IF(H98&gt;0.5,(H98*H103),0)</f>
        <v>0</v>
      </c>
      <c r="I104" s="109">
        <f>IF(I98&gt;0.5,(I98*I103),0)</f>
        <v>0</v>
      </c>
    </row>
    <row r="105" spans="2:9" ht="9.9499999999999993" customHeight="1" x14ac:dyDescent="0.2"/>
    <row r="106" spans="2:9" x14ac:dyDescent="0.2">
      <c r="B106" s="68" t="s">
        <v>12</v>
      </c>
    </row>
    <row r="107" spans="2:9" x14ac:dyDescent="0.2">
      <c r="C107" s="68" t="s">
        <v>13</v>
      </c>
      <c r="E107" s="86" t="str">
        <f>$E$14</f>
        <v>Year 1</v>
      </c>
      <c r="F107" s="86" t="str">
        <f>$F$14</f>
        <v>Year 2</v>
      </c>
      <c r="G107" s="86" t="str">
        <f>$G$14</f>
        <v>Year 3</v>
      </c>
      <c r="H107" s="86" t="str">
        <f>$H$14</f>
        <v>Year 4</v>
      </c>
      <c r="I107" s="86" t="str">
        <f>$I$14</f>
        <v>Year 5</v>
      </c>
    </row>
    <row r="108" spans="2:9" x14ac:dyDescent="0.2">
      <c r="C108" t="s">
        <v>17</v>
      </c>
      <c r="D108" s="86" t="s">
        <v>56</v>
      </c>
      <c r="E108" s="410">
        <v>260</v>
      </c>
      <c r="F108" s="410">
        <f t="shared" ref="F108:I110" si="8">E108</f>
        <v>260</v>
      </c>
      <c r="G108" s="410">
        <f t="shared" si="8"/>
        <v>260</v>
      </c>
      <c r="H108" s="410">
        <f t="shared" si="8"/>
        <v>260</v>
      </c>
      <c r="I108" s="410">
        <f t="shared" si="8"/>
        <v>260</v>
      </c>
    </row>
    <row r="109" spans="2:9" x14ac:dyDescent="0.2">
      <c r="C109" t="s">
        <v>153</v>
      </c>
      <c r="D109" s="86" t="s">
        <v>767</v>
      </c>
      <c r="E109" s="410">
        <v>175</v>
      </c>
      <c r="F109" s="410">
        <f t="shared" si="8"/>
        <v>175</v>
      </c>
      <c r="G109" s="410">
        <f t="shared" si="8"/>
        <v>175</v>
      </c>
      <c r="H109" s="410">
        <f t="shared" si="8"/>
        <v>175</v>
      </c>
      <c r="I109" s="410">
        <f t="shared" si="8"/>
        <v>175</v>
      </c>
    </row>
    <row r="110" spans="2:9" x14ac:dyDescent="0.2">
      <c r="C110" s="623" t="s">
        <v>928</v>
      </c>
      <c r="D110" s="86" t="s">
        <v>768</v>
      </c>
      <c r="E110" s="410">
        <v>800</v>
      </c>
      <c r="F110" s="410">
        <f t="shared" si="8"/>
        <v>800</v>
      </c>
      <c r="G110" s="410">
        <f t="shared" si="8"/>
        <v>800</v>
      </c>
      <c r="H110" s="410">
        <f t="shared" si="8"/>
        <v>800</v>
      </c>
      <c r="I110" s="410">
        <f t="shared" si="8"/>
        <v>800</v>
      </c>
    </row>
    <row r="111" spans="2:9" x14ac:dyDescent="0.2">
      <c r="C111" t="s">
        <v>741</v>
      </c>
      <c r="D111" s="86" t="s">
        <v>742</v>
      </c>
      <c r="E111" s="410">
        <v>0</v>
      </c>
      <c r="F111" s="410">
        <f>E111</f>
        <v>0</v>
      </c>
      <c r="G111" s="410">
        <f>F111</f>
        <v>0</v>
      </c>
      <c r="H111" s="410">
        <f>G111</f>
        <v>0</v>
      </c>
      <c r="I111" s="410">
        <f>H111</f>
        <v>0</v>
      </c>
    </row>
    <row r="112" spans="2:9" x14ac:dyDescent="0.2">
      <c r="C112" t="s">
        <v>18</v>
      </c>
      <c r="D112" s="86" t="s">
        <v>148</v>
      </c>
      <c r="E112" s="410">
        <v>0</v>
      </c>
      <c r="F112" s="410">
        <f t="shared" ref="F112:I113" si="9">E112</f>
        <v>0</v>
      </c>
      <c r="G112" s="410">
        <f t="shared" si="9"/>
        <v>0</v>
      </c>
      <c r="H112" s="410">
        <f t="shared" si="9"/>
        <v>0</v>
      </c>
      <c r="I112" s="410">
        <f t="shared" si="9"/>
        <v>0</v>
      </c>
    </row>
    <row r="113" spans="2:9" x14ac:dyDescent="0.2">
      <c r="C113" t="s">
        <v>147</v>
      </c>
      <c r="D113" s="86" t="s">
        <v>57</v>
      </c>
      <c r="E113" s="410">
        <v>0</v>
      </c>
      <c r="F113" s="410">
        <f t="shared" si="9"/>
        <v>0</v>
      </c>
      <c r="G113" s="410">
        <f t="shared" si="9"/>
        <v>0</v>
      </c>
      <c r="H113" s="410">
        <f t="shared" si="9"/>
        <v>0</v>
      </c>
      <c r="I113" s="410">
        <f t="shared" si="9"/>
        <v>0</v>
      </c>
    </row>
    <row r="114" spans="2:9" x14ac:dyDescent="0.2">
      <c r="C114" t="s">
        <v>370</v>
      </c>
      <c r="D114" s="86" t="s">
        <v>58</v>
      </c>
      <c r="E114" s="410">
        <v>1680</v>
      </c>
      <c r="F114" s="410">
        <f t="shared" ref="F114:I116" si="10">E114</f>
        <v>1680</v>
      </c>
      <c r="G114" s="410">
        <f t="shared" si="10"/>
        <v>1680</v>
      </c>
      <c r="H114" s="410">
        <f t="shared" si="10"/>
        <v>1680</v>
      </c>
      <c r="I114" s="410">
        <f t="shared" si="10"/>
        <v>1680</v>
      </c>
    </row>
    <row r="115" spans="2:9" x14ac:dyDescent="0.2">
      <c r="C115" t="s">
        <v>173</v>
      </c>
      <c r="D115" s="86" t="s">
        <v>60</v>
      </c>
      <c r="E115" s="410">
        <v>0</v>
      </c>
      <c r="F115" s="410">
        <f t="shared" si="10"/>
        <v>0</v>
      </c>
      <c r="G115" s="410">
        <f t="shared" si="10"/>
        <v>0</v>
      </c>
      <c r="H115" s="410">
        <f t="shared" si="10"/>
        <v>0</v>
      </c>
      <c r="I115" s="410">
        <f t="shared" si="10"/>
        <v>0</v>
      </c>
    </row>
    <row r="116" spans="2:9" x14ac:dyDescent="0.2">
      <c r="C116" t="s">
        <v>407</v>
      </c>
      <c r="D116" s="86" t="s">
        <v>61</v>
      </c>
      <c r="E116" s="410">
        <v>6050</v>
      </c>
      <c r="F116" s="410">
        <f t="shared" si="10"/>
        <v>6050</v>
      </c>
      <c r="G116" s="410">
        <f t="shared" si="10"/>
        <v>6050</v>
      </c>
      <c r="H116" s="410">
        <f t="shared" si="10"/>
        <v>6050</v>
      </c>
      <c r="I116" s="410">
        <f t="shared" si="10"/>
        <v>6050</v>
      </c>
    </row>
    <row r="117" spans="2:9" x14ac:dyDescent="0.2">
      <c r="B117" s="29"/>
      <c r="C117" s="1201" t="s">
        <v>956</v>
      </c>
      <c r="D117" s="86" t="s">
        <v>63</v>
      </c>
      <c r="E117" s="410">
        <v>0</v>
      </c>
      <c r="F117" s="410">
        <f t="shared" ref="F117:I120" si="11">E117</f>
        <v>0</v>
      </c>
      <c r="G117" s="410">
        <f t="shared" si="11"/>
        <v>0</v>
      </c>
      <c r="H117" s="410">
        <f t="shared" si="11"/>
        <v>0</v>
      </c>
      <c r="I117" s="410">
        <f t="shared" si="11"/>
        <v>0</v>
      </c>
    </row>
    <row r="118" spans="2:9" x14ac:dyDescent="0.2">
      <c r="B118" s="29"/>
      <c r="C118" s="1025" t="s">
        <v>745</v>
      </c>
      <c r="D118" s="86" t="s">
        <v>64</v>
      </c>
      <c r="E118" s="410">
        <v>0</v>
      </c>
      <c r="F118" s="410">
        <f t="shared" si="11"/>
        <v>0</v>
      </c>
      <c r="G118" s="410">
        <f t="shared" si="11"/>
        <v>0</v>
      </c>
      <c r="H118" s="410">
        <f t="shared" si="11"/>
        <v>0</v>
      </c>
      <c r="I118" s="410">
        <f t="shared" si="11"/>
        <v>0</v>
      </c>
    </row>
    <row r="119" spans="2:9" x14ac:dyDescent="0.2">
      <c r="B119" s="29"/>
      <c r="C119" s="1025" t="s">
        <v>849</v>
      </c>
      <c r="D119" s="86" t="s">
        <v>65</v>
      </c>
      <c r="E119" s="410">
        <v>0</v>
      </c>
      <c r="F119" s="410">
        <f>E119</f>
        <v>0</v>
      </c>
      <c r="G119" s="410">
        <f t="shared" si="11"/>
        <v>0</v>
      </c>
      <c r="H119" s="410">
        <f t="shared" si="11"/>
        <v>0</v>
      </c>
      <c r="I119" s="410">
        <f t="shared" si="11"/>
        <v>0</v>
      </c>
    </row>
    <row r="120" spans="2:9" x14ac:dyDescent="0.2">
      <c r="B120" s="29"/>
      <c r="C120" s="1026" t="s">
        <v>744</v>
      </c>
      <c r="D120" s="86" t="s">
        <v>66</v>
      </c>
      <c r="E120" s="410">
        <v>0</v>
      </c>
      <c r="F120" s="410">
        <f>E120</f>
        <v>0</v>
      </c>
      <c r="G120" s="410">
        <f t="shared" si="11"/>
        <v>0</v>
      </c>
      <c r="H120" s="410">
        <f t="shared" si="11"/>
        <v>0</v>
      </c>
      <c r="I120" s="410">
        <f t="shared" si="11"/>
        <v>0</v>
      </c>
    </row>
    <row r="121" spans="2:9" ht="9.9499999999999993" customHeight="1" x14ac:dyDescent="0.2">
      <c r="B121" s="29"/>
      <c r="C121" s="29"/>
      <c r="E121" s="29"/>
      <c r="F121" s="29"/>
      <c r="G121" s="29"/>
      <c r="H121" s="29"/>
      <c r="I121" s="29"/>
    </row>
    <row r="122" spans="2:9" x14ac:dyDescent="0.2">
      <c r="B122" s="68" t="s">
        <v>827</v>
      </c>
      <c r="E122" s="86" t="str">
        <f>E$14</f>
        <v>Year 1</v>
      </c>
      <c r="F122" s="86" t="str">
        <f>F$14</f>
        <v>Year 2</v>
      </c>
      <c r="G122" s="86" t="str">
        <f>G$14</f>
        <v>Year 3</v>
      </c>
      <c r="H122" s="86" t="str">
        <f>H$14</f>
        <v>Year 4</v>
      </c>
      <c r="I122" s="86" t="str">
        <f>I$14</f>
        <v>Year 5</v>
      </c>
    </row>
    <row r="123" spans="2:9" x14ac:dyDescent="0.2">
      <c r="C123" t="s">
        <v>551</v>
      </c>
      <c r="D123" s="86" t="s">
        <v>67</v>
      </c>
      <c r="E123" s="406">
        <v>0</v>
      </c>
      <c r="F123" s="406">
        <f t="shared" ref="F123:I125" si="12">E123</f>
        <v>0</v>
      </c>
      <c r="G123" s="406">
        <f t="shared" si="12"/>
        <v>0</v>
      </c>
      <c r="H123" s="406">
        <f t="shared" si="12"/>
        <v>0</v>
      </c>
      <c r="I123" s="406">
        <f t="shared" si="12"/>
        <v>0</v>
      </c>
    </row>
    <row r="124" spans="2:9" x14ac:dyDescent="0.2">
      <c r="C124" t="s">
        <v>550</v>
      </c>
      <c r="D124" s="86" t="s">
        <v>770</v>
      </c>
      <c r="E124" s="406">
        <v>0</v>
      </c>
      <c r="F124" s="406">
        <f t="shared" si="12"/>
        <v>0</v>
      </c>
      <c r="G124" s="406">
        <f t="shared" si="12"/>
        <v>0</v>
      </c>
      <c r="H124" s="406">
        <f t="shared" si="12"/>
        <v>0</v>
      </c>
      <c r="I124" s="406">
        <f t="shared" si="12"/>
        <v>0</v>
      </c>
    </row>
    <row r="125" spans="2:9" x14ac:dyDescent="0.2">
      <c r="C125" t="s">
        <v>549</v>
      </c>
      <c r="D125" s="86" t="s">
        <v>771</v>
      </c>
      <c r="E125" s="406">
        <v>0</v>
      </c>
      <c r="F125" s="406">
        <f t="shared" si="12"/>
        <v>0</v>
      </c>
      <c r="G125" s="406">
        <f t="shared" si="12"/>
        <v>0</v>
      </c>
      <c r="H125" s="406">
        <f t="shared" si="12"/>
        <v>0</v>
      </c>
      <c r="I125" s="406">
        <f t="shared" si="12"/>
        <v>0</v>
      </c>
    </row>
    <row r="126" spans="2:9" x14ac:dyDescent="0.2">
      <c r="C126" s="436" t="s">
        <v>796</v>
      </c>
      <c r="D126" s="94"/>
      <c r="E126" s="86" t="str">
        <f>E$14</f>
        <v>Year 1</v>
      </c>
      <c r="F126" s="86" t="str">
        <f>F$14</f>
        <v>Year 2</v>
      </c>
      <c r="G126" s="86" t="str">
        <f>G$14</f>
        <v>Year 3</v>
      </c>
      <c r="H126" s="86" t="str">
        <f>H$14</f>
        <v>Year 4</v>
      </c>
      <c r="I126" s="86" t="str">
        <f>I$14</f>
        <v>Year 5</v>
      </c>
    </row>
    <row r="127" spans="2:9" x14ac:dyDescent="0.2">
      <c r="C127" s="416" t="s">
        <v>822</v>
      </c>
      <c r="D127" s="94" t="s">
        <v>11</v>
      </c>
      <c r="E127" s="556">
        <f>E196+E226+E300</f>
        <v>0</v>
      </c>
      <c r="F127" s="556">
        <f>F196+F226+F300</f>
        <v>0</v>
      </c>
      <c r="G127" s="556">
        <f>G196+G226+G300</f>
        <v>0</v>
      </c>
      <c r="H127" s="556">
        <f>H196+H226+H300</f>
        <v>0</v>
      </c>
      <c r="I127" s="556">
        <f>I196+I226+I300</f>
        <v>0</v>
      </c>
    </row>
    <row r="128" spans="2:9" x14ac:dyDescent="0.2">
      <c r="C128" s="416" t="s">
        <v>787</v>
      </c>
      <c r="D128" s="94" t="s">
        <v>11</v>
      </c>
      <c r="E128" s="109">
        <f>IF(E195&gt;0,(E195/E127)*E125,0)</f>
        <v>0</v>
      </c>
      <c r="F128" s="109">
        <f>IF(F195&gt;0,(F195/F127)*F125,0)</f>
        <v>0</v>
      </c>
      <c r="G128" s="109">
        <f>IF(G195&gt;0,(G195/G127)*G125,0)</f>
        <v>0</v>
      </c>
      <c r="H128" s="109">
        <f>IF(H195&gt;0,(H195/H127)*H125,0)</f>
        <v>0</v>
      </c>
      <c r="I128" s="109">
        <f>IF(I195&gt;0,(I195/I127)*I125,0)</f>
        <v>0</v>
      </c>
    </row>
    <row r="129" spans="2:11" x14ac:dyDescent="0.2">
      <c r="C129" s="416" t="s">
        <v>308</v>
      </c>
      <c r="D129" s="94" t="s">
        <v>11</v>
      </c>
      <c r="E129" s="109">
        <f>IF(E225&gt;0,(E225/E127)*E125,0)</f>
        <v>0</v>
      </c>
      <c r="F129" s="109">
        <f>IF(F225&gt;0,(F225/F127)*F125,0)</f>
        <v>0</v>
      </c>
      <c r="G129" s="109">
        <f>IF(G225&gt;0,(G225/G127)*G125,0)</f>
        <v>0</v>
      </c>
      <c r="H129" s="109">
        <f>IF(H225&gt;0,(H225/H127)*H125,0)</f>
        <v>0</v>
      </c>
      <c r="I129" s="109">
        <f>IF(I225&gt;0,(I225/I127)*I125,0)</f>
        <v>0</v>
      </c>
    </row>
    <row r="130" spans="2:11" x14ac:dyDescent="0.2">
      <c r="C130" s="416" t="s">
        <v>706</v>
      </c>
      <c r="D130" s="94" t="s">
        <v>11</v>
      </c>
      <c r="E130" s="109">
        <f>IF(E299&gt;0,(E299/E127)*E125,0)</f>
        <v>0</v>
      </c>
      <c r="F130" s="109">
        <f>IF(F299&gt;0,(F299/F127)*F125,0)</f>
        <v>0</v>
      </c>
      <c r="G130" s="109">
        <f>IF(G299&gt;0,(G299/G127)*G125,0)</f>
        <v>0</v>
      </c>
      <c r="H130" s="109">
        <f>IF(H299&gt;0,(H299/H127)*H125,0)</f>
        <v>0</v>
      </c>
      <c r="I130" s="109">
        <f>IF(I299&gt;0,(I299/I127)*I125,0)</f>
        <v>0</v>
      </c>
    </row>
    <row r="131" spans="2:11" ht="9.9499999999999993" customHeight="1" x14ac:dyDescent="0.2"/>
    <row r="132" spans="2:11" x14ac:dyDescent="0.2">
      <c r="B132" s="68" t="s">
        <v>19</v>
      </c>
      <c r="E132" s="86" t="s">
        <v>1</v>
      </c>
      <c r="F132" s="86" t="s">
        <v>1</v>
      </c>
      <c r="G132" s="86" t="s">
        <v>1</v>
      </c>
      <c r="H132" s="86" t="s">
        <v>1</v>
      </c>
      <c r="I132" s="86" t="s">
        <v>1</v>
      </c>
    </row>
    <row r="133" spans="2:11" x14ac:dyDescent="0.2">
      <c r="C133" s="68" t="s">
        <v>262</v>
      </c>
      <c r="D133" s="94"/>
      <c r="E133" s="86" t="str">
        <f>E$14</f>
        <v>Year 1</v>
      </c>
      <c r="F133" s="86" t="str">
        <f>F$14</f>
        <v>Year 2</v>
      </c>
      <c r="G133" s="86" t="str">
        <f>G$14</f>
        <v>Year 3</v>
      </c>
      <c r="H133" s="86" t="str">
        <f>H$14</f>
        <v>Year 4</v>
      </c>
      <c r="I133" s="86" t="str">
        <f>I$14</f>
        <v>Year 5</v>
      </c>
    </row>
    <row r="134" spans="2:11" x14ac:dyDescent="0.2">
      <c r="C134" s="5" t="s">
        <v>260</v>
      </c>
      <c r="D134" s="86" t="s">
        <v>68</v>
      </c>
      <c r="E134" s="414">
        <v>112</v>
      </c>
      <c r="F134" s="414">
        <f t="shared" ref="F134:I138" si="13">E134</f>
        <v>112</v>
      </c>
      <c r="G134" s="414">
        <f t="shared" si="13"/>
        <v>112</v>
      </c>
      <c r="H134" s="414">
        <f t="shared" si="13"/>
        <v>112</v>
      </c>
      <c r="I134" s="414">
        <f t="shared" si="13"/>
        <v>112</v>
      </c>
    </row>
    <row r="135" spans="2:11" x14ac:dyDescent="0.2">
      <c r="C135" s="1027" t="s">
        <v>911</v>
      </c>
      <c r="D135" s="86"/>
      <c r="E135" s="41" t="s">
        <v>20</v>
      </c>
      <c r="F135" s="41" t="s">
        <v>20</v>
      </c>
      <c r="G135" s="41" t="s">
        <v>20</v>
      </c>
      <c r="H135" s="41" t="s">
        <v>20</v>
      </c>
      <c r="I135" s="41" t="s">
        <v>20</v>
      </c>
    </row>
    <row r="136" spans="2:11" x14ac:dyDescent="0.2">
      <c r="C136" t="s">
        <v>14</v>
      </c>
      <c r="D136" s="86" t="s">
        <v>73</v>
      </c>
      <c r="E136" s="415">
        <v>1.5</v>
      </c>
      <c r="F136" s="415">
        <f t="shared" si="13"/>
        <v>1.5</v>
      </c>
      <c r="G136" s="415">
        <f t="shared" si="13"/>
        <v>1.5</v>
      </c>
      <c r="H136" s="415">
        <f t="shared" si="13"/>
        <v>1.5</v>
      </c>
      <c r="I136" s="415">
        <f t="shared" si="13"/>
        <v>1.5</v>
      </c>
      <c r="K136" s="68" t="s">
        <v>913</v>
      </c>
    </row>
    <row r="137" spans="2:11" x14ac:dyDescent="0.2">
      <c r="C137" t="s">
        <v>152</v>
      </c>
      <c r="D137" s="86" t="s">
        <v>74</v>
      </c>
      <c r="E137" s="415">
        <v>2.8</v>
      </c>
      <c r="F137" s="415">
        <f t="shared" si="13"/>
        <v>2.8</v>
      </c>
      <c r="G137" s="415">
        <f t="shared" si="13"/>
        <v>2.8</v>
      </c>
      <c r="H137" s="415">
        <f t="shared" si="13"/>
        <v>2.8</v>
      </c>
      <c r="I137" s="415">
        <f t="shared" si="13"/>
        <v>2.8</v>
      </c>
      <c r="K137" t="s">
        <v>914</v>
      </c>
    </row>
    <row r="138" spans="2:11" x14ac:dyDescent="0.2">
      <c r="C138" t="str">
        <f>C110</f>
        <v>Creep Feed - Lambs ($/tonne)</v>
      </c>
      <c r="D138" s="86" t="s">
        <v>75</v>
      </c>
      <c r="E138" s="415">
        <v>0</v>
      </c>
      <c r="F138" s="415">
        <f t="shared" si="13"/>
        <v>0</v>
      </c>
      <c r="G138" s="415">
        <f t="shared" si="13"/>
        <v>0</v>
      </c>
      <c r="H138" s="415">
        <f t="shared" si="13"/>
        <v>0</v>
      </c>
      <c r="I138" s="415">
        <f t="shared" si="13"/>
        <v>0</v>
      </c>
      <c r="K138" t="s">
        <v>915</v>
      </c>
    </row>
    <row r="139" spans="2:11" x14ac:dyDescent="0.2">
      <c r="C139" t="s">
        <v>743</v>
      </c>
      <c r="D139" s="86" t="s">
        <v>76</v>
      </c>
      <c r="E139" s="415">
        <v>0</v>
      </c>
      <c r="F139" s="415">
        <f>E139</f>
        <v>0</v>
      </c>
      <c r="G139" s="415">
        <f>F139</f>
        <v>0</v>
      </c>
      <c r="H139" s="415">
        <f>G139</f>
        <v>0</v>
      </c>
      <c r="I139" s="415">
        <f>H139</f>
        <v>0</v>
      </c>
      <c r="K139" t="s">
        <v>916</v>
      </c>
    </row>
    <row r="140" spans="2:11" x14ac:dyDescent="0.2">
      <c r="C140" t="s">
        <v>15</v>
      </c>
      <c r="D140" s="86" t="s">
        <v>77</v>
      </c>
      <c r="E140" s="415">
        <v>0</v>
      </c>
      <c r="F140" s="415">
        <f t="shared" ref="F140:I145" si="14">E140</f>
        <v>0</v>
      </c>
      <c r="G140" s="415">
        <f t="shared" si="14"/>
        <v>0</v>
      </c>
      <c r="H140" s="415">
        <f t="shared" si="14"/>
        <v>0</v>
      </c>
      <c r="I140" s="415">
        <f t="shared" si="14"/>
        <v>0</v>
      </c>
    </row>
    <row r="141" spans="2:11" x14ac:dyDescent="0.2">
      <c r="C141" t="s">
        <v>16</v>
      </c>
      <c r="D141" s="86" t="s">
        <v>88</v>
      </c>
      <c r="E141" s="415">
        <v>0</v>
      </c>
      <c r="F141" s="415">
        <f t="shared" si="14"/>
        <v>0</v>
      </c>
      <c r="G141" s="415">
        <f t="shared" si="14"/>
        <v>0</v>
      </c>
      <c r="H141" s="415">
        <f t="shared" si="14"/>
        <v>0</v>
      </c>
      <c r="I141" s="415">
        <f t="shared" si="14"/>
        <v>0</v>
      </c>
      <c r="K141" s="68" t="s">
        <v>919</v>
      </c>
    </row>
    <row r="142" spans="2:11" x14ac:dyDescent="0.2">
      <c r="C142" t="s">
        <v>371</v>
      </c>
      <c r="D142" s="86" t="s">
        <v>89</v>
      </c>
      <c r="E142" s="415">
        <v>0.02</v>
      </c>
      <c r="F142" s="415">
        <f t="shared" si="14"/>
        <v>0.02</v>
      </c>
      <c r="G142" s="415">
        <f t="shared" si="14"/>
        <v>0.02</v>
      </c>
      <c r="H142" s="415">
        <f t="shared" si="14"/>
        <v>0.02</v>
      </c>
      <c r="I142" s="415">
        <f t="shared" si="14"/>
        <v>0.02</v>
      </c>
      <c r="K142" t="s">
        <v>917</v>
      </c>
    </row>
    <row r="143" spans="2:11" x14ac:dyDescent="0.2">
      <c r="C143" t="s">
        <v>45</v>
      </c>
      <c r="D143" s="86" t="s">
        <v>90</v>
      </c>
      <c r="E143" s="415">
        <v>0</v>
      </c>
      <c r="F143" s="415">
        <f t="shared" si="14"/>
        <v>0</v>
      </c>
      <c r="G143" s="415">
        <f t="shared" si="14"/>
        <v>0</v>
      </c>
      <c r="H143" s="415">
        <f t="shared" si="14"/>
        <v>0</v>
      </c>
      <c r="I143" s="415">
        <f t="shared" si="14"/>
        <v>0</v>
      </c>
      <c r="K143" t="s">
        <v>918</v>
      </c>
    </row>
    <row r="144" spans="2:11" x14ac:dyDescent="0.2">
      <c r="C144" t="str">
        <f>C117</f>
        <v>corn silage</v>
      </c>
      <c r="D144" s="86" t="s">
        <v>91</v>
      </c>
      <c r="E144" s="415">
        <v>0</v>
      </c>
      <c r="F144" s="415">
        <f t="shared" si="14"/>
        <v>0</v>
      </c>
      <c r="G144" s="415">
        <f t="shared" si="14"/>
        <v>0</v>
      </c>
      <c r="H144" s="415">
        <f t="shared" si="14"/>
        <v>0</v>
      </c>
      <c r="I144" s="415">
        <f t="shared" si="14"/>
        <v>0</v>
      </c>
      <c r="K144" t="s">
        <v>916</v>
      </c>
    </row>
    <row r="145" spans="3:13" x14ac:dyDescent="0.2">
      <c r="C145" t="str">
        <f>C118</f>
        <v>Other - 2  (other 1-4 can be changed where)</v>
      </c>
      <c r="D145" s="86" t="s">
        <v>92</v>
      </c>
      <c r="E145" s="415">
        <v>0</v>
      </c>
      <c r="F145" s="415">
        <f t="shared" si="14"/>
        <v>0</v>
      </c>
      <c r="G145" s="415">
        <f t="shared" ref="G145:I147" si="15">F145</f>
        <v>0</v>
      </c>
      <c r="H145" s="415">
        <f t="shared" si="15"/>
        <v>0</v>
      </c>
      <c r="I145" s="415">
        <f t="shared" si="15"/>
        <v>0</v>
      </c>
      <c r="M145" s="623"/>
    </row>
    <row r="146" spans="3:13" x14ac:dyDescent="0.2">
      <c r="C146" t="str">
        <f>C119</f>
        <v>Other - 3   (feed ingredients first listed/priced)</v>
      </c>
      <c r="D146" s="86" t="s">
        <v>93</v>
      </c>
      <c r="E146" s="415">
        <v>0</v>
      </c>
      <c r="F146" s="415">
        <f>E146</f>
        <v>0</v>
      </c>
      <c r="G146" s="415">
        <f t="shared" si="15"/>
        <v>0</v>
      </c>
      <c r="H146" s="415">
        <f t="shared" si="15"/>
        <v>0</v>
      </c>
      <c r="I146" s="415">
        <f t="shared" si="15"/>
        <v>0</v>
      </c>
      <c r="K146" s="1134" t="s">
        <v>931</v>
      </c>
      <c r="L146" s="1135"/>
    </row>
    <row r="147" spans="3:13" x14ac:dyDescent="0.2">
      <c r="C147" t="str">
        <f>C120</f>
        <v>Other - 4</v>
      </c>
      <c r="D147" s="86" t="s">
        <v>94</v>
      </c>
      <c r="E147" s="415">
        <v>0</v>
      </c>
      <c r="F147" s="415">
        <f>E147</f>
        <v>0</v>
      </c>
      <c r="G147" s="415">
        <f t="shared" si="15"/>
        <v>0</v>
      </c>
      <c r="H147" s="415">
        <f t="shared" si="15"/>
        <v>0</v>
      </c>
      <c r="I147" s="415">
        <f t="shared" si="15"/>
        <v>0</v>
      </c>
      <c r="K147" s="1136">
        <f>((70*3)+(42*2.5))/112</f>
        <v>2.8125</v>
      </c>
      <c r="L147" s="1137" t="s">
        <v>932</v>
      </c>
    </row>
    <row r="148" spans="3:13" x14ac:dyDescent="0.2">
      <c r="C148" s="434" t="s">
        <v>151</v>
      </c>
      <c r="D148" s="94" t="s">
        <v>11</v>
      </c>
      <c r="E148" s="109">
        <f>(E136/(2204.62))*E$108+(E137/2204.62)*E$109+(E138/2204.62)*E$110+(E139/2204.62)*E$111+(E140/2204.62)*E$112+(E141/2204.62)*E$113+(E142/2204.62)*E$114+(E143/2204.62)*E$115+(E144/2204.62)*E$117+(E145/2204.62)*E$118+(E146/2204.62)*$E119+(E147/2204.62)*E$120</f>
        <v>0.41440248206040042</v>
      </c>
      <c r="F148" s="109">
        <f>(F136/(2204.62))*F$108+(F137/2204.62)*F$109+(F138/2204.62)*F$110+(F139/2204.62)*F$111+(F140/2204.62)*F$112+(F141/2204.62)*F$113+(F142/2204.62)*F$114+(F143/2204.62)*F$115+(F144/2204.62)*F$117+(F145/2204.62)*F$118+(F146/2204.62)*$E119+(F147/2204.62)*F$120</f>
        <v>0.41440248206040042</v>
      </c>
      <c r="G148" s="109">
        <f>(G136/(2204.62))*G$108+(G137/2204.62)*G$109+(G138/2204.62)*G$110+(G139/2204.62)*G$111+(G140/2204.62)*G$112+(G141/2204.62)*G$113+(G142/2204.62)*G$114+(G143/2204.62)*G$115+(G144/2204.62)*G$117+(G145/2204.62)*G$118+(G146/2204.62)*$E119+(G147/2204.62)*G$120</f>
        <v>0.41440248206040042</v>
      </c>
      <c r="H148" s="109">
        <f>(H136/(2204.62))*H$108+(H137/2204.62)*H$109+(H138/2204.62)*H$110+(H139/2204.62)*H$111+(H140/2204.62)*H$112+(H141/2204.62)*H$113+(H142/2204.62)*H$114+(H143/2204.62)*H$115+(H144/2204.62)*H$117+(H145/2204.62)*H$118+(H146/2204.62)*$E119+(H147/2204.62)*H$120</f>
        <v>0.41440248206040042</v>
      </c>
      <c r="I148" s="109">
        <f>(I136/(2204.62))*I$108+(I137/2204.62)*I$109+(I138/2204.62)*I$110+(I139/2204.62)*I$111+(I140/2204.62)*I$112+(I141/2204.62)*I$113+(I142/2204.62)*I$114+(I143/2204.62)*I$115+(I144/2204.62)*I$117+(I145/2204.62)*I$118+(I146/2204.62)*$E119+(I147/2204.62)*I$120</f>
        <v>0.41440248206040042</v>
      </c>
      <c r="K148" s="1136">
        <f>((70*1)+(42*2.25))/112</f>
        <v>1.46875</v>
      </c>
      <c r="L148" s="1137" t="s">
        <v>933</v>
      </c>
    </row>
    <row r="149" spans="3:13" x14ac:dyDescent="0.2">
      <c r="C149" s="434" t="s">
        <v>873</v>
      </c>
      <c r="D149" s="94" t="s">
        <v>11</v>
      </c>
      <c r="E149" s="109">
        <f>E134*E148</f>
        <v>46.413077990764847</v>
      </c>
      <c r="F149" s="109">
        <f>F134*F148</f>
        <v>46.413077990764847</v>
      </c>
      <c r="G149" s="109">
        <f>G134*G148</f>
        <v>46.413077990764847</v>
      </c>
      <c r="H149" s="109">
        <f>H134*H148</f>
        <v>46.413077990764847</v>
      </c>
      <c r="I149" s="109">
        <f>I134*I148</f>
        <v>46.413077990764847</v>
      </c>
      <c r="K149" s="1138">
        <v>0.02</v>
      </c>
      <c r="L149" s="1139" t="s">
        <v>934</v>
      </c>
    </row>
    <row r="150" spans="3:13" ht="9.9499999999999993" customHeight="1" x14ac:dyDescent="0.2">
      <c r="D150" s="94"/>
      <c r="E150" s="109"/>
      <c r="F150" s="109"/>
      <c r="G150" s="109"/>
      <c r="H150" s="109"/>
      <c r="I150" s="109"/>
    </row>
    <row r="151" spans="3:13" x14ac:dyDescent="0.2">
      <c r="C151" s="68" t="s">
        <v>262</v>
      </c>
      <c r="D151" s="94"/>
      <c r="E151" s="86" t="str">
        <f>E$14</f>
        <v>Year 1</v>
      </c>
      <c r="F151" s="86" t="str">
        <f>F$14</f>
        <v>Year 2</v>
      </c>
      <c r="G151" s="86" t="str">
        <f>G$14</f>
        <v>Year 3</v>
      </c>
      <c r="H151" s="86" t="str">
        <f>H$14</f>
        <v>Year 4</v>
      </c>
      <c r="I151" s="86" t="str">
        <f>I$14</f>
        <v>Year 5</v>
      </c>
    </row>
    <row r="152" spans="3:13" x14ac:dyDescent="0.2">
      <c r="C152" s="5" t="s">
        <v>261</v>
      </c>
      <c r="D152" s="86" t="s">
        <v>95</v>
      </c>
      <c r="E152" s="414">
        <v>84</v>
      </c>
      <c r="F152" s="414">
        <f>E152</f>
        <v>84</v>
      </c>
      <c r="G152" s="414">
        <f>F152</f>
        <v>84</v>
      </c>
      <c r="H152" s="414">
        <f>G152</f>
        <v>84</v>
      </c>
      <c r="I152" s="414">
        <f>H152</f>
        <v>84</v>
      </c>
    </row>
    <row r="153" spans="3:13" x14ac:dyDescent="0.2">
      <c r="C153" s="1027" t="s">
        <v>912</v>
      </c>
      <c r="D153" s="86"/>
      <c r="E153" s="41" t="s">
        <v>20</v>
      </c>
      <c r="F153" s="41" t="s">
        <v>20</v>
      </c>
      <c r="G153" s="41" t="s">
        <v>20</v>
      </c>
      <c r="H153" s="41" t="s">
        <v>20</v>
      </c>
      <c r="I153" s="41" t="s">
        <v>20</v>
      </c>
    </row>
    <row r="154" spans="3:13" x14ac:dyDescent="0.2">
      <c r="C154" t="str">
        <f>C136</f>
        <v>Barley</v>
      </c>
      <c r="D154" s="86" t="s">
        <v>97</v>
      </c>
      <c r="E154" s="415">
        <v>2.125</v>
      </c>
      <c r="F154" s="415">
        <f t="shared" ref="F154:I165" si="16">E154</f>
        <v>2.125</v>
      </c>
      <c r="G154" s="415">
        <f t="shared" si="16"/>
        <v>2.125</v>
      </c>
      <c r="H154" s="415">
        <f t="shared" si="16"/>
        <v>2.125</v>
      </c>
      <c r="I154" s="415">
        <f t="shared" si="16"/>
        <v>2.125</v>
      </c>
      <c r="K154" s="68" t="s">
        <v>920</v>
      </c>
    </row>
    <row r="155" spans="3:13" x14ac:dyDescent="0.2">
      <c r="C155" t="str">
        <f>C137</f>
        <v>Hay</v>
      </c>
      <c r="D155" s="86" t="s">
        <v>99</v>
      </c>
      <c r="E155" s="415">
        <v>3</v>
      </c>
      <c r="F155" s="415">
        <f t="shared" si="16"/>
        <v>3</v>
      </c>
      <c r="G155" s="415">
        <f t="shared" si="16"/>
        <v>3</v>
      </c>
      <c r="H155" s="415">
        <f t="shared" si="16"/>
        <v>3</v>
      </c>
      <c r="I155" s="415">
        <f t="shared" si="16"/>
        <v>3</v>
      </c>
      <c r="K155" s="623" t="s">
        <v>921</v>
      </c>
    </row>
    <row r="156" spans="3:13" x14ac:dyDescent="0.2">
      <c r="C156" t="str">
        <f>C110</f>
        <v>Creep Feed - Lambs ($/tonne)</v>
      </c>
      <c r="D156" s="86" t="s">
        <v>100</v>
      </c>
      <c r="E156" s="415">
        <v>0</v>
      </c>
      <c r="F156" s="415">
        <f t="shared" si="16"/>
        <v>0</v>
      </c>
      <c r="G156" s="415">
        <f t="shared" si="16"/>
        <v>0</v>
      </c>
      <c r="H156" s="415">
        <f t="shared" si="16"/>
        <v>0</v>
      </c>
      <c r="I156" s="415">
        <f t="shared" si="16"/>
        <v>0</v>
      </c>
      <c r="K156" s="623" t="s">
        <v>918</v>
      </c>
    </row>
    <row r="157" spans="3:13" x14ac:dyDescent="0.2">
      <c r="C157" t="s">
        <v>743</v>
      </c>
      <c r="D157" s="86" t="s">
        <v>101</v>
      </c>
      <c r="E157" s="415">
        <v>0</v>
      </c>
      <c r="F157" s="415">
        <f t="shared" si="16"/>
        <v>0</v>
      </c>
      <c r="G157" s="415">
        <f t="shared" si="16"/>
        <v>0</v>
      </c>
      <c r="H157" s="415">
        <f t="shared" si="16"/>
        <v>0</v>
      </c>
      <c r="I157" s="415">
        <f t="shared" si="16"/>
        <v>0</v>
      </c>
      <c r="K157" s="623" t="s">
        <v>916</v>
      </c>
    </row>
    <row r="158" spans="3:13" x14ac:dyDescent="0.2">
      <c r="C158" t="str">
        <f t="shared" ref="C158:C165" si="17">C140</f>
        <v>Straw</v>
      </c>
      <c r="D158" s="86" t="s">
        <v>102</v>
      </c>
      <c r="E158" s="415">
        <v>0</v>
      </c>
      <c r="F158" s="415">
        <f t="shared" si="16"/>
        <v>0</v>
      </c>
      <c r="G158" s="415">
        <f t="shared" si="16"/>
        <v>0</v>
      </c>
      <c r="H158" s="415">
        <f t="shared" si="16"/>
        <v>0</v>
      </c>
      <c r="I158" s="415">
        <f t="shared" si="16"/>
        <v>0</v>
      </c>
    </row>
    <row r="159" spans="3:13" x14ac:dyDescent="0.2">
      <c r="C159" t="str">
        <f t="shared" si="17"/>
        <v>Supplements</v>
      </c>
      <c r="D159" s="86" t="s">
        <v>103</v>
      </c>
      <c r="E159" s="415">
        <v>0</v>
      </c>
      <c r="F159" s="415">
        <f t="shared" si="16"/>
        <v>0</v>
      </c>
      <c r="G159" s="415">
        <f t="shared" si="16"/>
        <v>0</v>
      </c>
      <c r="H159" s="415">
        <f t="shared" si="16"/>
        <v>0</v>
      </c>
      <c r="I159" s="415">
        <f t="shared" si="16"/>
        <v>0</v>
      </c>
      <c r="K159" s="68" t="s">
        <v>922</v>
      </c>
    </row>
    <row r="160" spans="3:13" x14ac:dyDescent="0.2">
      <c r="C160" t="str">
        <f t="shared" si="17"/>
        <v>Salt/Mineral Mix</v>
      </c>
      <c r="D160" s="86" t="s">
        <v>104</v>
      </c>
      <c r="E160" s="415">
        <v>0.02</v>
      </c>
      <c r="F160" s="415">
        <f t="shared" si="16"/>
        <v>0.02</v>
      </c>
      <c r="G160" s="415">
        <f t="shared" si="16"/>
        <v>0.02</v>
      </c>
      <c r="H160" s="415">
        <f t="shared" si="16"/>
        <v>0.02</v>
      </c>
      <c r="I160" s="415">
        <f t="shared" si="16"/>
        <v>0.02</v>
      </c>
      <c r="K160" s="623" t="s">
        <v>921</v>
      </c>
    </row>
    <row r="161" spans="3:12" x14ac:dyDescent="0.2">
      <c r="C161" t="str">
        <f t="shared" si="17"/>
        <v>Vitamins</v>
      </c>
      <c r="D161" s="86" t="s">
        <v>107</v>
      </c>
      <c r="E161" s="415">
        <v>0</v>
      </c>
      <c r="F161" s="415">
        <f t="shared" si="16"/>
        <v>0</v>
      </c>
      <c r="G161" s="415">
        <f t="shared" si="16"/>
        <v>0</v>
      </c>
      <c r="H161" s="415">
        <f t="shared" si="16"/>
        <v>0</v>
      </c>
      <c r="I161" s="415">
        <f t="shared" si="16"/>
        <v>0</v>
      </c>
      <c r="K161" s="623" t="s">
        <v>923</v>
      </c>
    </row>
    <row r="162" spans="3:12" x14ac:dyDescent="0.2">
      <c r="C162" t="str">
        <f t="shared" si="17"/>
        <v>corn silage</v>
      </c>
      <c r="D162" s="86" t="s">
        <v>108</v>
      </c>
      <c r="E162" s="415">
        <v>0</v>
      </c>
      <c r="F162" s="415">
        <f t="shared" si="16"/>
        <v>0</v>
      </c>
      <c r="G162" s="415">
        <f t="shared" si="16"/>
        <v>0</v>
      </c>
      <c r="H162" s="415">
        <f t="shared" si="16"/>
        <v>0</v>
      </c>
      <c r="I162" s="415">
        <f t="shared" si="16"/>
        <v>0</v>
      </c>
      <c r="K162" s="623" t="s">
        <v>916</v>
      </c>
    </row>
    <row r="163" spans="3:12" x14ac:dyDescent="0.2">
      <c r="C163" t="str">
        <f t="shared" si="17"/>
        <v>Other - 2  (other 1-4 can be changed where)</v>
      </c>
      <c r="D163" s="86" t="s">
        <v>109</v>
      </c>
      <c r="E163" s="415">
        <v>0</v>
      </c>
      <c r="F163" s="415">
        <f t="shared" si="16"/>
        <v>0</v>
      </c>
      <c r="G163" s="415">
        <f t="shared" si="16"/>
        <v>0</v>
      </c>
      <c r="H163" s="415">
        <f t="shared" si="16"/>
        <v>0</v>
      </c>
      <c r="I163" s="415">
        <f t="shared" si="16"/>
        <v>0</v>
      </c>
      <c r="K163" s="1134" t="s">
        <v>935</v>
      </c>
      <c r="L163" s="1135"/>
    </row>
    <row r="164" spans="3:12" x14ac:dyDescent="0.2">
      <c r="C164" t="str">
        <f t="shared" si="17"/>
        <v>Other - 3   (feed ingredients first listed/priced)</v>
      </c>
      <c r="D164" s="86" t="s">
        <v>126</v>
      </c>
      <c r="E164" s="415">
        <v>0</v>
      </c>
      <c r="F164" s="415">
        <f t="shared" si="16"/>
        <v>0</v>
      </c>
      <c r="G164" s="415">
        <f t="shared" si="16"/>
        <v>0</v>
      </c>
      <c r="H164" s="415">
        <f t="shared" si="16"/>
        <v>0</v>
      </c>
      <c r="I164" s="415">
        <f t="shared" si="16"/>
        <v>0</v>
      </c>
      <c r="K164" s="1136">
        <f>((42*3)+(42*3))/84</f>
        <v>3</v>
      </c>
      <c r="L164" s="1137" t="s">
        <v>932</v>
      </c>
    </row>
    <row r="165" spans="3:12" x14ac:dyDescent="0.2">
      <c r="C165" t="str">
        <f t="shared" si="17"/>
        <v>Other - 4</v>
      </c>
      <c r="D165" s="86" t="s">
        <v>127</v>
      </c>
      <c r="E165" s="415">
        <v>0</v>
      </c>
      <c r="F165" s="415">
        <f t="shared" si="16"/>
        <v>0</v>
      </c>
      <c r="G165" s="415">
        <f t="shared" si="16"/>
        <v>0</v>
      </c>
      <c r="H165" s="415">
        <f t="shared" si="16"/>
        <v>0</v>
      </c>
      <c r="I165" s="415">
        <f t="shared" si="16"/>
        <v>0</v>
      </c>
      <c r="K165" s="1136">
        <f>((42*2.25)+(42*2))/84</f>
        <v>2.125</v>
      </c>
      <c r="L165" s="1137" t="s">
        <v>933</v>
      </c>
    </row>
    <row r="166" spans="3:12" x14ac:dyDescent="0.2">
      <c r="C166" s="434" t="s">
        <v>151</v>
      </c>
      <c r="D166" s="94" t="s">
        <v>11</v>
      </c>
      <c r="E166" s="110">
        <f>(E154/(2204.62))*E$108+(E155/2204.62)*E$109+(E156/2204.62)*E$110+(E157/2204.62)*E$111+(E158/2204.62)*E$112+(E159/2204.62)*E$113+(E160/2204.62)*E$114+(E161/2204.62)*E$115+(E162/2204.62)*E$117+(E163/2204.62)*E$118+(E164/2204.62)*E$119+(E165/2204.62)*E$120</f>
        <v>0.50398708167393924</v>
      </c>
      <c r="F166" s="110">
        <f>(F154/(2204.62))*F$108+(F155/2204.62)*F$109+(F156/2204.62)*F$110+(F157/2204.62)*F$111+(F158/2204.62)*F$112+(F159/2204.62)*F$113+(F160/2204.62)*F$114+(F161/2204.62)*F$115+(F162/2204.62)*F$117+(F163/2204.62)*F$118+(F164/2204.62)*F$119+(F165/2204.62)*F$120</f>
        <v>0.50398708167393924</v>
      </c>
      <c r="G166" s="110">
        <f>(G154/(2204.62))*G$108+(G155/2204.62)*G$109+(G156/2204.62)*G$110+(G157/2204.62)*G$111+(G158/2204.62)*G$112+(G159/2204.62)*G$113+(G160/2204.62)*G$114+(G161/2204.62)*G$115+(G162/2204.62)*G$117+(G163/2204.62)*G$118+(G164/2204.62)*G$119+(G165/2204.62)*G$120</f>
        <v>0.50398708167393924</v>
      </c>
      <c r="H166" s="110">
        <f>(H154/(2204.62))*H$108+(H155/2204.62)*H$109+(H156/2204.62)*H$110+(H157/2204.62)*H$111+(H158/2204.62)*H$112+(H159/2204.62)*H$113+(H160/2204.62)*H$114+(H161/2204.62)*H$115+(H162/2204.62)*H$117+(H163/2204.62)*H$118+(H164/2204.62)*H$119+(H165/2204.62)*H$120</f>
        <v>0.50398708167393924</v>
      </c>
      <c r="I166" s="110">
        <f>(I154/(2204.62))*I$108+(I155/2204.62)*I$109+(I156/2204.62)*I$110+(I157/2204.62)*I$111+(I158/2204.62)*I$112+(I159/2204.62)*I$113+(I160/2204.62)*I$114+(I161/2204.62)*I$115+(I162/2204.62)*I$117+(I163/2204.62)*I$118+(I164/2204.62)*I$119+(I165/2204.62)*I$120</f>
        <v>0.50398708167393924</v>
      </c>
      <c r="K166" s="1138">
        <v>0.02</v>
      </c>
      <c r="L166" s="1139" t="s">
        <v>934</v>
      </c>
    </row>
    <row r="167" spans="3:12" x14ac:dyDescent="0.2">
      <c r="C167" s="434" t="s">
        <v>873</v>
      </c>
      <c r="D167" s="94" t="s">
        <v>11</v>
      </c>
      <c r="E167" s="109">
        <f>E152*E166</f>
        <v>42.334914860610894</v>
      </c>
      <c r="F167" s="109">
        <f>F152*F166</f>
        <v>42.334914860610894</v>
      </c>
      <c r="G167" s="109">
        <f>G152*G166</f>
        <v>42.334914860610894</v>
      </c>
      <c r="H167" s="109">
        <f>H152*H166</f>
        <v>42.334914860610894</v>
      </c>
      <c r="I167" s="109">
        <f>I152*I166</f>
        <v>42.334914860610894</v>
      </c>
    </row>
    <row r="168" spans="3:12" ht="9.9499999999999993" customHeight="1" x14ac:dyDescent="0.2">
      <c r="D168" s="94"/>
      <c r="E168" s="109"/>
      <c r="F168" s="109"/>
      <c r="G168" s="109"/>
      <c r="H168" s="109"/>
      <c r="I168" s="109"/>
    </row>
    <row r="169" spans="3:12" x14ac:dyDescent="0.2">
      <c r="C169" s="68" t="s">
        <v>262</v>
      </c>
      <c r="D169" s="94"/>
      <c r="E169" s="86" t="str">
        <f>E$14</f>
        <v>Year 1</v>
      </c>
      <c r="F169" s="86" t="str">
        <f>F$14</f>
        <v>Year 2</v>
      </c>
      <c r="G169" s="86" t="str">
        <f>G$14</f>
        <v>Year 3</v>
      </c>
      <c r="H169" s="86" t="str">
        <f>H$14</f>
        <v>Year 4</v>
      </c>
      <c r="I169" s="86" t="str">
        <f>I$14</f>
        <v>Year 5</v>
      </c>
    </row>
    <row r="170" spans="3:12" x14ac:dyDescent="0.2">
      <c r="C170" s="5" t="s">
        <v>261</v>
      </c>
      <c r="D170" s="86" t="s">
        <v>128</v>
      </c>
      <c r="E170" s="414">
        <v>37</v>
      </c>
      <c r="F170" s="414">
        <f>E170</f>
        <v>37</v>
      </c>
      <c r="G170" s="414">
        <f>F170</f>
        <v>37</v>
      </c>
      <c r="H170" s="414">
        <f>G170</f>
        <v>37</v>
      </c>
      <c r="I170" s="414">
        <f>H170</f>
        <v>37</v>
      </c>
    </row>
    <row r="171" spans="3:12" x14ac:dyDescent="0.2">
      <c r="C171" s="1027" t="s">
        <v>874</v>
      </c>
      <c r="D171" s="86"/>
      <c r="E171" s="41" t="s">
        <v>20</v>
      </c>
      <c r="F171" s="41" t="s">
        <v>20</v>
      </c>
      <c r="G171" s="41" t="s">
        <v>20</v>
      </c>
      <c r="H171" s="41" t="s">
        <v>20</v>
      </c>
      <c r="I171" s="41" t="s">
        <v>20</v>
      </c>
    </row>
    <row r="172" spans="3:12" x14ac:dyDescent="0.2">
      <c r="C172" t="str">
        <f>C136</f>
        <v>Barley</v>
      </c>
      <c r="D172" s="86" t="s">
        <v>129</v>
      </c>
      <c r="E172" s="415">
        <v>0.5</v>
      </c>
      <c r="F172" s="415">
        <f t="shared" ref="F172:I181" si="18">E172</f>
        <v>0.5</v>
      </c>
      <c r="G172" s="415">
        <f t="shared" si="18"/>
        <v>0.5</v>
      </c>
      <c r="H172" s="415">
        <f t="shared" si="18"/>
        <v>0.5</v>
      </c>
      <c r="I172" s="415">
        <f t="shared" si="18"/>
        <v>0.5</v>
      </c>
      <c r="K172" s="68" t="s">
        <v>924</v>
      </c>
    </row>
    <row r="173" spans="3:12" x14ac:dyDescent="0.2">
      <c r="C173" t="str">
        <f>C137</f>
        <v>Hay</v>
      </c>
      <c r="D173" s="86" t="s">
        <v>130</v>
      </c>
      <c r="E173" s="415">
        <v>3</v>
      </c>
      <c r="F173" s="415">
        <f>E173</f>
        <v>3</v>
      </c>
      <c r="G173" s="415">
        <f>F173</f>
        <v>3</v>
      </c>
      <c r="H173" s="415">
        <f>G173</f>
        <v>3</v>
      </c>
      <c r="I173" s="415">
        <f>H173</f>
        <v>3</v>
      </c>
      <c r="K173" s="623" t="s">
        <v>921</v>
      </c>
    </row>
    <row r="174" spans="3:12" x14ac:dyDescent="0.2">
      <c r="C174" t="str">
        <f>C138</f>
        <v>Creep Feed - Lambs ($/tonne)</v>
      </c>
      <c r="D174" s="86" t="s">
        <v>131</v>
      </c>
      <c r="E174" s="415">
        <v>0</v>
      </c>
      <c r="F174" s="415">
        <f t="shared" si="18"/>
        <v>0</v>
      </c>
      <c r="G174" s="415">
        <f t="shared" si="18"/>
        <v>0</v>
      </c>
      <c r="H174" s="415">
        <f t="shared" si="18"/>
        <v>0</v>
      </c>
      <c r="I174" s="415">
        <f t="shared" si="18"/>
        <v>0</v>
      </c>
      <c r="K174" s="623" t="s">
        <v>925</v>
      </c>
    </row>
    <row r="175" spans="3:12" x14ac:dyDescent="0.2">
      <c r="C175" t="s">
        <v>743</v>
      </c>
      <c r="D175" s="86" t="s">
        <v>132</v>
      </c>
      <c r="E175" s="415">
        <v>0</v>
      </c>
      <c r="F175" s="415">
        <f t="shared" si="18"/>
        <v>0</v>
      </c>
      <c r="G175" s="415">
        <f t="shared" si="18"/>
        <v>0</v>
      </c>
      <c r="H175" s="415">
        <f t="shared" si="18"/>
        <v>0</v>
      </c>
      <c r="I175" s="415">
        <f t="shared" si="18"/>
        <v>0</v>
      </c>
      <c r="K175" s="623" t="s">
        <v>926</v>
      </c>
    </row>
    <row r="176" spans="3:12" x14ac:dyDescent="0.2">
      <c r="C176" t="str">
        <f t="shared" ref="C176:C183" si="19">C140</f>
        <v>Straw</v>
      </c>
      <c r="D176" s="86" t="s">
        <v>133</v>
      </c>
      <c r="E176" s="415">
        <v>0</v>
      </c>
      <c r="F176" s="415">
        <f t="shared" si="18"/>
        <v>0</v>
      </c>
      <c r="G176" s="415">
        <f t="shared" si="18"/>
        <v>0</v>
      </c>
      <c r="H176" s="415">
        <f t="shared" si="18"/>
        <v>0</v>
      </c>
      <c r="I176" s="415">
        <f t="shared" si="18"/>
        <v>0</v>
      </c>
    </row>
    <row r="177" spans="3:11" x14ac:dyDescent="0.2">
      <c r="C177" t="str">
        <f t="shared" si="19"/>
        <v>Supplements</v>
      </c>
      <c r="D177" s="86" t="s">
        <v>141</v>
      </c>
      <c r="E177" s="415">
        <v>0</v>
      </c>
      <c r="F177" s="415">
        <f t="shared" si="18"/>
        <v>0</v>
      </c>
      <c r="G177" s="415">
        <f t="shared" si="18"/>
        <v>0</v>
      </c>
      <c r="H177" s="415">
        <f t="shared" si="18"/>
        <v>0</v>
      </c>
      <c r="I177" s="415">
        <f t="shared" si="18"/>
        <v>0</v>
      </c>
    </row>
    <row r="178" spans="3:11" x14ac:dyDescent="0.2">
      <c r="C178" t="str">
        <f t="shared" si="19"/>
        <v>Salt/Mineral Mix</v>
      </c>
      <c r="D178" s="86" t="s">
        <v>142</v>
      </c>
      <c r="E178" s="415">
        <v>0.02</v>
      </c>
      <c r="F178" s="415">
        <f t="shared" si="18"/>
        <v>0.02</v>
      </c>
      <c r="G178" s="415">
        <f t="shared" si="18"/>
        <v>0.02</v>
      </c>
      <c r="H178" s="415">
        <f t="shared" si="18"/>
        <v>0.02</v>
      </c>
      <c r="I178" s="415">
        <f t="shared" si="18"/>
        <v>0.02</v>
      </c>
    </row>
    <row r="179" spans="3:11" x14ac:dyDescent="0.2">
      <c r="C179" t="str">
        <f t="shared" si="19"/>
        <v>Vitamins</v>
      </c>
      <c r="D179" s="86" t="s">
        <v>149</v>
      </c>
      <c r="E179" s="415">
        <v>0</v>
      </c>
      <c r="F179" s="415">
        <f t="shared" si="18"/>
        <v>0</v>
      </c>
      <c r="G179" s="415">
        <f t="shared" si="18"/>
        <v>0</v>
      </c>
      <c r="H179" s="415">
        <f t="shared" si="18"/>
        <v>0</v>
      </c>
      <c r="I179" s="415">
        <f t="shared" si="18"/>
        <v>0</v>
      </c>
    </row>
    <row r="180" spans="3:11" x14ac:dyDescent="0.2">
      <c r="C180" t="str">
        <f t="shared" si="19"/>
        <v>corn silage</v>
      </c>
      <c r="D180" s="86" t="s">
        <v>166</v>
      </c>
      <c r="E180" s="415">
        <v>0</v>
      </c>
      <c r="F180" s="415">
        <f t="shared" si="18"/>
        <v>0</v>
      </c>
      <c r="G180" s="415">
        <f t="shared" si="18"/>
        <v>0</v>
      </c>
      <c r="H180" s="415">
        <f t="shared" si="18"/>
        <v>0</v>
      </c>
      <c r="I180" s="415">
        <f t="shared" si="18"/>
        <v>0</v>
      </c>
      <c r="K180" s="68" t="s">
        <v>927</v>
      </c>
    </row>
    <row r="181" spans="3:11" x14ac:dyDescent="0.2">
      <c r="C181" t="str">
        <f t="shared" si="19"/>
        <v>Other - 2  (other 1-4 can be changed where)</v>
      </c>
      <c r="D181" s="86" t="s">
        <v>167</v>
      </c>
      <c r="E181" s="415">
        <v>0</v>
      </c>
      <c r="F181" s="415">
        <f t="shared" si="18"/>
        <v>0</v>
      </c>
      <c r="G181" s="415">
        <f t="shared" si="18"/>
        <v>0</v>
      </c>
      <c r="H181" s="415">
        <f t="shared" si="18"/>
        <v>0</v>
      </c>
      <c r="I181" s="415">
        <f t="shared" si="18"/>
        <v>0</v>
      </c>
    </row>
    <row r="182" spans="3:11" x14ac:dyDescent="0.2">
      <c r="C182" t="str">
        <f t="shared" si="19"/>
        <v>Other - 3   (feed ingredients first listed/priced)</v>
      </c>
      <c r="D182" s="86" t="s">
        <v>171</v>
      </c>
      <c r="E182" s="415">
        <v>0</v>
      </c>
      <c r="F182" s="415">
        <f t="shared" ref="F182:I183" si="20">E182</f>
        <v>0</v>
      </c>
      <c r="G182" s="415">
        <f t="shared" si="20"/>
        <v>0</v>
      </c>
      <c r="H182" s="415">
        <f t="shared" si="20"/>
        <v>0</v>
      </c>
      <c r="I182" s="415">
        <f t="shared" si="20"/>
        <v>0</v>
      </c>
    </row>
    <row r="183" spans="3:11" x14ac:dyDescent="0.2">
      <c r="C183" t="str">
        <f t="shared" si="19"/>
        <v>Other - 4</v>
      </c>
      <c r="D183" s="86" t="s">
        <v>188</v>
      </c>
      <c r="E183" s="415">
        <v>0</v>
      </c>
      <c r="F183" s="415">
        <f t="shared" si="20"/>
        <v>0</v>
      </c>
      <c r="G183" s="415">
        <f t="shared" si="20"/>
        <v>0</v>
      </c>
      <c r="H183" s="415">
        <f t="shared" si="20"/>
        <v>0</v>
      </c>
      <c r="I183" s="415">
        <f t="shared" si="20"/>
        <v>0</v>
      </c>
    </row>
    <row r="184" spans="3:11" x14ac:dyDescent="0.2">
      <c r="C184" s="434" t="s">
        <v>151</v>
      </c>
      <c r="D184" s="94" t="s">
        <v>11</v>
      </c>
      <c r="E184" s="110">
        <f>(E172/(2204.62))*E$108+(E173/2204.62)*E$109+(E174/2204.62)*E$110+(E175/2204.62)*E$111+(E176/2204.62)*E$112+(E177/2204.62)*E$113+(E178/2204.62)*E$114+(E179/2204.62)*E$115+(E180/2204.62)*E$117+(E181/2204.62)*E$118+(E182/2204.62)*E$119+(E183/2204.62)*E$120</f>
        <v>0.31234407743738152</v>
      </c>
      <c r="F184" s="110">
        <f>(F172/(2204.62))*F$108+(F173/2204.62)*F$109+(F174/2204.62)*F$110+(F175/2204.62)*F$111+(F176/2204.62)*F$112+(F177/2204.62)*F$113+(F178/2204.62)*F$114+(F179/2204.62)*F$115+(F180/2204.62)*F$117+(F181/2204.62)*F$118+(F182/2204.62)*F$119+(F183/2204.62)*F$120</f>
        <v>0.31234407743738152</v>
      </c>
      <c r="G184" s="110">
        <f>(G172/(2204.62))*G$108+(G173/2204.62)*G$109+(G174/2204.62)*G$110+(G175/2204.62)*G$111+(G176/2204.62)*G$112+(G177/2204.62)*G$113+(G178/2204.62)*G$114+(G179/2204.62)*G$115+(G180/2204.62)*G$117+(G181/2204.62)*G$118+(G182/2204.62)*G$119+(G183/2204.62)*G$120</f>
        <v>0.31234407743738152</v>
      </c>
      <c r="H184" s="110">
        <f>(H172/(2204.62))*H$108+(H173/2204.62)*H$109+(H174/2204.62)*H$110+(H175/2204.62)*H$111+(H176/2204.62)*H$112+(H177/2204.62)*H$113+(H178/2204.62)*H$114+(H179/2204.62)*H$115+(H180/2204.62)*H$117+(H181/2204.62)*H$118+(H182/2204.62)*H$119+(H183/2204.62)*H$120</f>
        <v>0.31234407743738152</v>
      </c>
      <c r="I184" s="110">
        <f>(I172/(2204.62))*I$108+(I173/2204.62)*I$109+(I174/2204.62)*I$110+(I175/2204.62)*I$111+(I176/2204.62)*I$112+(I177/2204.62)*I$113+(I178/2204.62)*I$114+(I179/2204.62)*I$115+(I180/2204.62)*I$117+(I181/2204.62)*I$118+(I182/2204.62)*I$119+(I183/2204.62)*I$120</f>
        <v>0.31234407743738152</v>
      </c>
    </row>
    <row r="185" spans="3:11" ht="13.5" thickBot="1" x14ac:dyDescent="0.25">
      <c r="C185" s="434" t="s">
        <v>873</v>
      </c>
      <c r="D185" s="94" t="s">
        <v>11</v>
      </c>
      <c r="E185" s="109">
        <f>E170*E184</f>
        <v>11.556730865183116</v>
      </c>
      <c r="F185" s="109">
        <f>F170*F184</f>
        <v>11.556730865183116</v>
      </c>
      <c r="G185" s="109">
        <f>G170*G184</f>
        <v>11.556730865183116</v>
      </c>
      <c r="H185" s="109">
        <f>H170*H184</f>
        <v>11.556730865183116</v>
      </c>
      <c r="I185" s="109">
        <f>I170*I184</f>
        <v>11.556730865183116</v>
      </c>
    </row>
    <row r="186" spans="3:11" x14ac:dyDescent="0.2">
      <c r="C186" s="1003" t="s">
        <v>775</v>
      </c>
      <c r="D186" s="1004" t="s">
        <v>539</v>
      </c>
      <c r="E186" s="1005">
        <f>E134+E152+E170</f>
        <v>233</v>
      </c>
      <c r="F186" s="1005">
        <f>F134+F152+F170</f>
        <v>233</v>
      </c>
      <c r="G186" s="1005">
        <f>G134+G152+G170</f>
        <v>233</v>
      </c>
      <c r="H186" s="1005">
        <f>H134+H152+H170</f>
        <v>233</v>
      </c>
      <c r="I186" s="1006">
        <f>I134+I152+I170</f>
        <v>233</v>
      </c>
    </row>
    <row r="187" spans="3:11" x14ac:dyDescent="0.2">
      <c r="C187" s="1007" t="s">
        <v>776</v>
      </c>
      <c r="D187" s="1008" t="s">
        <v>11</v>
      </c>
      <c r="E187" s="1009">
        <f>E149+E167+E185</f>
        <v>100.30472371655885</v>
      </c>
      <c r="F187" s="1009">
        <f>F149+F167+F185</f>
        <v>100.30472371655885</v>
      </c>
      <c r="G187" s="1009">
        <f>G149+G167+G185</f>
        <v>100.30472371655885</v>
      </c>
      <c r="H187" s="1009">
        <f>H149+H167+H185</f>
        <v>100.30472371655885</v>
      </c>
      <c r="I187" s="1010">
        <f>I149+I167+I185</f>
        <v>100.30472371655885</v>
      </c>
    </row>
    <row r="188" spans="3:11" ht="13.5" thickBot="1" x14ac:dyDescent="0.25">
      <c r="C188" s="1011" t="s">
        <v>828</v>
      </c>
      <c r="D188" s="1012" t="s">
        <v>11</v>
      </c>
      <c r="E188" s="1013">
        <f>E15*E187</f>
        <v>40121.889486623542</v>
      </c>
      <c r="F188" s="1013">
        <f>F15*F187</f>
        <v>40121.889486623542</v>
      </c>
      <c r="G188" s="1013">
        <f>G15*G187</f>
        <v>40121.889486623542</v>
      </c>
      <c r="H188" s="1013">
        <f>H15*H187</f>
        <v>40121.889486623542</v>
      </c>
      <c r="I188" s="1014">
        <f>I15*I187</f>
        <v>40121.889486623542</v>
      </c>
    </row>
    <row r="189" spans="3:11" ht="9.9499999999999993" customHeight="1" x14ac:dyDescent="0.2">
      <c r="C189" s="434"/>
      <c r="D189" s="94"/>
      <c r="E189" s="109"/>
      <c r="F189" s="109"/>
      <c r="G189" s="109"/>
      <c r="H189" s="109"/>
      <c r="I189" s="109"/>
    </row>
    <row r="190" spans="3:11" x14ac:dyDescent="0.2">
      <c r="C190" s="68" t="s">
        <v>777</v>
      </c>
      <c r="D190" s="94"/>
      <c r="E190" s="109"/>
      <c r="F190" s="109"/>
      <c r="G190" s="109"/>
      <c r="H190" s="109"/>
      <c r="I190" s="109"/>
    </row>
    <row r="191" spans="3:11" x14ac:dyDescent="0.2">
      <c r="C191" t="s">
        <v>372</v>
      </c>
      <c r="D191" s="86" t="s">
        <v>189</v>
      </c>
      <c r="E191" s="432">
        <f>365-(E134+E152+E170)</f>
        <v>132</v>
      </c>
      <c r="F191" s="432">
        <f>365-(F134+F152+F170)</f>
        <v>132</v>
      </c>
      <c r="G191" s="432">
        <f>365-(G134+G152+G170)</f>
        <v>132</v>
      </c>
      <c r="H191" s="432">
        <f>365-(H134+H152+H170)</f>
        <v>132</v>
      </c>
      <c r="I191" s="432">
        <f>365-(I134+I152+I170)</f>
        <v>132</v>
      </c>
    </row>
    <row r="192" spans="3:11" x14ac:dyDescent="0.2">
      <c r="C192" t="s">
        <v>544</v>
      </c>
      <c r="D192" s="86" t="s">
        <v>190</v>
      </c>
      <c r="E192" s="433">
        <v>0.15</v>
      </c>
      <c r="F192" s="433">
        <f>E192</f>
        <v>0.15</v>
      </c>
      <c r="G192" s="433">
        <f>F192</f>
        <v>0.15</v>
      </c>
      <c r="H192" s="433">
        <f>G192</f>
        <v>0.15</v>
      </c>
      <c r="I192" s="433">
        <f>H192</f>
        <v>0.15</v>
      </c>
    </row>
    <row r="193" spans="3:9" x14ac:dyDescent="0.2">
      <c r="C193" s="5" t="s">
        <v>825</v>
      </c>
      <c r="D193" s="94" t="s">
        <v>11</v>
      </c>
      <c r="E193" s="473">
        <f>IF(E192&gt;0,E192*E191,0)</f>
        <v>19.8</v>
      </c>
      <c r="F193" s="473">
        <f>IF(F192&gt;0,F192*F191,0)</f>
        <v>19.8</v>
      </c>
      <c r="G193" s="473">
        <f>IF(G192&gt;0,G192*G191,0)</f>
        <v>19.8</v>
      </c>
      <c r="H193" s="473">
        <f>IF(H192&gt;0,H192*H191,0)</f>
        <v>19.8</v>
      </c>
      <c r="I193" s="473">
        <f>IF(I192&gt;0,I192*I191,0)</f>
        <v>19.8</v>
      </c>
    </row>
    <row r="194" spans="3:9" x14ac:dyDescent="0.2">
      <c r="C194" s="5" t="s">
        <v>772</v>
      </c>
      <c r="D194" s="86" t="s">
        <v>191</v>
      </c>
      <c r="E194" s="413">
        <v>0</v>
      </c>
      <c r="F194" s="413">
        <f>E194</f>
        <v>0</v>
      </c>
      <c r="G194" s="413">
        <f>F194</f>
        <v>0</v>
      </c>
      <c r="H194" s="413">
        <f>G194</f>
        <v>0</v>
      </c>
      <c r="I194" s="413">
        <f>H194</f>
        <v>0</v>
      </c>
    </row>
    <row r="195" spans="3:9" x14ac:dyDescent="0.2">
      <c r="C195" s="5" t="s">
        <v>773</v>
      </c>
      <c r="D195" s="1079" t="s">
        <v>11</v>
      </c>
      <c r="E195" s="474">
        <f>IF(E191&gt;0,E191*E194,0)</f>
        <v>0</v>
      </c>
      <c r="F195" s="474">
        <f>IF(F191&gt;0,F191*F194,0)</f>
        <v>0</v>
      </c>
      <c r="G195" s="474">
        <f>IF(G191&gt;0,G191*G194,0)</f>
        <v>0</v>
      </c>
      <c r="H195" s="474">
        <f>IF(H191&gt;0,H191*H194,0)</f>
        <v>0</v>
      </c>
      <c r="I195" s="474">
        <f>IF(I191&gt;0,I191*I194,0)</f>
        <v>0</v>
      </c>
    </row>
    <row r="196" spans="3:9" ht="13.5" thickBot="1" x14ac:dyDescent="0.25">
      <c r="C196" s="623" t="s">
        <v>884</v>
      </c>
      <c r="D196" s="1079" t="s">
        <v>11</v>
      </c>
      <c r="E196" s="474">
        <f>IF(E195&gt;0,E15*E195,0)</f>
        <v>0</v>
      </c>
      <c r="F196" s="474">
        <f>IF(F195&gt;0,F15*F195,0)</f>
        <v>0</v>
      </c>
      <c r="G196" s="474">
        <f>IF(G195&gt;0,G15*G195,0)</f>
        <v>0</v>
      </c>
      <c r="H196" s="474">
        <f>IF(H195&gt;0,H15*H195,0)</f>
        <v>0</v>
      </c>
      <c r="I196" s="474">
        <f>IF(I195&gt;0,I15*I195,0)</f>
        <v>0</v>
      </c>
    </row>
    <row r="197" spans="3:9" x14ac:dyDescent="0.2">
      <c r="C197" s="991" t="s">
        <v>807</v>
      </c>
      <c r="D197" s="992" t="s">
        <v>11</v>
      </c>
      <c r="E197" s="993">
        <f>IF(E198&gt;0,E198/E191,0)</f>
        <v>0.15</v>
      </c>
      <c r="F197" s="993">
        <f>IF(F198&gt;0,F198/F191,0)</f>
        <v>0.15</v>
      </c>
      <c r="G197" s="993">
        <f>IF(G198&gt;0,G198/G191,0)</f>
        <v>0.15</v>
      </c>
      <c r="H197" s="993">
        <f>IF(H198&gt;0,H198/H191,0)</f>
        <v>0.15</v>
      </c>
      <c r="I197" s="994">
        <f>IF(I198&gt;0,I198/I191,0)</f>
        <v>0.15</v>
      </c>
    </row>
    <row r="198" spans="3:9" x14ac:dyDescent="0.2">
      <c r="C198" s="995" t="s">
        <v>774</v>
      </c>
      <c r="D198" s="996" t="s">
        <v>11</v>
      </c>
      <c r="E198" s="997">
        <f>IF((E193+E128)&gt;0.1,E193+E128,0)</f>
        <v>19.8</v>
      </c>
      <c r="F198" s="997">
        <f>IF((F193+F128)&gt;0.1,F193+F128,0)</f>
        <v>19.8</v>
      </c>
      <c r="G198" s="997">
        <f>IF((G193+G128)&gt;0.1,G193+G128,0)</f>
        <v>19.8</v>
      </c>
      <c r="H198" s="997">
        <f>IF((H193+H128)&gt;0.1,H193+H128,0)</f>
        <v>19.8</v>
      </c>
      <c r="I198" s="998">
        <f>IF((I193+I128)&gt;0.1,I193+I128,0)</f>
        <v>19.8</v>
      </c>
    </row>
    <row r="199" spans="3:9" ht="13.5" thickBot="1" x14ac:dyDescent="0.25">
      <c r="C199" s="999" t="s">
        <v>823</v>
      </c>
      <c r="D199" s="1000" t="s">
        <v>11</v>
      </c>
      <c r="E199" s="1001">
        <f>IF(E198&gt;0,E198*E15,0)</f>
        <v>7920</v>
      </c>
      <c r="F199" s="1001">
        <f>IF(F198&gt;0,F198*F15,0)</f>
        <v>7920</v>
      </c>
      <c r="G199" s="1001">
        <f>IF(G198&gt;0,G198*G15,0)</f>
        <v>7920</v>
      </c>
      <c r="H199" s="1001">
        <f>IF(H198&gt;0,H198*H15,0)</f>
        <v>7920</v>
      </c>
      <c r="I199" s="1002">
        <f>IF(I198&gt;0,I198*I15,0)</f>
        <v>7920</v>
      </c>
    </row>
    <row r="200" spans="3:9" ht="9.9499999999999993" customHeight="1" x14ac:dyDescent="0.2"/>
    <row r="201" spans="3:9" x14ac:dyDescent="0.2">
      <c r="C201" s="68" t="s">
        <v>263</v>
      </c>
      <c r="E201" s="86" t="str">
        <f>E$14</f>
        <v>Year 1</v>
      </c>
      <c r="F201" s="86" t="str">
        <f>F$14</f>
        <v>Year 2</v>
      </c>
      <c r="G201" s="86" t="str">
        <f>G$14</f>
        <v>Year 3</v>
      </c>
      <c r="H201" s="86" t="str">
        <f>H$14</f>
        <v>Year 4</v>
      </c>
      <c r="I201" s="86" t="str">
        <f>I$14</f>
        <v>Year 5</v>
      </c>
    </row>
    <row r="202" spans="3:9" x14ac:dyDescent="0.2">
      <c r="C202" s="5" t="s">
        <v>264</v>
      </c>
      <c r="D202" s="86" t="s">
        <v>192</v>
      </c>
      <c r="E202" s="414">
        <v>232</v>
      </c>
      <c r="F202" s="414">
        <f>E202</f>
        <v>232</v>
      </c>
      <c r="G202" s="414">
        <f>F202</f>
        <v>232</v>
      </c>
      <c r="H202" s="414">
        <f>G202</f>
        <v>232</v>
      </c>
      <c r="I202" s="414">
        <f>H202</f>
        <v>232</v>
      </c>
    </row>
    <row r="203" spans="3:9" x14ac:dyDescent="0.2">
      <c r="C203" s="1027" t="s">
        <v>880</v>
      </c>
      <c r="D203" s="86"/>
      <c r="E203" s="41" t="s">
        <v>20</v>
      </c>
      <c r="F203" s="41" t="s">
        <v>20</v>
      </c>
      <c r="G203" s="41" t="s">
        <v>20</v>
      </c>
      <c r="H203" s="41" t="s">
        <v>20</v>
      </c>
      <c r="I203" s="41" t="s">
        <v>20</v>
      </c>
    </row>
    <row r="204" spans="3:9" x14ac:dyDescent="0.2">
      <c r="C204" t="str">
        <f>C136</f>
        <v>Barley</v>
      </c>
      <c r="D204" s="86" t="s">
        <v>193</v>
      </c>
      <c r="E204" s="415">
        <v>1</v>
      </c>
      <c r="F204" s="415">
        <f t="shared" ref="F204:I213" si="21">E204</f>
        <v>1</v>
      </c>
      <c r="G204" s="415">
        <f t="shared" si="21"/>
        <v>1</v>
      </c>
      <c r="H204" s="415">
        <f t="shared" si="21"/>
        <v>1</v>
      </c>
      <c r="I204" s="415">
        <f t="shared" si="21"/>
        <v>1</v>
      </c>
    </row>
    <row r="205" spans="3:9" x14ac:dyDescent="0.2">
      <c r="C205" t="str">
        <f>C137</f>
        <v>Hay</v>
      </c>
      <c r="D205" s="86" t="s">
        <v>202</v>
      </c>
      <c r="E205" s="415">
        <v>3.5</v>
      </c>
      <c r="F205" s="415">
        <f>E205</f>
        <v>3.5</v>
      </c>
      <c r="G205" s="415">
        <f>F205</f>
        <v>3.5</v>
      </c>
      <c r="H205" s="415">
        <f>G205</f>
        <v>3.5</v>
      </c>
      <c r="I205" s="415">
        <f>H205</f>
        <v>3.5</v>
      </c>
    </row>
    <row r="206" spans="3:9" x14ac:dyDescent="0.2">
      <c r="C206" t="str">
        <f>C138</f>
        <v>Creep Feed - Lambs ($/tonne)</v>
      </c>
      <c r="D206" s="86" t="s">
        <v>203</v>
      </c>
      <c r="E206" s="415">
        <v>0</v>
      </c>
      <c r="F206" s="415">
        <f t="shared" si="21"/>
        <v>0</v>
      </c>
      <c r="G206" s="415">
        <f t="shared" si="21"/>
        <v>0</v>
      </c>
      <c r="H206" s="415">
        <f t="shared" si="21"/>
        <v>0</v>
      </c>
      <c r="I206" s="415">
        <f t="shared" si="21"/>
        <v>0</v>
      </c>
    </row>
    <row r="207" spans="3:9" x14ac:dyDescent="0.2">
      <c r="C207" t="s">
        <v>743</v>
      </c>
      <c r="D207" s="86" t="s">
        <v>204</v>
      </c>
      <c r="E207" s="415">
        <v>0</v>
      </c>
      <c r="F207" s="415">
        <f t="shared" si="21"/>
        <v>0</v>
      </c>
      <c r="G207" s="415">
        <f t="shared" si="21"/>
        <v>0</v>
      </c>
      <c r="H207" s="415">
        <f t="shared" si="21"/>
        <v>0</v>
      </c>
      <c r="I207" s="415">
        <f t="shared" si="21"/>
        <v>0</v>
      </c>
    </row>
    <row r="208" spans="3:9" x14ac:dyDescent="0.2">
      <c r="C208" t="str">
        <f t="shared" ref="C208:C215" si="22">C140</f>
        <v>Straw</v>
      </c>
      <c r="D208" s="86" t="s">
        <v>205</v>
      </c>
      <c r="E208" s="415">
        <v>0</v>
      </c>
      <c r="F208" s="415">
        <f t="shared" si="21"/>
        <v>0</v>
      </c>
      <c r="G208" s="415">
        <f t="shared" si="21"/>
        <v>0</v>
      </c>
      <c r="H208" s="415">
        <f t="shared" si="21"/>
        <v>0</v>
      </c>
      <c r="I208" s="415">
        <f t="shared" si="21"/>
        <v>0</v>
      </c>
    </row>
    <row r="209" spans="3:9" x14ac:dyDescent="0.2">
      <c r="C209" t="str">
        <f t="shared" si="22"/>
        <v>Supplements</v>
      </c>
      <c r="D209" s="86" t="s">
        <v>206</v>
      </c>
      <c r="E209" s="415">
        <v>0</v>
      </c>
      <c r="F209" s="415">
        <f t="shared" si="21"/>
        <v>0</v>
      </c>
      <c r="G209" s="415">
        <f t="shared" si="21"/>
        <v>0</v>
      </c>
      <c r="H209" s="415">
        <f t="shared" si="21"/>
        <v>0</v>
      </c>
      <c r="I209" s="415">
        <f t="shared" si="21"/>
        <v>0</v>
      </c>
    </row>
    <row r="210" spans="3:9" x14ac:dyDescent="0.2">
      <c r="C210" t="str">
        <f t="shared" si="22"/>
        <v>Salt/Mineral Mix</v>
      </c>
      <c r="D210" s="86" t="s">
        <v>207</v>
      </c>
      <c r="E210" s="415">
        <v>0.02</v>
      </c>
      <c r="F210" s="415">
        <f t="shared" si="21"/>
        <v>0.02</v>
      </c>
      <c r="G210" s="415">
        <f t="shared" si="21"/>
        <v>0.02</v>
      </c>
      <c r="H210" s="415">
        <f t="shared" si="21"/>
        <v>0.02</v>
      </c>
      <c r="I210" s="415">
        <f t="shared" si="21"/>
        <v>0.02</v>
      </c>
    </row>
    <row r="211" spans="3:9" x14ac:dyDescent="0.2">
      <c r="C211" t="str">
        <f t="shared" si="22"/>
        <v>Vitamins</v>
      </c>
      <c r="D211" s="86" t="s">
        <v>208</v>
      </c>
      <c r="E211" s="415">
        <v>0</v>
      </c>
      <c r="F211" s="415">
        <f t="shared" si="21"/>
        <v>0</v>
      </c>
      <c r="G211" s="415">
        <f t="shared" si="21"/>
        <v>0</v>
      </c>
      <c r="H211" s="415">
        <f t="shared" si="21"/>
        <v>0</v>
      </c>
      <c r="I211" s="415">
        <f t="shared" si="21"/>
        <v>0</v>
      </c>
    </row>
    <row r="212" spans="3:9" x14ac:dyDescent="0.2">
      <c r="C212" t="str">
        <f t="shared" si="22"/>
        <v>corn silage</v>
      </c>
      <c r="D212" s="86" t="s">
        <v>209</v>
      </c>
      <c r="E212" s="415">
        <v>0</v>
      </c>
      <c r="F212" s="415">
        <f t="shared" si="21"/>
        <v>0</v>
      </c>
      <c r="G212" s="415">
        <f t="shared" si="21"/>
        <v>0</v>
      </c>
      <c r="H212" s="415">
        <f t="shared" si="21"/>
        <v>0</v>
      </c>
      <c r="I212" s="415">
        <f t="shared" si="21"/>
        <v>0</v>
      </c>
    </row>
    <row r="213" spans="3:9" x14ac:dyDescent="0.2">
      <c r="C213" t="str">
        <f t="shared" si="22"/>
        <v>Other - 2  (other 1-4 can be changed where)</v>
      </c>
      <c r="D213" s="86" t="s">
        <v>210</v>
      </c>
      <c r="E213" s="415">
        <v>0</v>
      </c>
      <c r="F213" s="415">
        <f t="shared" si="21"/>
        <v>0</v>
      </c>
      <c r="G213" s="415">
        <f t="shared" ref="G213:I215" si="23">F213</f>
        <v>0</v>
      </c>
      <c r="H213" s="415">
        <f t="shared" si="23"/>
        <v>0</v>
      </c>
      <c r="I213" s="415">
        <f t="shared" si="23"/>
        <v>0</v>
      </c>
    </row>
    <row r="214" spans="3:9" x14ac:dyDescent="0.2">
      <c r="C214" t="str">
        <f t="shared" si="22"/>
        <v>Other - 3   (feed ingredients first listed/priced)</v>
      </c>
      <c r="D214" s="86" t="s">
        <v>211</v>
      </c>
      <c r="E214" s="415">
        <v>0</v>
      </c>
      <c r="F214" s="415">
        <f>E214</f>
        <v>0</v>
      </c>
      <c r="G214" s="415">
        <f t="shared" si="23"/>
        <v>0</v>
      </c>
      <c r="H214" s="415">
        <f t="shared" si="23"/>
        <v>0</v>
      </c>
      <c r="I214" s="415">
        <f t="shared" si="23"/>
        <v>0</v>
      </c>
    </row>
    <row r="215" spans="3:9" ht="13.5" thickBot="1" x14ac:dyDescent="0.25">
      <c r="C215" t="str">
        <f t="shared" si="22"/>
        <v>Other - 4</v>
      </c>
      <c r="D215" s="86" t="s">
        <v>212</v>
      </c>
      <c r="E215" s="435">
        <v>0</v>
      </c>
      <c r="F215" s="435">
        <f>E215</f>
        <v>0</v>
      </c>
      <c r="G215" s="435">
        <f t="shared" si="23"/>
        <v>0</v>
      </c>
      <c r="H215" s="435">
        <f t="shared" si="23"/>
        <v>0</v>
      </c>
      <c r="I215" s="435">
        <f t="shared" si="23"/>
        <v>0</v>
      </c>
    </row>
    <row r="216" spans="3:9" x14ac:dyDescent="0.2">
      <c r="C216" s="1015" t="s">
        <v>875</v>
      </c>
      <c r="D216" s="1016" t="s">
        <v>11</v>
      </c>
      <c r="E216" s="1017">
        <f>(E204/(2204.62))*E$108+(E205/2204.62)*E$109+(E206/2204.62)*E$110+(E207/2204.62)*E$111+(E208/2204.62)*E$112+(E209/2204.62)*E$113+(E210/2204.62)*E$114+(E211/2204.62)*E$115+(E212/2204.62)*E$117+(E213/2204.62)*E$118+(E214/2204.62)*E$119+(E215/2204.62)*E$120</f>
        <v>0.41100053523963315</v>
      </c>
      <c r="F216" s="1017">
        <f>(F204/(2204.62))*F$108+(F205/2204.62)*F$109+(F206/2204.62)*F$110+(F207/2204.62)*F$111+(F208/2204.62)*F$112+(F209/2204.62)*F$113+(F210/2204.62)*F$114+(F211/2204.62)*F$115+(F212/2204.62)*F$117+(F213/2204.62)*F$118+(F214/2204.62)*F$119+(F215/2204.62)*F$120</f>
        <v>0.41100053523963315</v>
      </c>
      <c r="G216" s="1017">
        <f>(G204/(2204.62))*G$108+(G205/2204.62)*G$109+(G206/2204.62)*G$110+(G207/2204.62)*G$111+(G208/2204.62)*G$112+(G209/2204.62)*G$113+(G210/2204.62)*G$114+(G211/2204.62)*G$115+(G212/2204.62)*G$117+(G213/2204.62)*G$118+(G214/2204.62)*G$119+(G215/2204.62)*G$120</f>
        <v>0.41100053523963315</v>
      </c>
      <c r="H216" s="1017">
        <f>(H204/(2204.62))*H$108+(H205/2204.62)*H$109+(H206/2204.62)*H$110+(H207/2204.62)*H$111+(H208/2204.62)*H$112+(H209/2204.62)*H$113+(H210/2204.62)*H$114+(H211/2204.62)*H$115+(H212/2204.62)*H$117+(H213/2204.62)*H$118+(H214/2204.62)*H$119+(H215/2204.62)*H$120</f>
        <v>0.41100053523963315</v>
      </c>
      <c r="I216" s="1018">
        <f>(I204/(2204.62))*I$108+(I205/2204.62)*I$109+(I206/2204.62)*I$110+(I207/2204.62)*I$111+(I208/2204.62)*I$112+(I209/2204.62)*I$113+(I210/2204.62)*I$114+(I211/2204.62)*I$115+(I212/2204.62)*I$117+(I213/2204.62)*I$118+(I214/2204.62)*I$119+(I215/2204.62)*I$120</f>
        <v>0.41100053523963315</v>
      </c>
    </row>
    <row r="217" spans="3:9" x14ac:dyDescent="0.2">
      <c r="C217" s="1105" t="s">
        <v>876</v>
      </c>
      <c r="D217" s="1106" t="s">
        <v>11</v>
      </c>
      <c r="E217" s="1107">
        <f>E202*E216</f>
        <v>95.352124175594895</v>
      </c>
      <c r="F217" s="1107">
        <f>F202*F216</f>
        <v>95.352124175594895</v>
      </c>
      <c r="G217" s="1107">
        <f>G202*G216</f>
        <v>95.352124175594895</v>
      </c>
      <c r="H217" s="1107">
        <f>H202*H216</f>
        <v>95.352124175594895</v>
      </c>
      <c r="I217" s="1108">
        <f>I202*I216</f>
        <v>95.352124175594895</v>
      </c>
    </row>
    <row r="218" spans="3:9" ht="13.5" thickBot="1" x14ac:dyDescent="0.25">
      <c r="C218" s="1019" t="s">
        <v>903</v>
      </c>
      <c r="D218" s="1109" t="s">
        <v>11</v>
      </c>
      <c r="E218" s="1110">
        <f>E217*E16</f>
        <v>953.52124175594895</v>
      </c>
      <c r="F218" s="1110">
        <f>F217*F16</f>
        <v>953.52124175594895</v>
      </c>
      <c r="G218" s="1110">
        <f>G217*G16</f>
        <v>953.52124175594895</v>
      </c>
      <c r="H218" s="1110">
        <f>H217*H16</f>
        <v>953.52124175594895</v>
      </c>
      <c r="I218" s="1035">
        <f>I217*I16</f>
        <v>953.52124175594895</v>
      </c>
    </row>
    <row r="219" spans="3:9" ht="6" customHeight="1" x14ac:dyDescent="0.2">
      <c r="D219" s="94"/>
      <c r="E219" s="109"/>
      <c r="F219" s="109"/>
      <c r="G219" s="109"/>
      <c r="H219" s="109"/>
      <c r="I219" s="109"/>
    </row>
    <row r="220" spans="3:9" x14ac:dyDescent="0.2">
      <c r="C220" s="68" t="s">
        <v>540</v>
      </c>
      <c r="D220" s="94"/>
      <c r="E220" s="109"/>
      <c r="F220" s="109"/>
      <c r="G220" s="109"/>
      <c r="H220" s="109"/>
      <c r="I220" s="109"/>
    </row>
    <row r="221" spans="3:9" x14ac:dyDescent="0.2">
      <c r="C221" t="s">
        <v>373</v>
      </c>
      <c r="D221" s="86" t="s">
        <v>213</v>
      </c>
      <c r="E221" s="409">
        <f>365-E202</f>
        <v>133</v>
      </c>
      <c r="F221" s="409">
        <f>365-F202</f>
        <v>133</v>
      </c>
      <c r="G221" s="409">
        <f>365-G202</f>
        <v>133</v>
      </c>
      <c r="H221" s="409">
        <f>365-H202</f>
        <v>133</v>
      </c>
      <c r="I221" s="409">
        <f>365-I202</f>
        <v>133</v>
      </c>
    </row>
    <row r="222" spans="3:9" x14ac:dyDescent="0.2">
      <c r="C222" s="5" t="s">
        <v>850</v>
      </c>
      <c r="D222" s="86" t="s">
        <v>214</v>
      </c>
      <c r="E222" s="410">
        <v>0.15</v>
      </c>
      <c r="F222" s="410">
        <f>E222</f>
        <v>0.15</v>
      </c>
      <c r="G222" s="410">
        <f>F222</f>
        <v>0.15</v>
      </c>
      <c r="H222" s="410">
        <f>G222</f>
        <v>0.15</v>
      </c>
      <c r="I222" s="410">
        <f>H222</f>
        <v>0.15</v>
      </c>
    </row>
    <row r="223" spans="3:9" x14ac:dyDescent="0.2">
      <c r="C223" s="5" t="s">
        <v>824</v>
      </c>
      <c r="D223" s="94" t="s">
        <v>11</v>
      </c>
      <c r="E223" s="109">
        <f>IF(E222&gt;0,E222*E221,0)</f>
        <v>19.95</v>
      </c>
      <c r="F223" s="109">
        <f>IF(F222&gt;0,F222*F221,0)</f>
        <v>19.95</v>
      </c>
      <c r="G223" s="109">
        <f>IF(G222&gt;0,G222*G221,0)</f>
        <v>19.95</v>
      </c>
      <c r="H223" s="109">
        <f>IF(H222&gt;0,H222*H221,0)</f>
        <v>19.95</v>
      </c>
      <c r="I223" s="109">
        <f>IF(I222&gt;0,I222*I221,0)</f>
        <v>19.95</v>
      </c>
    </row>
    <row r="224" spans="3:9" x14ac:dyDescent="0.2">
      <c r="C224" s="5" t="s">
        <v>778</v>
      </c>
      <c r="D224" s="86" t="s">
        <v>215</v>
      </c>
      <c r="E224" s="415">
        <v>0</v>
      </c>
      <c r="F224" s="415">
        <f>E224</f>
        <v>0</v>
      </c>
      <c r="G224" s="415">
        <f>F224</f>
        <v>0</v>
      </c>
      <c r="H224" s="415">
        <f>G224</f>
        <v>0</v>
      </c>
      <c r="I224" s="415">
        <f>H224</f>
        <v>0</v>
      </c>
    </row>
    <row r="225" spans="3:15" x14ac:dyDescent="0.2">
      <c r="C225" s="5" t="s">
        <v>779</v>
      </c>
      <c r="D225" s="94" t="s">
        <v>11</v>
      </c>
      <c r="E225" s="474">
        <f>IF(E221&gt;0,E221*E224,0)</f>
        <v>0</v>
      </c>
      <c r="F225" s="474">
        <f>IF(F221&gt;0,F221*F224,0)</f>
        <v>0</v>
      </c>
      <c r="G225" s="474">
        <f>IF(G221&gt;0,G221*G224,0)</f>
        <v>0</v>
      </c>
      <c r="H225" s="474">
        <f>IF(H221&gt;0,H221*H224,0)</f>
        <v>0</v>
      </c>
      <c r="I225" s="474">
        <f>IF(I221&gt;0,I221*I224,0)</f>
        <v>0</v>
      </c>
    </row>
    <row r="226" spans="3:15" ht="13.5" thickBot="1" x14ac:dyDescent="0.25">
      <c r="C226" s="623" t="s">
        <v>885</v>
      </c>
      <c r="D226" s="94" t="s">
        <v>11</v>
      </c>
      <c r="E226" s="474">
        <f>IF(E225&gt;0,E16*E225,0)</f>
        <v>0</v>
      </c>
      <c r="F226" s="474">
        <f>IF(F225&gt;0,F16*F225,0)</f>
        <v>0</v>
      </c>
      <c r="G226" s="474">
        <f>IF(G225&gt;0,G16*G225,0)</f>
        <v>0</v>
      </c>
      <c r="H226" s="474">
        <f>IF(H225&gt;0,H16*H225,0)</f>
        <v>0</v>
      </c>
      <c r="I226" s="474">
        <f>IF(I225&gt;0,I16*I225,0)</f>
        <v>0</v>
      </c>
    </row>
    <row r="227" spans="3:15" x14ac:dyDescent="0.2">
      <c r="C227" s="1003" t="s">
        <v>808</v>
      </c>
      <c r="D227" s="1004" t="s">
        <v>11</v>
      </c>
      <c r="E227" s="1021">
        <f>IF(E228&gt;0,E228/E221,0)</f>
        <v>0.15</v>
      </c>
      <c r="F227" s="1021">
        <f>IF(F228&gt;0,F228/F221,0)</f>
        <v>0.15</v>
      </c>
      <c r="G227" s="1021">
        <f>IF(G228&gt;0,G228/G221,0)</f>
        <v>0.15</v>
      </c>
      <c r="H227" s="1021">
        <f>IF(H228&gt;0,H228/H221,0)</f>
        <v>0.15</v>
      </c>
      <c r="I227" s="1022">
        <f>IF(I228&gt;0,I228/I221,0)</f>
        <v>0.15</v>
      </c>
    </row>
    <row r="228" spans="3:15" x14ac:dyDescent="0.2">
      <c r="C228" s="1007" t="s">
        <v>780</v>
      </c>
      <c r="D228" s="1008" t="s">
        <v>11</v>
      </c>
      <c r="E228" s="1023">
        <f>E223+E129</f>
        <v>19.95</v>
      </c>
      <c r="F228" s="1023">
        <f>F223+F129</f>
        <v>19.95</v>
      </c>
      <c r="G228" s="1023">
        <f>G223+G129</f>
        <v>19.95</v>
      </c>
      <c r="H228" s="1023">
        <f>H223+H129</f>
        <v>19.95</v>
      </c>
      <c r="I228" s="1024">
        <f>I223+I129</f>
        <v>19.95</v>
      </c>
    </row>
    <row r="229" spans="3:15" ht="13.5" thickBot="1" x14ac:dyDescent="0.25">
      <c r="C229" s="1011" t="s">
        <v>872</v>
      </c>
      <c r="D229" s="1012" t="s">
        <v>11</v>
      </c>
      <c r="E229" s="1202">
        <f>IF(E228&gt;0,E228*E16,0)</f>
        <v>199.5</v>
      </c>
      <c r="F229" s="1202">
        <f>IF(F228&gt;0,F228*F16,0)</f>
        <v>199.5</v>
      </c>
      <c r="G229" s="1202">
        <f>IF(G228&gt;0,G228*G16,0)</f>
        <v>199.5</v>
      </c>
      <c r="H229" s="1202">
        <f>IF(H228&gt;0,H228*H16,0)</f>
        <v>199.5</v>
      </c>
      <c r="I229" s="1203">
        <f>IF(I228&gt;0,I228*I16,0)</f>
        <v>199.5</v>
      </c>
    </row>
    <row r="230" spans="3:15" ht="9.9499999999999993" customHeight="1" x14ac:dyDescent="0.2">
      <c r="D230" s="94"/>
      <c r="E230" s="109"/>
      <c r="F230" s="109"/>
      <c r="G230" s="109"/>
      <c r="H230" s="109"/>
      <c r="I230" s="109"/>
    </row>
    <row r="231" spans="3:15" x14ac:dyDescent="0.2">
      <c r="C231" s="68" t="s">
        <v>266</v>
      </c>
      <c r="E231" s="86" t="str">
        <f>E$14</f>
        <v>Year 1</v>
      </c>
      <c r="F231" s="86" t="str">
        <f>F$14</f>
        <v>Year 2</v>
      </c>
      <c r="G231" s="86" t="str">
        <f>G$14</f>
        <v>Year 3</v>
      </c>
      <c r="H231" s="86" t="str">
        <f>H$14</f>
        <v>Year 4</v>
      </c>
      <c r="I231" s="86" t="str">
        <f>I$14</f>
        <v>Year 5</v>
      </c>
    </row>
    <row r="232" spans="3:15" x14ac:dyDescent="0.2">
      <c r="C232" s="5" t="s">
        <v>264</v>
      </c>
      <c r="D232" s="86" t="s">
        <v>216</v>
      </c>
      <c r="E232" s="414">
        <v>50</v>
      </c>
      <c r="F232" s="414">
        <f>E232</f>
        <v>50</v>
      </c>
      <c r="G232" s="414">
        <f>F232</f>
        <v>50</v>
      </c>
      <c r="H232" s="414">
        <f>G232</f>
        <v>50</v>
      </c>
      <c r="I232" s="414">
        <f>H232</f>
        <v>50</v>
      </c>
    </row>
    <row r="233" spans="3:15" x14ac:dyDescent="0.2">
      <c r="C233" s="5" t="s">
        <v>409</v>
      </c>
      <c r="D233" s="86" t="s">
        <v>217</v>
      </c>
      <c r="E233" s="409">
        <f>E38</f>
        <v>720</v>
      </c>
      <c r="F233" s="409">
        <f>F38</f>
        <v>720</v>
      </c>
      <c r="G233" s="409">
        <f>G38</f>
        <v>720</v>
      </c>
      <c r="H233" s="409">
        <f>H38</f>
        <v>720</v>
      </c>
      <c r="I233" s="409">
        <f>I38</f>
        <v>720</v>
      </c>
      <c r="K233" s="1134" t="s">
        <v>939</v>
      </c>
      <c r="L233" s="1141"/>
      <c r="M233" s="1150">
        <v>12</v>
      </c>
      <c r="N233" s="117"/>
      <c r="O233" s="86"/>
    </row>
    <row r="234" spans="3:15" x14ac:dyDescent="0.2">
      <c r="C234" s="1027" t="s">
        <v>878</v>
      </c>
      <c r="D234" s="86"/>
      <c r="E234" s="41" t="s">
        <v>20</v>
      </c>
      <c r="F234" s="41" t="s">
        <v>20</v>
      </c>
      <c r="G234" s="41" t="s">
        <v>20</v>
      </c>
      <c r="H234" s="41" t="s">
        <v>20</v>
      </c>
      <c r="I234" s="41" t="s">
        <v>20</v>
      </c>
      <c r="K234" s="1146" t="s">
        <v>945</v>
      </c>
      <c r="L234" s="1142"/>
      <c r="M234" s="1151">
        <v>55</v>
      </c>
      <c r="N234" s="858"/>
      <c r="O234" s="86"/>
    </row>
    <row r="235" spans="3:15" x14ac:dyDescent="0.2">
      <c r="C235" t="str">
        <f>C136</f>
        <v>Barley</v>
      </c>
      <c r="D235" s="86" t="s">
        <v>218</v>
      </c>
      <c r="E235" s="415">
        <v>0</v>
      </c>
      <c r="F235" s="415">
        <f t="shared" ref="F235:I247" si="24">E235</f>
        <v>0</v>
      </c>
      <c r="G235" s="415">
        <f t="shared" si="24"/>
        <v>0</v>
      </c>
      <c r="H235" s="415">
        <f t="shared" si="24"/>
        <v>0</v>
      </c>
      <c r="I235" s="415">
        <f t="shared" si="24"/>
        <v>0</v>
      </c>
      <c r="K235" s="1146" t="s">
        <v>936</v>
      </c>
      <c r="L235" s="1142"/>
      <c r="M235" s="1151">
        <f>M234-M233</f>
        <v>43</v>
      </c>
      <c r="N235" s="858"/>
      <c r="O235" s="86"/>
    </row>
    <row r="236" spans="3:15" x14ac:dyDescent="0.2">
      <c r="C236" t="str">
        <f>C137</f>
        <v>Hay</v>
      </c>
      <c r="D236" s="86" t="s">
        <v>219</v>
      </c>
      <c r="E236" s="415">
        <v>0</v>
      </c>
      <c r="F236" s="415">
        <f t="shared" si="24"/>
        <v>0</v>
      </c>
      <c r="G236" s="415">
        <f t="shared" si="24"/>
        <v>0</v>
      </c>
      <c r="H236" s="415">
        <f t="shared" si="24"/>
        <v>0</v>
      </c>
      <c r="I236" s="415">
        <f t="shared" si="24"/>
        <v>0</v>
      </c>
      <c r="K236" s="1143" t="s">
        <v>937</v>
      </c>
      <c r="L236" s="1144" t="s">
        <v>948</v>
      </c>
      <c r="M236" s="1152">
        <f>M235/0.8</f>
        <v>53.75</v>
      </c>
      <c r="N236" s="858"/>
      <c r="O236" s="1147"/>
    </row>
    <row r="237" spans="3:15" x14ac:dyDescent="0.2">
      <c r="C237" t="str">
        <f>C138</f>
        <v>Creep Feed - Lambs ($/tonne)</v>
      </c>
      <c r="D237" s="86" t="s">
        <v>220</v>
      </c>
      <c r="E237" s="415">
        <v>1</v>
      </c>
      <c r="F237" s="415">
        <f t="shared" si="24"/>
        <v>1</v>
      </c>
      <c r="G237" s="415">
        <f t="shared" si="24"/>
        <v>1</v>
      </c>
      <c r="H237" s="415">
        <f t="shared" si="24"/>
        <v>1</v>
      </c>
      <c r="I237" s="415">
        <f t="shared" si="24"/>
        <v>1</v>
      </c>
      <c r="K237" s="1140" t="s">
        <v>938</v>
      </c>
      <c r="L237" s="1145" t="s">
        <v>948</v>
      </c>
      <c r="M237" s="1153">
        <f>M235/0.9</f>
        <v>47.777777777777779</v>
      </c>
      <c r="N237" s="858"/>
      <c r="O237" s="1147"/>
    </row>
    <row r="238" spans="3:15" x14ac:dyDescent="0.2">
      <c r="C238" t="s">
        <v>743</v>
      </c>
      <c r="D238" s="86" t="s">
        <v>221</v>
      </c>
      <c r="E238" s="415">
        <v>0</v>
      </c>
      <c r="F238" s="415">
        <f t="shared" si="24"/>
        <v>0</v>
      </c>
      <c r="G238" s="415">
        <f t="shared" si="24"/>
        <v>0</v>
      </c>
      <c r="H238" s="415">
        <f t="shared" si="24"/>
        <v>0</v>
      </c>
      <c r="I238" s="415">
        <f t="shared" si="24"/>
        <v>0</v>
      </c>
    </row>
    <row r="239" spans="3:15" x14ac:dyDescent="0.2">
      <c r="C239" t="str">
        <f>C140</f>
        <v>Straw</v>
      </c>
      <c r="D239" s="86" t="s">
        <v>222</v>
      </c>
      <c r="E239" s="415">
        <v>0</v>
      </c>
      <c r="F239" s="415">
        <f t="shared" si="24"/>
        <v>0</v>
      </c>
      <c r="G239" s="415">
        <f t="shared" si="24"/>
        <v>0</v>
      </c>
      <c r="H239" s="415">
        <f t="shared" si="24"/>
        <v>0</v>
      </c>
      <c r="I239" s="415">
        <f t="shared" si="24"/>
        <v>0</v>
      </c>
    </row>
    <row r="240" spans="3:15" x14ac:dyDescent="0.2">
      <c r="C240" t="str">
        <f>C141</f>
        <v>Supplements</v>
      </c>
      <c r="D240" s="86" t="s">
        <v>223</v>
      </c>
      <c r="E240" s="415">
        <v>0</v>
      </c>
      <c r="F240" s="415">
        <f t="shared" si="24"/>
        <v>0</v>
      </c>
      <c r="G240" s="415">
        <f t="shared" si="24"/>
        <v>0</v>
      </c>
      <c r="H240" s="415">
        <f t="shared" si="24"/>
        <v>0</v>
      </c>
      <c r="I240" s="415">
        <f t="shared" si="24"/>
        <v>0</v>
      </c>
    </row>
    <row r="241" spans="3:15" x14ac:dyDescent="0.2">
      <c r="C241" t="str">
        <f>C142</f>
        <v>Salt/Mineral Mix</v>
      </c>
      <c r="D241" s="86" t="s">
        <v>224</v>
      </c>
      <c r="E241" s="415">
        <v>0</v>
      </c>
      <c r="F241" s="415">
        <f t="shared" si="24"/>
        <v>0</v>
      </c>
      <c r="G241" s="415">
        <f t="shared" si="24"/>
        <v>0</v>
      </c>
      <c r="H241" s="415">
        <f t="shared" si="24"/>
        <v>0</v>
      </c>
      <c r="I241" s="415">
        <f t="shared" si="24"/>
        <v>0</v>
      </c>
    </row>
    <row r="242" spans="3:15" x14ac:dyDescent="0.2">
      <c r="C242" t="str">
        <f>C143</f>
        <v>Vitamins</v>
      </c>
      <c r="D242" s="86" t="s">
        <v>225</v>
      </c>
      <c r="E242" s="415">
        <v>0</v>
      </c>
      <c r="F242" s="415">
        <f t="shared" si="24"/>
        <v>0</v>
      </c>
      <c r="G242" s="415">
        <f t="shared" si="24"/>
        <v>0</v>
      </c>
      <c r="H242" s="415">
        <f t="shared" si="24"/>
        <v>0</v>
      </c>
      <c r="I242" s="415">
        <f t="shared" si="24"/>
        <v>0</v>
      </c>
    </row>
    <row r="243" spans="3:15" x14ac:dyDescent="0.2">
      <c r="C243" t="s">
        <v>408</v>
      </c>
      <c r="D243" s="86" t="s">
        <v>226</v>
      </c>
      <c r="E243" s="415">
        <v>0</v>
      </c>
      <c r="F243" s="415">
        <f>E243</f>
        <v>0</v>
      </c>
      <c r="G243" s="415">
        <f t="shared" si="24"/>
        <v>0</v>
      </c>
      <c r="H243" s="415">
        <f t="shared" si="24"/>
        <v>0</v>
      </c>
      <c r="I243" s="415">
        <f t="shared" si="24"/>
        <v>0</v>
      </c>
    </row>
    <row r="244" spans="3:15" x14ac:dyDescent="0.2">
      <c r="C244" t="str">
        <f>C144</f>
        <v>corn silage</v>
      </c>
      <c r="D244" s="86" t="s">
        <v>227</v>
      </c>
      <c r="E244" s="415">
        <v>0</v>
      </c>
      <c r="F244" s="415">
        <f t="shared" si="24"/>
        <v>0</v>
      </c>
      <c r="G244" s="415">
        <f t="shared" si="24"/>
        <v>0</v>
      </c>
      <c r="H244" s="415">
        <f t="shared" si="24"/>
        <v>0</v>
      </c>
      <c r="I244" s="415">
        <f t="shared" si="24"/>
        <v>0</v>
      </c>
    </row>
    <row r="245" spans="3:15" x14ac:dyDescent="0.2">
      <c r="C245" t="str">
        <f>C145</f>
        <v>Other - 2  (other 1-4 can be changed where)</v>
      </c>
      <c r="D245" s="86" t="s">
        <v>228</v>
      </c>
      <c r="E245" s="415">
        <v>0</v>
      </c>
      <c r="F245" s="415">
        <f t="shared" si="24"/>
        <v>0</v>
      </c>
      <c r="G245" s="415">
        <f t="shared" si="24"/>
        <v>0</v>
      </c>
      <c r="H245" s="415">
        <f t="shared" si="24"/>
        <v>0</v>
      </c>
      <c r="I245" s="415">
        <f t="shared" si="24"/>
        <v>0</v>
      </c>
    </row>
    <row r="246" spans="3:15" x14ac:dyDescent="0.2">
      <c r="C246" t="str">
        <f>C146</f>
        <v>Other - 3   (feed ingredients first listed/priced)</v>
      </c>
      <c r="D246" s="86" t="s">
        <v>229</v>
      </c>
      <c r="E246" s="415">
        <v>0</v>
      </c>
      <c r="F246" s="415">
        <f t="shared" si="24"/>
        <v>0</v>
      </c>
      <c r="G246" s="415">
        <f t="shared" si="24"/>
        <v>0</v>
      </c>
      <c r="H246" s="415">
        <f t="shared" si="24"/>
        <v>0</v>
      </c>
      <c r="I246" s="415">
        <f t="shared" si="24"/>
        <v>0</v>
      </c>
    </row>
    <row r="247" spans="3:15" x14ac:dyDescent="0.2">
      <c r="C247" t="str">
        <f>C147</f>
        <v>Other - 4</v>
      </c>
      <c r="D247" s="86" t="s">
        <v>230</v>
      </c>
      <c r="E247" s="415">
        <v>0</v>
      </c>
      <c r="F247" s="415">
        <f t="shared" si="24"/>
        <v>0</v>
      </c>
      <c r="G247" s="415">
        <f t="shared" si="24"/>
        <v>0</v>
      </c>
      <c r="H247" s="415">
        <f t="shared" si="24"/>
        <v>0</v>
      </c>
      <c r="I247" s="415">
        <f t="shared" si="24"/>
        <v>0</v>
      </c>
    </row>
    <row r="248" spans="3:15" x14ac:dyDescent="0.2">
      <c r="C248" t="s">
        <v>151</v>
      </c>
      <c r="D248" s="94" t="s">
        <v>11</v>
      </c>
      <c r="E248" s="109">
        <f>(E235/(2204.62))*E$108+(E236/2204.62)*E$109+(E237/2204.62)*E$110+(E238/2204.62)*E$111+(E239/2204.62)*E$112+(E240/2204.62)*E$113+(E241/2204.62)*E$114+(E242/2204.62)*E$115+(E243/2204.62)*E$116+(E244/2204.62)*E$117+(E245/2204.62)*E$118+(E246/2204.62)*$E214+(E247/2204.62)*E$120</f>
        <v>0.36287432754851179</v>
      </c>
      <c r="F248" s="109">
        <f>(F235/(2204.62))*F$108+(F236/2204.62)*F$109+(F237/2204.62)*F$110+(F238/2204.62)*F$111+(F239/2204.62)*F$112+(F240/2204.62)*F$113+(F241/2204.62)*F$114+(F242/2204.62)*F$115+(F243/2204.62)*F$116+(F244/2204.62)*F$117+(F245/2204.62)*F$118+(F246/2204.62)*$E214+(F247/2204.62)*F$120</f>
        <v>0.36287432754851179</v>
      </c>
      <c r="G248" s="109">
        <f>(G235/(2204.62))*G$108+(G236/2204.62)*G$109+(G237/2204.62)*G$110+(G238/2204.62)*G$111+(G239/2204.62)*G$112+(G240/2204.62)*G$113+(G241/2204.62)*G$114+(G242/2204.62)*G$115+(G243/2204.62)*G$116+(G244/2204.62)*G$117+(G245/2204.62)*G$118+(G246/2204.62)*$E214+(G247/2204.62)*G$120</f>
        <v>0.36287432754851179</v>
      </c>
      <c r="H248" s="109">
        <f>(H235/(2204.62))*H$108+(H236/2204.62)*H$109+(H237/2204.62)*H$110+(H238/2204.62)*H$111+(H239/2204.62)*H$112+(H240/2204.62)*H$113+(H241/2204.62)*H$114+(H242/2204.62)*H$115+(H243/2204.62)*H$116+(H244/2204.62)*H$117+(H245/2204.62)*H$118+(H246/2204.62)*$E214+(H247/2204.62)*H$120</f>
        <v>0.36287432754851179</v>
      </c>
      <c r="I248" s="109">
        <f>(I235/(2204.62))*I$108+(I236/2204.62)*I$109+(I237/2204.62)*I$110+(I238/2204.62)*I$111+(I239/2204.62)*I$112+(I240/2204.62)*I$113+(I241/2204.62)*I$114+(I242/2204.62)*I$115+(I243/2204.62)*I$116+(I244/2204.62)*I$117+(I245/2204.62)*I$118+(I246/2204.62)*$E214+(I247/2204.62)*I$120</f>
        <v>0.36287432754851179</v>
      </c>
    </row>
    <row r="249" spans="3:15" x14ac:dyDescent="0.2">
      <c r="C249" t="s">
        <v>172</v>
      </c>
      <c r="D249" s="94" t="s">
        <v>11</v>
      </c>
      <c r="E249" s="109">
        <f>E232*E248</f>
        <v>18.143716377425591</v>
      </c>
      <c r="F249" s="109">
        <f>F232*F248</f>
        <v>18.143716377425591</v>
      </c>
      <c r="G249" s="109">
        <f>G232*G248</f>
        <v>18.143716377425591</v>
      </c>
      <c r="H249" s="109">
        <f>H232*H248</f>
        <v>18.143716377425591</v>
      </c>
      <c r="I249" s="109">
        <f>I232*I248</f>
        <v>18.143716377425591</v>
      </c>
    </row>
    <row r="250" spans="3:15" x14ac:dyDescent="0.2">
      <c r="D250" s="94"/>
      <c r="E250" s="109"/>
      <c r="F250" s="109"/>
      <c r="G250" s="109"/>
      <c r="H250" s="109"/>
      <c r="I250" s="109"/>
    </row>
    <row r="251" spans="3:15" x14ac:dyDescent="0.2">
      <c r="C251" s="68" t="s">
        <v>266</v>
      </c>
      <c r="E251" s="86" t="str">
        <f>E$14</f>
        <v>Year 1</v>
      </c>
      <c r="F251" s="86" t="str">
        <f>F$14</f>
        <v>Year 2</v>
      </c>
      <c r="G251" s="86" t="str">
        <f>G$14</f>
        <v>Year 3</v>
      </c>
      <c r="H251" s="86" t="str">
        <f>H$14</f>
        <v>Year 4</v>
      </c>
      <c r="I251" s="86" t="str">
        <f>I$14</f>
        <v>Year 5</v>
      </c>
      <c r="N251" s="86"/>
      <c r="O251" s="86"/>
    </row>
    <row r="252" spans="3:15" x14ac:dyDescent="0.2">
      <c r="C252" s="5" t="s">
        <v>264</v>
      </c>
      <c r="D252" s="86" t="s">
        <v>231</v>
      </c>
      <c r="E252" s="414">
        <v>35</v>
      </c>
      <c r="F252" s="414">
        <f>E252</f>
        <v>35</v>
      </c>
      <c r="G252" s="414">
        <f>F252</f>
        <v>35</v>
      </c>
      <c r="H252" s="414">
        <f>G252</f>
        <v>35</v>
      </c>
      <c r="I252" s="414">
        <f>H252</f>
        <v>35</v>
      </c>
      <c r="K252" s="1134" t="s">
        <v>940</v>
      </c>
      <c r="L252" s="1141"/>
      <c r="M252" s="1150">
        <f>M234</f>
        <v>55</v>
      </c>
      <c r="N252" s="623"/>
      <c r="O252" s="86"/>
    </row>
    <row r="253" spans="3:15" x14ac:dyDescent="0.2">
      <c r="C253" s="5" t="s">
        <v>410</v>
      </c>
      <c r="D253" s="86" t="s">
        <v>232</v>
      </c>
      <c r="E253" s="409">
        <f>(E233+E41)/2</f>
        <v>684</v>
      </c>
      <c r="F253" s="409">
        <f>(F233+F41)/2</f>
        <v>684</v>
      </c>
      <c r="G253" s="409">
        <f>(G233+G41)/2</f>
        <v>684</v>
      </c>
      <c r="H253" s="409">
        <f>(H233+H41)/2</f>
        <v>684</v>
      </c>
      <c r="I253" s="409">
        <f>(I233+I41)/2</f>
        <v>684</v>
      </c>
      <c r="K253" s="1146" t="s">
        <v>949</v>
      </c>
      <c r="L253" s="1142"/>
      <c r="M253" s="1151">
        <v>80</v>
      </c>
      <c r="N253" s="623"/>
      <c r="O253" s="1132"/>
    </row>
    <row r="254" spans="3:15" x14ac:dyDescent="0.2">
      <c r="C254" s="417" t="s">
        <v>877</v>
      </c>
      <c r="D254" s="86"/>
      <c r="E254" s="41" t="s">
        <v>20</v>
      </c>
      <c r="F254" s="41" t="s">
        <v>20</v>
      </c>
      <c r="G254" s="41" t="s">
        <v>20</v>
      </c>
      <c r="H254" s="41" t="s">
        <v>20</v>
      </c>
      <c r="I254" s="41" t="s">
        <v>20</v>
      </c>
      <c r="K254" s="1146" t="s">
        <v>936</v>
      </c>
      <c r="L254" s="1142"/>
      <c r="M254" s="1151">
        <f>M253-M252</f>
        <v>25</v>
      </c>
      <c r="N254" s="623"/>
      <c r="O254" s="1133"/>
    </row>
    <row r="255" spans="3:15" x14ac:dyDescent="0.2">
      <c r="C255" t="str">
        <f>C136</f>
        <v>Barley</v>
      </c>
      <c r="D255" s="86" t="s">
        <v>267</v>
      </c>
      <c r="E255" s="415">
        <v>1.2</v>
      </c>
      <c r="F255" s="415">
        <f t="shared" ref="F255:I267" si="25">E255</f>
        <v>1.2</v>
      </c>
      <c r="G255" s="415">
        <f t="shared" si="25"/>
        <v>1.2</v>
      </c>
      <c r="H255" s="415">
        <f t="shared" si="25"/>
        <v>1.2</v>
      </c>
      <c r="I255" s="415">
        <f t="shared" si="25"/>
        <v>1.2</v>
      </c>
      <c r="K255" s="1143" t="s">
        <v>946</v>
      </c>
      <c r="L255" s="1142"/>
      <c r="M255" s="1152">
        <f>M254/0.7</f>
        <v>35.714285714285715</v>
      </c>
      <c r="N255" s="623"/>
      <c r="O255" s="1133"/>
    </row>
    <row r="256" spans="3:15" x14ac:dyDescent="0.2">
      <c r="C256" t="str">
        <f>C137</f>
        <v>Hay</v>
      </c>
      <c r="D256" s="86" t="s">
        <v>268</v>
      </c>
      <c r="E256" s="415">
        <v>0.8</v>
      </c>
      <c r="F256" s="415">
        <f t="shared" si="25"/>
        <v>0.8</v>
      </c>
      <c r="G256" s="415">
        <f t="shared" si="25"/>
        <v>0.8</v>
      </c>
      <c r="H256" s="415">
        <f t="shared" si="25"/>
        <v>0.8</v>
      </c>
      <c r="I256" s="415">
        <f t="shared" si="25"/>
        <v>0.8</v>
      </c>
      <c r="K256" s="1148" t="s">
        <v>947</v>
      </c>
      <c r="L256" s="1149"/>
      <c r="M256" s="1153">
        <f>M254/0.8</f>
        <v>31.25</v>
      </c>
    </row>
    <row r="257" spans="3:13" x14ac:dyDescent="0.2">
      <c r="C257" t="str">
        <f>C138</f>
        <v>Creep Feed - Lambs ($/tonne)</v>
      </c>
      <c r="D257" s="86" t="s">
        <v>269</v>
      </c>
      <c r="E257" s="415">
        <v>0</v>
      </c>
      <c r="F257" s="415">
        <f t="shared" si="25"/>
        <v>0</v>
      </c>
      <c r="G257" s="415">
        <f t="shared" si="25"/>
        <v>0</v>
      </c>
      <c r="H257" s="415">
        <f t="shared" si="25"/>
        <v>0</v>
      </c>
      <c r="I257" s="415">
        <f t="shared" si="25"/>
        <v>0</v>
      </c>
    </row>
    <row r="258" spans="3:13" x14ac:dyDescent="0.2">
      <c r="C258" t="s">
        <v>743</v>
      </c>
      <c r="D258" s="86" t="s">
        <v>270</v>
      </c>
      <c r="E258" s="415">
        <v>0</v>
      </c>
      <c r="F258" s="415">
        <f t="shared" si="25"/>
        <v>0</v>
      </c>
      <c r="G258" s="415">
        <f t="shared" si="25"/>
        <v>0</v>
      </c>
      <c r="H258" s="415">
        <f t="shared" si="25"/>
        <v>0</v>
      </c>
      <c r="I258" s="415">
        <f t="shared" si="25"/>
        <v>0</v>
      </c>
    </row>
    <row r="259" spans="3:13" x14ac:dyDescent="0.2">
      <c r="C259" t="str">
        <f>C140</f>
        <v>Straw</v>
      </c>
      <c r="D259" s="86" t="s">
        <v>271</v>
      </c>
      <c r="E259" s="415">
        <v>0</v>
      </c>
      <c r="F259" s="415">
        <f t="shared" si="25"/>
        <v>0</v>
      </c>
      <c r="G259" s="415">
        <f t="shared" si="25"/>
        <v>0</v>
      </c>
      <c r="H259" s="415">
        <f t="shared" si="25"/>
        <v>0</v>
      </c>
      <c r="I259" s="415">
        <f t="shared" si="25"/>
        <v>0</v>
      </c>
    </row>
    <row r="260" spans="3:13" x14ac:dyDescent="0.2">
      <c r="C260" t="str">
        <f>C141</f>
        <v>Supplements</v>
      </c>
      <c r="D260" s="86" t="s">
        <v>272</v>
      </c>
      <c r="E260" s="415">
        <v>0</v>
      </c>
      <c r="F260" s="415">
        <f t="shared" si="25"/>
        <v>0</v>
      </c>
      <c r="G260" s="415">
        <f t="shared" si="25"/>
        <v>0</v>
      </c>
      <c r="H260" s="415">
        <f t="shared" si="25"/>
        <v>0</v>
      </c>
      <c r="I260" s="415">
        <f t="shared" si="25"/>
        <v>0</v>
      </c>
    </row>
    <row r="261" spans="3:13" x14ac:dyDescent="0.2">
      <c r="C261" t="str">
        <f>C142</f>
        <v>Salt/Mineral Mix</v>
      </c>
      <c r="D261" s="86" t="s">
        <v>273</v>
      </c>
      <c r="E261" s="415">
        <v>0.01</v>
      </c>
      <c r="F261" s="415">
        <f t="shared" si="25"/>
        <v>0.01</v>
      </c>
      <c r="G261" s="415">
        <f t="shared" si="25"/>
        <v>0.01</v>
      </c>
      <c r="H261" s="415">
        <f t="shared" si="25"/>
        <v>0.01</v>
      </c>
      <c r="I261" s="415">
        <f t="shared" si="25"/>
        <v>0.01</v>
      </c>
    </row>
    <row r="262" spans="3:13" x14ac:dyDescent="0.2">
      <c r="C262" t="str">
        <f>C143</f>
        <v>Vitamins</v>
      </c>
      <c r="D262" s="86" t="s">
        <v>274</v>
      </c>
      <c r="E262" s="415">
        <v>0</v>
      </c>
      <c r="F262" s="415">
        <f t="shared" si="25"/>
        <v>0</v>
      </c>
      <c r="G262" s="415">
        <f t="shared" si="25"/>
        <v>0</v>
      </c>
      <c r="H262" s="415">
        <f t="shared" si="25"/>
        <v>0</v>
      </c>
      <c r="I262" s="415">
        <f t="shared" si="25"/>
        <v>0</v>
      </c>
    </row>
    <row r="263" spans="3:13" x14ac:dyDescent="0.2">
      <c r="C263" t="str">
        <f>C243</f>
        <v>Milk Replacer</v>
      </c>
      <c r="D263" s="86" t="s">
        <v>275</v>
      </c>
      <c r="E263" s="415">
        <v>0</v>
      </c>
      <c r="F263" s="415">
        <f>E263</f>
        <v>0</v>
      </c>
      <c r="G263" s="415">
        <f t="shared" si="25"/>
        <v>0</v>
      </c>
      <c r="H263" s="415">
        <f t="shared" si="25"/>
        <v>0</v>
      </c>
      <c r="I263" s="415">
        <f t="shared" si="25"/>
        <v>0</v>
      </c>
    </row>
    <row r="264" spans="3:13" x14ac:dyDescent="0.2">
      <c r="C264" t="str">
        <f>C144</f>
        <v>corn silage</v>
      </c>
      <c r="D264" s="86" t="s">
        <v>276</v>
      </c>
      <c r="E264" s="415">
        <v>0</v>
      </c>
      <c r="F264" s="415">
        <f t="shared" si="25"/>
        <v>0</v>
      </c>
      <c r="G264" s="415">
        <f t="shared" si="25"/>
        <v>0</v>
      </c>
      <c r="H264" s="415">
        <f t="shared" si="25"/>
        <v>0</v>
      </c>
      <c r="I264" s="415">
        <f t="shared" si="25"/>
        <v>0</v>
      </c>
    </row>
    <row r="265" spans="3:13" x14ac:dyDescent="0.2">
      <c r="C265" t="str">
        <f>C145</f>
        <v>Other - 2  (other 1-4 can be changed where)</v>
      </c>
      <c r="D265" s="86" t="s">
        <v>277</v>
      </c>
      <c r="E265" s="415">
        <v>0</v>
      </c>
      <c r="F265" s="415">
        <f t="shared" si="25"/>
        <v>0</v>
      </c>
      <c r="G265" s="415">
        <f t="shared" si="25"/>
        <v>0</v>
      </c>
      <c r="H265" s="415">
        <f t="shared" si="25"/>
        <v>0</v>
      </c>
      <c r="I265" s="415">
        <f t="shared" si="25"/>
        <v>0</v>
      </c>
    </row>
    <row r="266" spans="3:13" x14ac:dyDescent="0.2">
      <c r="C266" t="str">
        <f>C146</f>
        <v>Other - 3   (feed ingredients first listed/priced)</v>
      </c>
      <c r="D266" s="86" t="s">
        <v>278</v>
      </c>
      <c r="E266" s="415">
        <v>0</v>
      </c>
      <c r="F266" s="415">
        <f t="shared" si="25"/>
        <v>0</v>
      </c>
      <c r="G266" s="415">
        <f t="shared" si="25"/>
        <v>0</v>
      </c>
      <c r="H266" s="415">
        <f t="shared" si="25"/>
        <v>0</v>
      </c>
      <c r="I266" s="415">
        <f t="shared" si="25"/>
        <v>0</v>
      </c>
    </row>
    <row r="267" spans="3:13" x14ac:dyDescent="0.2">
      <c r="C267" t="str">
        <f>C147</f>
        <v>Other - 4</v>
      </c>
      <c r="D267" s="86" t="s">
        <v>279</v>
      </c>
      <c r="E267" s="415">
        <v>0</v>
      </c>
      <c r="F267" s="415">
        <f t="shared" si="25"/>
        <v>0</v>
      </c>
      <c r="G267" s="415">
        <f t="shared" si="25"/>
        <v>0</v>
      </c>
      <c r="H267" s="415">
        <f t="shared" si="25"/>
        <v>0</v>
      </c>
      <c r="I267" s="415">
        <f t="shared" si="25"/>
        <v>0</v>
      </c>
    </row>
    <row r="268" spans="3:13" x14ac:dyDescent="0.2">
      <c r="C268" t="s">
        <v>151</v>
      </c>
      <c r="D268" s="94" t="s">
        <v>11</v>
      </c>
      <c r="E268" s="109">
        <f>(E255/(2204.62))*E$108+(E256/2204.62)*E$109+(E257/2204.62)*E$110+(E258/2204.62)*E$111+(E259/2204.62)*E$112+(E260/2204.62)*E$113+(E261/2204.62)*E$114+(E262/2204.62)*E$115+(E263/2204.62)*E$116+(E264/2204.62)*E$117+(E265/2204.62)*E$118+(E266/2204.62)*$E245+(E267/2204.62)*E$120</f>
        <v>0.2126443559434279</v>
      </c>
      <c r="F268" s="109">
        <f>(F255/(2204.62))*F$108+(F256/2204.62)*F$109+(F257/2204.62)*F$110+(F258/2204.62)*F$111+(F259/2204.62)*F$112+(F260/2204.62)*F$113+(F261/2204.62)*F$114+(F262/2204.62)*F$115+(F263/2204.62)*F$116+(F264/2204.62)*F$117+(F265/2204.62)*F$118+(F266/2204.62)*$E245+(F267/2204.62)*F$120</f>
        <v>0.2126443559434279</v>
      </c>
      <c r="G268" s="109">
        <f>(G255/(2204.62))*G$108+(G256/2204.62)*G$109+(G257/2204.62)*G$110+(G258/2204.62)*G$111+(G259/2204.62)*G$112+(G260/2204.62)*G$113+(G261/2204.62)*G$114+(G262/2204.62)*G$115+(G263/2204.62)*G$116+(G264/2204.62)*G$117+(G265/2204.62)*G$118+(G266/2204.62)*$E245+(G267/2204.62)*G$120</f>
        <v>0.2126443559434279</v>
      </c>
      <c r="H268" s="109">
        <f>(H255/(2204.62))*H$108+(H256/2204.62)*H$109+(H257/2204.62)*H$110+(H258/2204.62)*H$111+(H259/2204.62)*H$112+(H260/2204.62)*H$113+(H261/2204.62)*H$114+(H262/2204.62)*H$115+(H263/2204.62)*H$116+(H264/2204.62)*H$117+(H265/2204.62)*H$118+(H266/2204.62)*$E245+(H267/2204.62)*H$120</f>
        <v>0.2126443559434279</v>
      </c>
      <c r="I268" s="109">
        <f>(I255/(2204.62))*I$108+(I256/2204.62)*I$109+(I257/2204.62)*I$110+(I258/2204.62)*I$111+(I259/2204.62)*I$112+(I260/2204.62)*I$113+(I261/2204.62)*I$114+(I262/2204.62)*I$115+(I263/2204.62)*I$116+(I264/2204.62)*I$117+(I265/2204.62)*I$118+(I266/2204.62)*$E245+(I267/2204.62)*I$120</f>
        <v>0.2126443559434279</v>
      </c>
    </row>
    <row r="269" spans="3:13" x14ac:dyDescent="0.2">
      <c r="C269" t="s">
        <v>172</v>
      </c>
      <c r="D269" s="94" t="s">
        <v>11</v>
      </c>
      <c r="E269" s="109">
        <f>E252*E268</f>
        <v>7.4425524580199767</v>
      </c>
      <c r="F269" s="109">
        <f>F252*F268</f>
        <v>7.4425524580199767</v>
      </c>
      <c r="G269" s="109">
        <f>G252*G268</f>
        <v>7.4425524580199767</v>
      </c>
      <c r="H269" s="109">
        <f>H252*H268</f>
        <v>7.4425524580199767</v>
      </c>
      <c r="I269" s="109">
        <f>I252*I268</f>
        <v>7.4425524580199767</v>
      </c>
    </row>
    <row r="270" spans="3:13" x14ac:dyDescent="0.2">
      <c r="D270" s="94"/>
      <c r="E270" s="109"/>
      <c r="F270" s="109"/>
      <c r="G270" s="109"/>
      <c r="H270" s="109"/>
      <c r="I270" s="109"/>
    </row>
    <row r="271" spans="3:13" x14ac:dyDescent="0.2">
      <c r="C271" s="68" t="s">
        <v>266</v>
      </c>
      <c r="E271" s="86" t="str">
        <f>E$14</f>
        <v>Year 1</v>
      </c>
      <c r="F271" s="86" t="str">
        <f>F$14</f>
        <v>Year 2</v>
      </c>
      <c r="G271" s="86" t="str">
        <f>G$14</f>
        <v>Year 3</v>
      </c>
      <c r="H271" s="86" t="str">
        <f>H$14</f>
        <v>Year 4</v>
      </c>
      <c r="I271" s="86" t="str">
        <f>I$14</f>
        <v>Year 5</v>
      </c>
    </row>
    <row r="272" spans="3:13" x14ac:dyDescent="0.2">
      <c r="C272" s="5" t="s">
        <v>264</v>
      </c>
      <c r="D272" s="86" t="s">
        <v>280</v>
      </c>
      <c r="E272" s="414">
        <v>70</v>
      </c>
      <c r="F272" s="414">
        <f>E272</f>
        <v>70</v>
      </c>
      <c r="G272" s="414">
        <f>F272</f>
        <v>70</v>
      </c>
      <c r="H272" s="414">
        <f>G272</f>
        <v>70</v>
      </c>
      <c r="I272" s="414">
        <f>H272</f>
        <v>70</v>
      </c>
      <c r="K272" s="1134" t="s">
        <v>940</v>
      </c>
      <c r="L272" s="1141"/>
      <c r="M272" s="1150">
        <f>M253</f>
        <v>80</v>
      </c>
    </row>
    <row r="273" spans="3:15" x14ac:dyDescent="0.2">
      <c r="C273" s="5" t="s">
        <v>411</v>
      </c>
      <c r="D273" s="86" t="s">
        <v>281</v>
      </c>
      <c r="E273" s="409">
        <f>IF(E56&gt;0,E45,E24)</f>
        <v>616</v>
      </c>
      <c r="F273" s="409">
        <f t="shared" ref="F273:I273" si="26">IF(F56&gt;0,F45,F24)</f>
        <v>616</v>
      </c>
      <c r="G273" s="409">
        <f t="shared" si="26"/>
        <v>616</v>
      </c>
      <c r="H273" s="409">
        <f t="shared" si="26"/>
        <v>616</v>
      </c>
      <c r="I273" s="409">
        <f t="shared" si="26"/>
        <v>616</v>
      </c>
      <c r="K273" s="1146" t="s">
        <v>949</v>
      </c>
      <c r="L273" s="1142"/>
      <c r="M273" s="1151">
        <v>125</v>
      </c>
    </row>
    <row r="274" spans="3:15" x14ac:dyDescent="0.2">
      <c r="C274" s="1027" t="s">
        <v>930</v>
      </c>
      <c r="D274" s="86"/>
      <c r="E274" s="41" t="s">
        <v>20</v>
      </c>
      <c r="F274" s="41" t="s">
        <v>20</v>
      </c>
      <c r="G274" s="41" t="s">
        <v>20</v>
      </c>
      <c r="H274" s="41" t="s">
        <v>20</v>
      </c>
      <c r="I274" s="41" t="s">
        <v>20</v>
      </c>
      <c r="K274" s="1146" t="s">
        <v>936</v>
      </c>
      <c r="L274" s="1142"/>
      <c r="M274" s="1151">
        <f>M273-M272</f>
        <v>45</v>
      </c>
    </row>
    <row r="275" spans="3:15" x14ac:dyDescent="0.2">
      <c r="C275" t="str">
        <f>C136</f>
        <v>Barley</v>
      </c>
      <c r="D275" s="86" t="s">
        <v>282</v>
      </c>
      <c r="E275" s="415">
        <v>2.5</v>
      </c>
      <c r="F275" s="415">
        <f t="shared" ref="F275:I287" si="27">E275</f>
        <v>2.5</v>
      </c>
      <c r="G275" s="415">
        <f t="shared" si="27"/>
        <v>2.5</v>
      </c>
      <c r="H275" s="415">
        <f t="shared" si="27"/>
        <v>2.5</v>
      </c>
      <c r="I275" s="415">
        <f t="shared" si="27"/>
        <v>2.5</v>
      </c>
      <c r="K275" s="1143" t="s">
        <v>950</v>
      </c>
      <c r="L275" s="1154" t="s">
        <v>948</v>
      </c>
      <c r="M275" s="1155">
        <f>M274/0.6</f>
        <v>75</v>
      </c>
      <c r="N275" s="623"/>
      <c r="O275" s="86"/>
    </row>
    <row r="276" spans="3:15" x14ac:dyDescent="0.2">
      <c r="C276" t="str">
        <f>C137</f>
        <v>Hay</v>
      </c>
      <c r="D276" s="86" t="s">
        <v>283</v>
      </c>
      <c r="E276" s="415">
        <v>1</v>
      </c>
      <c r="F276" s="415">
        <f t="shared" si="27"/>
        <v>1</v>
      </c>
      <c r="G276" s="415">
        <f t="shared" si="27"/>
        <v>1</v>
      </c>
      <c r="H276" s="415">
        <f t="shared" si="27"/>
        <v>1</v>
      </c>
      <c r="I276" s="415">
        <f t="shared" si="27"/>
        <v>1</v>
      </c>
      <c r="K276" s="1140" t="s">
        <v>946</v>
      </c>
      <c r="L276" s="1149"/>
      <c r="M276" s="1156">
        <f>M274/0.7</f>
        <v>64.285714285714292</v>
      </c>
      <c r="N276" s="623"/>
      <c r="O276" s="1132"/>
    </row>
    <row r="277" spans="3:15" x14ac:dyDescent="0.2">
      <c r="C277" t="str">
        <f>C138</f>
        <v>Creep Feed - Lambs ($/tonne)</v>
      </c>
      <c r="D277" s="86" t="s">
        <v>284</v>
      </c>
      <c r="E277" s="415">
        <v>0</v>
      </c>
      <c r="F277" s="415">
        <f t="shared" si="27"/>
        <v>0</v>
      </c>
      <c r="G277" s="415">
        <f t="shared" si="27"/>
        <v>0</v>
      </c>
      <c r="H277" s="415">
        <f t="shared" si="27"/>
        <v>0</v>
      </c>
      <c r="I277" s="415">
        <f t="shared" si="27"/>
        <v>0</v>
      </c>
      <c r="K277" s="623"/>
      <c r="N277" s="623"/>
      <c r="O277" s="1133"/>
    </row>
    <row r="278" spans="3:15" x14ac:dyDescent="0.2">
      <c r="C278" t="s">
        <v>743</v>
      </c>
      <c r="D278" s="86" t="s">
        <v>285</v>
      </c>
      <c r="E278" s="415">
        <v>0</v>
      </c>
      <c r="F278" s="415">
        <f t="shared" si="27"/>
        <v>0</v>
      </c>
      <c r="G278" s="415">
        <f t="shared" si="27"/>
        <v>0</v>
      </c>
      <c r="H278" s="415">
        <f t="shared" si="27"/>
        <v>0</v>
      </c>
      <c r="I278" s="415">
        <f t="shared" si="27"/>
        <v>0</v>
      </c>
      <c r="N278" s="623"/>
      <c r="O278" s="1133"/>
    </row>
    <row r="279" spans="3:15" x14ac:dyDescent="0.2">
      <c r="C279" t="str">
        <f>C140</f>
        <v>Straw</v>
      </c>
      <c r="D279" s="86" t="s">
        <v>286</v>
      </c>
      <c r="E279" s="415">
        <v>0</v>
      </c>
      <c r="F279" s="415">
        <f t="shared" si="27"/>
        <v>0</v>
      </c>
      <c r="G279" s="415">
        <f t="shared" si="27"/>
        <v>0</v>
      </c>
      <c r="H279" s="415">
        <f t="shared" si="27"/>
        <v>0</v>
      </c>
      <c r="I279" s="415">
        <f t="shared" si="27"/>
        <v>0</v>
      </c>
    </row>
    <row r="280" spans="3:15" x14ac:dyDescent="0.2">
      <c r="C280" t="str">
        <f>C141</f>
        <v>Supplements</v>
      </c>
      <c r="D280" s="86" t="s">
        <v>287</v>
      </c>
      <c r="E280" s="415">
        <v>0</v>
      </c>
      <c r="F280" s="415">
        <f t="shared" si="27"/>
        <v>0</v>
      </c>
      <c r="G280" s="415">
        <f t="shared" si="27"/>
        <v>0</v>
      </c>
      <c r="H280" s="415">
        <f t="shared" si="27"/>
        <v>0</v>
      </c>
      <c r="I280" s="415">
        <f t="shared" si="27"/>
        <v>0</v>
      </c>
    </row>
    <row r="281" spans="3:15" x14ac:dyDescent="0.2">
      <c r="C281" t="str">
        <f>C142</f>
        <v>Salt/Mineral Mix</v>
      </c>
      <c r="D281" s="86" t="s">
        <v>288</v>
      </c>
      <c r="E281" s="415">
        <v>0.04</v>
      </c>
      <c r="F281" s="415">
        <f t="shared" si="27"/>
        <v>0.04</v>
      </c>
      <c r="G281" s="415">
        <f t="shared" si="27"/>
        <v>0.04</v>
      </c>
      <c r="H281" s="415">
        <f t="shared" si="27"/>
        <v>0.04</v>
      </c>
      <c r="I281" s="415">
        <f t="shared" si="27"/>
        <v>0.04</v>
      </c>
    </row>
    <row r="282" spans="3:15" x14ac:dyDescent="0.2">
      <c r="C282" t="str">
        <f>C143</f>
        <v>Vitamins</v>
      </c>
      <c r="D282" s="86" t="s">
        <v>289</v>
      </c>
      <c r="E282" s="415">
        <v>0</v>
      </c>
      <c r="F282" s="415">
        <f t="shared" si="27"/>
        <v>0</v>
      </c>
      <c r="G282" s="415">
        <f t="shared" si="27"/>
        <v>0</v>
      </c>
      <c r="H282" s="415">
        <f t="shared" si="27"/>
        <v>0</v>
      </c>
      <c r="I282" s="415">
        <f t="shared" si="27"/>
        <v>0</v>
      </c>
    </row>
    <row r="283" spans="3:15" x14ac:dyDescent="0.2">
      <c r="C283" t="str">
        <f>C243</f>
        <v>Milk Replacer</v>
      </c>
      <c r="D283" s="86" t="s">
        <v>290</v>
      </c>
      <c r="E283" s="415">
        <v>0</v>
      </c>
      <c r="F283" s="415">
        <f>E283</f>
        <v>0</v>
      </c>
      <c r="G283" s="415">
        <f t="shared" si="27"/>
        <v>0</v>
      </c>
      <c r="H283" s="415">
        <f t="shared" si="27"/>
        <v>0</v>
      </c>
      <c r="I283" s="415">
        <f t="shared" si="27"/>
        <v>0</v>
      </c>
    </row>
    <row r="284" spans="3:15" x14ac:dyDescent="0.2">
      <c r="C284" t="str">
        <f>C144</f>
        <v>corn silage</v>
      </c>
      <c r="D284" s="86" t="s">
        <v>291</v>
      </c>
      <c r="E284" s="415">
        <v>0</v>
      </c>
      <c r="F284" s="415">
        <f t="shared" si="27"/>
        <v>0</v>
      </c>
      <c r="G284" s="415">
        <f t="shared" si="27"/>
        <v>0</v>
      </c>
      <c r="H284" s="415">
        <f t="shared" si="27"/>
        <v>0</v>
      </c>
      <c r="I284" s="415">
        <f t="shared" si="27"/>
        <v>0</v>
      </c>
    </row>
    <row r="285" spans="3:15" x14ac:dyDescent="0.2">
      <c r="C285" t="str">
        <f>C145</f>
        <v>Other - 2  (other 1-4 can be changed where)</v>
      </c>
      <c r="D285" s="86" t="s">
        <v>292</v>
      </c>
      <c r="E285" s="415">
        <v>0</v>
      </c>
      <c r="F285" s="415">
        <f t="shared" si="27"/>
        <v>0</v>
      </c>
      <c r="G285" s="415">
        <f t="shared" si="27"/>
        <v>0</v>
      </c>
      <c r="H285" s="415">
        <f t="shared" si="27"/>
        <v>0</v>
      </c>
      <c r="I285" s="415">
        <f t="shared" si="27"/>
        <v>0</v>
      </c>
    </row>
    <row r="286" spans="3:15" x14ac:dyDescent="0.2">
      <c r="C286" t="str">
        <f>C146</f>
        <v>Other - 3   (feed ingredients first listed/priced)</v>
      </c>
      <c r="D286" s="86" t="s">
        <v>293</v>
      </c>
      <c r="E286" s="415">
        <v>0</v>
      </c>
      <c r="F286" s="415">
        <f t="shared" si="27"/>
        <v>0</v>
      </c>
      <c r="G286" s="415">
        <f t="shared" si="27"/>
        <v>0</v>
      </c>
      <c r="H286" s="415">
        <f t="shared" si="27"/>
        <v>0</v>
      </c>
      <c r="I286" s="415">
        <f t="shared" si="27"/>
        <v>0</v>
      </c>
    </row>
    <row r="287" spans="3:15" x14ac:dyDescent="0.2">
      <c r="C287" t="str">
        <f>C147</f>
        <v>Other - 4</v>
      </c>
      <c r="D287" s="86" t="s">
        <v>294</v>
      </c>
      <c r="E287" s="415">
        <v>0</v>
      </c>
      <c r="F287" s="415">
        <f t="shared" si="27"/>
        <v>0</v>
      </c>
      <c r="G287" s="415">
        <f t="shared" si="27"/>
        <v>0</v>
      </c>
      <c r="H287" s="415">
        <f t="shared" si="27"/>
        <v>0</v>
      </c>
      <c r="I287" s="415">
        <f t="shared" si="27"/>
        <v>0</v>
      </c>
    </row>
    <row r="288" spans="3:15" x14ac:dyDescent="0.2">
      <c r="C288" t="s">
        <v>151</v>
      </c>
      <c r="D288" s="94" t="s">
        <v>11</v>
      </c>
      <c r="E288" s="109">
        <f>(E275/(2204.62))*E$108+(E276/2204.62)*E$109+(E277/2204.62)*E$110+(E278/2204.62)*E$111+(E279/2204.62)*E$112+(E280/2204.62)*E$113+(E281/2204.62)*E$114+(E282/2204.62)*E$115+(E283/2204.62)*E$116+(E284/2204.62)*E$117+(E285/2204.62)*E$118+(E286/2204.62)*$E265+(E287/2204.62)*E$120</f>
        <v>0.40469559379847775</v>
      </c>
      <c r="F288" s="109">
        <f>(F275/(2204.62))*F$108+(F276/2204.62)*F$109+(F277/2204.62)*F$110+(F278/2204.62)*F$111+(F279/2204.62)*F$112+(F280/2204.62)*F$113+(F281/2204.62)*F$114+(F282/2204.62)*F$115+(F283/2204.62)*F$116+(F284/2204.62)*F$117+(F285/2204.62)*F$118+(F286/2204.62)*$E265+(F287/2204.62)*F$120</f>
        <v>0.40469559379847775</v>
      </c>
      <c r="G288" s="109">
        <f>(G275/(2204.62))*G$108+(G276/2204.62)*G$109+(G277/2204.62)*G$110+(G278/2204.62)*G$111+(G279/2204.62)*G$112+(G280/2204.62)*G$113+(G281/2204.62)*G$114+(G282/2204.62)*G$115+(G283/2204.62)*G$116+(G284/2204.62)*G$117+(G285/2204.62)*G$118+(G286/2204.62)*$E265+(G287/2204.62)*G$120</f>
        <v>0.40469559379847775</v>
      </c>
      <c r="H288" s="109">
        <f>(H275/(2204.62))*H$108+(H276/2204.62)*H$109+(H277/2204.62)*H$110+(H278/2204.62)*H$111+(H279/2204.62)*H$112+(H280/2204.62)*H$113+(H281/2204.62)*H$114+(H282/2204.62)*H$115+(H283/2204.62)*H$116+(H284/2204.62)*H$117+(H285/2204.62)*H$118+(H286/2204.62)*$E265+(H287/2204.62)*H$120</f>
        <v>0.40469559379847775</v>
      </c>
      <c r="I288" s="109">
        <f>(I275/(2204.62))*I$108+(I276/2204.62)*I$109+(I277/2204.62)*I$110+(I278/2204.62)*I$111+(I279/2204.62)*I$112+(I280/2204.62)*I$113+(I281/2204.62)*I$114+(I282/2204.62)*I$115+(I283/2204.62)*I$116+(I284/2204.62)*I$117+(I285/2204.62)*I$118+(I286/2204.62)*$E265+(I287/2204.62)*I$120</f>
        <v>0.40469559379847775</v>
      </c>
    </row>
    <row r="289" spans="3:9" ht="13.5" thickBot="1" x14ac:dyDescent="0.25">
      <c r="C289" t="s">
        <v>172</v>
      </c>
      <c r="D289" s="94" t="s">
        <v>11</v>
      </c>
      <c r="E289" s="109">
        <f>E272*E288</f>
        <v>28.328691565893443</v>
      </c>
      <c r="F289" s="109">
        <f>F272*F288</f>
        <v>28.328691565893443</v>
      </c>
      <c r="G289" s="109">
        <f>G272*G288</f>
        <v>28.328691565893443</v>
      </c>
      <c r="H289" s="109">
        <f>H272*H288</f>
        <v>28.328691565893443</v>
      </c>
      <c r="I289" s="109">
        <f>I272*I288</f>
        <v>28.328691565893443</v>
      </c>
    </row>
    <row r="290" spans="3:9" x14ac:dyDescent="0.2">
      <c r="C290" s="1015" t="s">
        <v>883</v>
      </c>
      <c r="D290" s="1016" t="s">
        <v>539</v>
      </c>
      <c r="E290" s="1028">
        <f>E232+E252+E272</f>
        <v>155</v>
      </c>
      <c r="F290" s="1028">
        <f>F232+F252+F272</f>
        <v>155</v>
      </c>
      <c r="G290" s="1028">
        <f>G232+G252+G272</f>
        <v>155</v>
      </c>
      <c r="H290" s="1028">
        <f>H232+H252+H272</f>
        <v>155</v>
      </c>
      <c r="I290" s="1029">
        <f>I232+I252+I272</f>
        <v>155</v>
      </c>
    </row>
    <row r="291" spans="3:9" x14ac:dyDescent="0.2">
      <c r="C291" s="1030" t="s">
        <v>781</v>
      </c>
      <c r="D291" s="1031" t="s">
        <v>11</v>
      </c>
      <c r="E291" s="1032">
        <f>E249+E269+E289</f>
        <v>53.914960401339009</v>
      </c>
      <c r="F291" s="1032">
        <f>F249+F269+F289</f>
        <v>53.914960401339009</v>
      </c>
      <c r="G291" s="1032">
        <f>G249+G269+G289</f>
        <v>53.914960401339009</v>
      </c>
      <c r="H291" s="1032">
        <f>H249+H269+H289</f>
        <v>53.914960401339009</v>
      </c>
      <c r="I291" s="1033">
        <f>I249+I269+I289</f>
        <v>53.914960401339009</v>
      </c>
    </row>
    <row r="292" spans="3:9" ht="13.5" thickBot="1" x14ac:dyDescent="0.25">
      <c r="C292" s="1019" t="s">
        <v>829</v>
      </c>
      <c r="D292" s="1020" t="s">
        <v>11</v>
      </c>
      <c r="E292" s="1034">
        <f>IF(E290&gt;0,((E233*E249)+(E253*E269)+(E273*E289)),0)</f>
        <v>35604.655677622446</v>
      </c>
      <c r="F292" s="1034">
        <f>IF(F290&gt;0,((F233*F249)+(F253*F269)+(F273*F289)),0)</f>
        <v>35604.655677622446</v>
      </c>
      <c r="G292" s="1034">
        <f>IF(G290&gt;0,((G233*G249)+(G253*G269)+(G273*G289)),0)</f>
        <v>35604.655677622446</v>
      </c>
      <c r="H292" s="1034">
        <f>IF(H290&gt;0,((H233*H249)+(H253*H269)+(H273*H289)),0)</f>
        <v>35604.655677622446</v>
      </c>
      <c r="I292" s="1035">
        <f>IF(I290&gt;0,((I233*I249)+(I253*I269)+(I273*I289)),0)</f>
        <v>35604.655677622446</v>
      </c>
    </row>
    <row r="293" spans="3:9" x14ac:dyDescent="0.2">
      <c r="C293" s="434"/>
      <c r="D293" s="94"/>
      <c r="E293" s="109"/>
      <c r="F293" s="109"/>
      <c r="G293" s="109"/>
      <c r="H293" s="109"/>
      <c r="I293" s="109"/>
    </row>
    <row r="294" spans="3:9" x14ac:dyDescent="0.2">
      <c r="C294" s="68" t="s">
        <v>541</v>
      </c>
      <c r="D294" s="94"/>
      <c r="E294" s="109"/>
      <c r="F294" s="109"/>
      <c r="G294" s="109"/>
      <c r="H294" s="109"/>
      <c r="I294" s="109"/>
    </row>
    <row r="295" spans="3:9" x14ac:dyDescent="0.2">
      <c r="C295" t="s">
        <v>374</v>
      </c>
      <c r="D295" s="86" t="s">
        <v>295</v>
      </c>
      <c r="E295" s="409">
        <v>90</v>
      </c>
      <c r="F295" s="409">
        <f t="shared" ref="F295:I296" si="28">E295</f>
        <v>90</v>
      </c>
      <c r="G295" s="409">
        <f t="shared" si="28"/>
        <v>90</v>
      </c>
      <c r="H295" s="409">
        <f t="shared" si="28"/>
        <v>90</v>
      </c>
      <c r="I295" s="409">
        <f t="shared" si="28"/>
        <v>90</v>
      </c>
    </row>
    <row r="296" spans="3:9" x14ac:dyDescent="0.2">
      <c r="C296" t="s">
        <v>545</v>
      </c>
      <c r="D296" s="86" t="s">
        <v>296</v>
      </c>
      <c r="E296" s="410">
        <v>0</v>
      </c>
      <c r="F296" s="410">
        <f t="shared" si="28"/>
        <v>0</v>
      </c>
      <c r="G296" s="410">
        <f t="shared" si="28"/>
        <v>0</v>
      </c>
      <c r="H296" s="410">
        <f t="shared" si="28"/>
        <v>0</v>
      </c>
      <c r="I296" s="410">
        <f t="shared" si="28"/>
        <v>0</v>
      </c>
    </row>
    <row r="297" spans="3:9" x14ac:dyDescent="0.2">
      <c r="C297" t="s">
        <v>821</v>
      </c>
      <c r="D297" s="94" t="s">
        <v>11</v>
      </c>
      <c r="E297" s="109">
        <f>IF(E296&gt;0,E296*E295,0)</f>
        <v>0</v>
      </c>
      <c r="F297" s="109">
        <f>IF(F296&gt;0,F296*F295,0)</f>
        <v>0</v>
      </c>
      <c r="G297" s="109">
        <f>IF(G296&gt;0,G296*G295,0)</f>
        <v>0</v>
      </c>
      <c r="H297" s="109">
        <f>IF(H296&gt;0,H296*H295,0)</f>
        <v>0</v>
      </c>
      <c r="I297" s="109">
        <f>IF(I296&gt;0,I296*I295,0)</f>
        <v>0</v>
      </c>
    </row>
    <row r="298" spans="3:9" x14ac:dyDescent="0.2">
      <c r="C298" s="5" t="s">
        <v>782</v>
      </c>
      <c r="D298" s="86" t="s">
        <v>297</v>
      </c>
      <c r="E298" s="415">
        <v>0</v>
      </c>
      <c r="F298" s="415">
        <f>E298</f>
        <v>0</v>
      </c>
      <c r="G298" s="415">
        <f>F298</f>
        <v>0</v>
      </c>
      <c r="H298" s="415">
        <f>G298</f>
        <v>0</v>
      </c>
      <c r="I298" s="415">
        <f>H298</f>
        <v>0</v>
      </c>
    </row>
    <row r="299" spans="3:9" x14ac:dyDescent="0.2">
      <c r="C299" s="5" t="s">
        <v>783</v>
      </c>
      <c r="D299" s="94" t="s">
        <v>11</v>
      </c>
      <c r="E299" s="474">
        <f>IF(E295&gt;0,E295*E298,0)</f>
        <v>0</v>
      </c>
      <c r="F299" s="474">
        <f>IF(F295&gt;0,F295*F298,0)</f>
        <v>0</v>
      </c>
      <c r="G299" s="474">
        <f>IF(G295&gt;0,G295*G298,0)</f>
        <v>0</v>
      </c>
      <c r="H299" s="474">
        <f>IF(H295&gt;0,H295*H298,0)</f>
        <v>0</v>
      </c>
      <c r="I299" s="474">
        <f>IF(I295&gt;0,I295*I298,0)</f>
        <v>0</v>
      </c>
    </row>
    <row r="300" spans="3:9" x14ac:dyDescent="0.2">
      <c r="C300" s="5" t="s">
        <v>784</v>
      </c>
      <c r="D300" s="94" t="s">
        <v>11</v>
      </c>
      <c r="E300" s="474">
        <f>IF(E299&gt;0,E41*E299,0)</f>
        <v>0</v>
      </c>
      <c r="F300" s="474">
        <f>IF(F299&gt;0,F41*F299,0)</f>
        <v>0</v>
      </c>
      <c r="G300" s="474">
        <f>IF(G299&gt;0,G41*G299,0)</f>
        <v>0</v>
      </c>
      <c r="H300" s="474">
        <f>IF(H299&gt;0,H41*H299,0)</f>
        <v>0</v>
      </c>
      <c r="I300" s="474">
        <f>IF(I299&gt;0,I41*I299,0)</f>
        <v>0</v>
      </c>
    </row>
    <row r="301" spans="3:9" ht="13.5" thickBot="1" x14ac:dyDescent="0.25">
      <c r="C301" s="5" t="s">
        <v>785</v>
      </c>
      <c r="D301" s="94" t="s">
        <v>11</v>
      </c>
      <c r="E301" s="475">
        <f>IF(E300&gt;0,E300/2204.6226,0)</f>
        <v>0</v>
      </c>
      <c r="F301" s="475">
        <f>IF(F300&gt;0,F300/2204.6226,0)</f>
        <v>0</v>
      </c>
      <c r="G301" s="475">
        <f>IF(G300&gt;0,G300/2204.6226,0)</f>
        <v>0</v>
      </c>
      <c r="H301" s="475">
        <f>IF(H300&gt;0,H300/2204.6226,0)</f>
        <v>0</v>
      </c>
      <c r="I301" s="475">
        <f>IF(I300&gt;0,I300/2204.6226,0)</f>
        <v>0</v>
      </c>
    </row>
    <row r="302" spans="3:9" x14ac:dyDescent="0.2">
      <c r="C302" s="991" t="s">
        <v>809</v>
      </c>
      <c r="D302" s="992" t="s">
        <v>11</v>
      </c>
      <c r="E302" s="993">
        <f>IF(E303&gt;0,E303/E295,0)</f>
        <v>0</v>
      </c>
      <c r="F302" s="993">
        <f>IF(F303&gt;0,F303/F295,0)</f>
        <v>0</v>
      </c>
      <c r="G302" s="993">
        <f>IF(G303&gt;0,G303/G295,0)</f>
        <v>0</v>
      </c>
      <c r="H302" s="993">
        <f>IF(H303&gt;0,H303/H295,0)</f>
        <v>0</v>
      </c>
      <c r="I302" s="994">
        <f>IF(I303&gt;0,I303/I295,0)</f>
        <v>0</v>
      </c>
    </row>
    <row r="303" spans="3:9" x14ac:dyDescent="0.2">
      <c r="C303" s="995" t="s">
        <v>786</v>
      </c>
      <c r="D303" s="996" t="s">
        <v>11</v>
      </c>
      <c r="E303" s="997">
        <f>IF(E295&gt;1,E297+E130,0)</f>
        <v>0</v>
      </c>
      <c r="F303" s="997">
        <f>IF(F295&gt;1,F297+F130,0)</f>
        <v>0</v>
      </c>
      <c r="G303" s="997">
        <f>IF(G295&gt;1,G297+G130,0)</f>
        <v>0</v>
      </c>
      <c r="H303" s="997">
        <f>IF(H295&gt;1,H297+H130,0)</f>
        <v>0</v>
      </c>
      <c r="I303" s="998">
        <f>IF(I295&gt;1,I297+I130,0)</f>
        <v>0</v>
      </c>
    </row>
    <row r="304" spans="3:9" ht="13.5" thickBot="1" x14ac:dyDescent="0.25">
      <c r="C304" s="999" t="s">
        <v>826</v>
      </c>
      <c r="D304" s="1000" t="s">
        <v>11</v>
      </c>
      <c r="E304" s="1001">
        <f>IF(E303&gt;0,E303*E41,0)</f>
        <v>0</v>
      </c>
      <c r="F304" s="1001">
        <f>IF(F303&gt;0,F303*F41,0)</f>
        <v>0</v>
      </c>
      <c r="G304" s="1001">
        <f>IF(G303&gt;0,G303*G41,0)</f>
        <v>0</v>
      </c>
      <c r="H304" s="1001">
        <f>IF(H303&gt;0,H303*H41,0)</f>
        <v>0</v>
      </c>
      <c r="I304" s="1002">
        <f>IF(I303&gt;0,I303*I41,0)</f>
        <v>0</v>
      </c>
    </row>
    <row r="305" spans="2:9" x14ac:dyDescent="0.2">
      <c r="C305" s="416"/>
      <c r="D305" s="94"/>
      <c r="E305" s="557"/>
      <c r="F305" s="557"/>
      <c r="G305" s="557"/>
      <c r="H305" s="557"/>
      <c r="I305" s="557"/>
    </row>
    <row r="306" spans="2:9" x14ac:dyDescent="0.2">
      <c r="B306" s="68" t="s">
        <v>48</v>
      </c>
    </row>
    <row r="307" spans="2:9" x14ac:dyDescent="0.2">
      <c r="C307" s="68" t="s">
        <v>154</v>
      </c>
      <c r="E307" s="86" t="str">
        <f>$E$14</f>
        <v>Year 1</v>
      </c>
      <c r="F307" s="86" t="str">
        <f>$F$14</f>
        <v>Year 2</v>
      </c>
      <c r="G307" s="86" t="str">
        <f>$G$14</f>
        <v>Year 3</v>
      </c>
      <c r="H307" s="86" t="str">
        <f>$H$14</f>
        <v>Year 4</v>
      </c>
      <c r="I307" s="86" t="str">
        <f>$I$14</f>
        <v>Year 5</v>
      </c>
    </row>
    <row r="308" spans="2:9" x14ac:dyDescent="0.2">
      <c r="C308" s="5" t="s">
        <v>746</v>
      </c>
      <c r="D308" s="86" t="s">
        <v>298</v>
      </c>
      <c r="E308" s="410">
        <v>14</v>
      </c>
      <c r="F308" s="410">
        <f>E308*(1+E$381)</f>
        <v>14.280000000000001</v>
      </c>
      <c r="G308" s="410">
        <f>F308*(1+F$381)</f>
        <v>14.565600000000002</v>
      </c>
      <c r="H308" s="410">
        <f>G308*(1+G$381)</f>
        <v>14.856912000000001</v>
      </c>
      <c r="I308" s="410">
        <f>H308*(1+H$381)</f>
        <v>15.154050240000002</v>
      </c>
    </row>
    <row r="309" spans="2:9" x14ac:dyDescent="0.2">
      <c r="C309" t="s">
        <v>244</v>
      </c>
      <c r="D309" s="94" t="s">
        <v>11</v>
      </c>
      <c r="E309" s="419">
        <f>E15-E20+E23+E25-E22</f>
        <v>400</v>
      </c>
      <c r="F309" s="419">
        <f>F15-F20+F23+F25-F22</f>
        <v>400</v>
      </c>
      <c r="G309" s="419">
        <f>G15-G20+G23+G25-G22</f>
        <v>400</v>
      </c>
      <c r="H309" s="419">
        <f>H15-H20+H23+H25-H22</f>
        <v>400</v>
      </c>
      <c r="I309" s="419">
        <f>I15-I20+I23+I25-I22</f>
        <v>400</v>
      </c>
    </row>
    <row r="310" spans="2:9" x14ac:dyDescent="0.2">
      <c r="C310" t="s">
        <v>246</v>
      </c>
      <c r="D310" s="94" t="s">
        <v>11</v>
      </c>
      <c r="E310" s="418">
        <f>E16+E33-E73</f>
        <v>10.3</v>
      </c>
      <c r="F310" s="418">
        <f>F16+F33-F73</f>
        <v>10.3</v>
      </c>
      <c r="G310" s="418">
        <f>G16+G33-G73</f>
        <v>10.3</v>
      </c>
      <c r="H310" s="418">
        <f>H16+H33-H73</f>
        <v>10.3</v>
      </c>
      <c r="I310" s="418">
        <f>I16+I33-I73</f>
        <v>10.3</v>
      </c>
    </row>
    <row r="311" spans="2:9" x14ac:dyDescent="0.2">
      <c r="C311" t="s">
        <v>200</v>
      </c>
      <c r="D311" s="94" t="s">
        <v>11</v>
      </c>
      <c r="E311" s="559">
        <f>E308*(E309+E310)</f>
        <v>5744.2</v>
      </c>
      <c r="F311" s="559">
        <f>F308*(F309+F310)</f>
        <v>5859.0840000000007</v>
      </c>
      <c r="G311" s="559">
        <f>G308*(G309+G310)</f>
        <v>5976.2656800000004</v>
      </c>
      <c r="H311" s="559">
        <f>H308*(H309+H310)</f>
        <v>6095.7909936000005</v>
      </c>
      <c r="I311" s="559">
        <f>I308*(I309+I310)</f>
        <v>6217.7068134720012</v>
      </c>
    </row>
    <row r="312" spans="2:9" x14ac:dyDescent="0.2">
      <c r="D312" s="86"/>
      <c r="E312" s="558"/>
      <c r="F312" s="558"/>
      <c r="G312" s="558"/>
      <c r="H312" s="558"/>
      <c r="I312" s="558"/>
    </row>
    <row r="313" spans="2:9" x14ac:dyDescent="0.2">
      <c r="C313" s="68" t="s">
        <v>245</v>
      </c>
      <c r="F313" s="1" t="s">
        <v>1</v>
      </c>
      <c r="G313" s="1" t="s">
        <v>1</v>
      </c>
      <c r="H313" s="1" t="s">
        <v>1</v>
      </c>
      <c r="I313" s="1" t="s">
        <v>1</v>
      </c>
    </row>
    <row r="314" spans="2:9" x14ac:dyDescent="0.2">
      <c r="C314" t="s">
        <v>954</v>
      </c>
      <c r="D314" s="86" t="s">
        <v>299</v>
      </c>
      <c r="E314" s="410">
        <v>0</v>
      </c>
      <c r="F314" s="410">
        <f t="shared" ref="F314:I316" si="29">E314*(1+E$381)</f>
        <v>0</v>
      </c>
      <c r="G314" s="410">
        <f t="shared" si="29"/>
        <v>0</v>
      </c>
      <c r="H314" s="410">
        <f t="shared" si="29"/>
        <v>0</v>
      </c>
      <c r="I314" s="410">
        <f t="shared" si="29"/>
        <v>0</v>
      </c>
    </row>
    <row r="315" spans="2:9" x14ac:dyDescent="0.2">
      <c r="C315" t="s">
        <v>412</v>
      </c>
      <c r="D315" s="86" t="s">
        <v>300</v>
      </c>
      <c r="E315" s="410">
        <v>4.5</v>
      </c>
      <c r="F315" s="410">
        <f t="shared" si="29"/>
        <v>4.59</v>
      </c>
      <c r="G315" s="410">
        <f t="shared" si="29"/>
        <v>4.6818</v>
      </c>
      <c r="H315" s="410">
        <f t="shared" si="29"/>
        <v>4.775436</v>
      </c>
      <c r="I315" s="410">
        <f t="shared" si="29"/>
        <v>4.8709447199999998</v>
      </c>
    </row>
    <row r="316" spans="2:9" x14ac:dyDescent="0.2">
      <c r="C316" t="s">
        <v>650</v>
      </c>
      <c r="D316" s="86" t="s">
        <v>301</v>
      </c>
      <c r="E316" s="410">
        <v>4</v>
      </c>
      <c r="F316" s="410">
        <f t="shared" si="29"/>
        <v>4.08</v>
      </c>
      <c r="G316" s="410">
        <f t="shared" si="29"/>
        <v>4.1616</v>
      </c>
      <c r="H316" s="410">
        <f t="shared" si="29"/>
        <v>4.2448319999999997</v>
      </c>
      <c r="I316" s="410">
        <f t="shared" si="29"/>
        <v>4.3297286399999999</v>
      </c>
    </row>
    <row r="317" spans="2:9" x14ac:dyDescent="0.2">
      <c r="C317" t="s">
        <v>352</v>
      </c>
      <c r="D317" s="94" t="s">
        <v>11</v>
      </c>
      <c r="E317" s="465">
        <f>E15-E20-E22+E23+E25</f>
        <v>400</v>
      </c>
      <c r="F317" s="465">
        <f>F15-F20-F22+F23+F25</f>
        <v>400</v>
      </c>
      <c r="G317" s="465">
        <f>G15-G20-G22+G23+G25</f>
        <v>400</v>
      </c>
      <c r="H317" s="465">
        <f>H15-H20-H22+H23+H25</f>
        <v>400</v>
      </c>
      <c r="I317" s="465">
        <f>I15-I20-I22+I23+I25</f>
        <v>400</v>
      </c>
    </row>
    <row r="318" spans="2:9" x14ac:dyDescent="0.2">
      <c r="C318" t="s">
        <v>554</v>
      </c>
      <c r="D318" s="94" t="s">
        <v>11</v>
      </c>
      <c r="E318" s="109">
        <f>(E314+E315+E316)*E317</f>
        <v>3400</v>
      </c>
      <c r="F318" s="109">
        <f>(F314+F315+F316)*F317</f>
        <v>3468</v>
      </c>
      <c r="G318" s="109">
        <f>(G314+G315+G316)*G317</f>
        <v>3537.3599999999997</v>
      </c>
      <c r="H318" s="109">
        <f>(H314+H315+H316)*H317</f>
        <v>3608.1071999999999</v>
      </c>
      <c r="I318" s="109">
        <f>(I314+I315+I316)*I317</f>
        <v>3680.2693439999998</v>
      </c>
    </row>
    <row r="319" spans="2:9" x14ac:dyDescent="0.2">
      <c r="D319" s="94"/>
      <c r="E319" s="466"/>
      <c r="F319" s="466"/>
      <c r="G319" s="466"/>
      <c r="H319" s="466"/>
      <c r="I319" s="466"/>
    </row>
    <row r="320" spans="2:9" x14ac:dyDescent="0.2">
      <c r="C320" s="68" t="s">
        <v>314</v>
      </c>
      <c r="D320" s="86"/>
      <c r="E320" s="241"/>
      <c r="F320" s="241"/>
      <c r="G320" s="241"/>
      <c r="H320" s="241"/>
      <c r="I320" s="241"/>
    </row>
    <row r="321" spans="3:9" x14ac:dyDescent="0.2">
      <c r="C321" t="s">
        <v>315</v>
      </c>
      <c r="D321" s="86" t="s">
        <v>302</v>
      </c>
      <c r="E321" s="406">
        <v>1000</v>
      </c>
      <c r="F321" s="406">
        <f>E321</f>
        <v>1000</v>
      </c>
      <c r="G321" s="406">
        <f>F321</f>
        <v>1000</v>
      </c>
      <c r="H321" s="406">
        <f t="shared" ref="H321:I321" si="30">G321</f>
        <v>1000</v>
      </c>
      <c r="I321" s="406">
        <f t="shared" si="30"/>
        <v>1000</v>
      </c>
    </row>
    <row r="322" spans="3:9" x14ac:dyDescent="0.2">
      <c r="C322" t="s">
        <v>317</v>
      </c>
      <c r="D322" s="86" t="s">
        <v>303</v>
      </c>
      <c r="E322" s="406">
        <v>500</v>
      </c>
      <c r="F322" s="406">
        <f>E322*(1+E$381)</f>
        <v>510</v>
      </c>
      <c r="G322" s="406">
        <f>F322*(1+F$381)</f>
        <v>520.20000000000005</v>
      </c>
      <c r="H322" s="406">
        <f>G322*(1+G$381)</f>
        <v>530.60400000000004</v>
      </c>
      <c r="I322" s="406">
        <f>H322*(1+H$381)</f>
        <v>541.21608000000003</v>
      </c>
    </row>
    <row r="323" spans="3:9" x14ac:dyDescent="0.2">
      <c r="D323" s="86"/>
      <c r="E323" s="99"/>
      <c r="F323" s="99"/>
      <c r="G323" s="99"/>
      <c r="H323" s="99"/>
      <c r="I323" s="99"/>
    </row>
    <row r="324" spans="3:9" x14ac:dyDescent="0.2">
      <c r="C324" s="68" t="s">
        <v>320</v>
      </c>
      <c r="D324" s="86"/>
      <c r="E324" s="35"/>
      <c r="F324" s="35"/>
      <c r="G324" s="35"/>
      <c r="H324" s="35"/>
      <c r="I324" s="35"/>
    </row>
    <row r="325" spans="3:9" x14ac:dyDescent="0.2">
      <c r="C325" t="s">
        <v>316</v>
      </c>
      <c r="D325" s="86" t="s">
        <v>304</v>
      </c>
      <c r="E325" s="406">
        <v>700</v>
      </c>
      <c r="F325" s="406">
        <f>E325</f>
        <v>700</v>
      </c>
      <c r="G325" s="406">
        <f t="shared" ref="G325:I325" si="31">F325</f>
        <v>700</v>
      </c>
      <c r="H325" s="406">
        <f t="shared" si="31"/>
        <v>700</v>
      </c>
      <c r="I325" s="406">
        <f t="shared" si="31"/>
        <v>700</v>
      </c>
    </row>
    <row r="326" spans="3:9" x14ac:dyDescent="0.2">
      <c r="C326" t="s">
        <v>317</v>
      </c>
      <c r="D326" s="86" t="s">
        <v>305</v>
      </c>
      <c r="E326" s="406">
        <v>500</v>
      </c>
      <c r="F326" s="406">
        <f>E326*(1+E$381)</f>
        <v>510</v>
      </c>
      <c r="G326" s="406">
        <f>F326*(1+F$381)</f>
        <v>520.20000000000005</v>
      </c>
      <c r="H326" s="406">
        <f>G326*(1+G$381)</f>
        <v>530.60400000000004</v>
      </c>
      <c r="I326" s="406">
        <f>H326*(1+H$381)</f>
        <v>541.21608000000003</v>
      </c>
    </row>
    <row r="327" spans="3:9" x14ac:dyDescent="0.2">
      <c r="D327" s="86"/>
      <c r="E327" s="36"/>
      <c r="F327" s="36"/>
      <c r="G327" s="36"/>
      <c r="H327" s="36"/>
      <c r="I327" s="36"/>
    </row>
    <row r="328" spans="3:9" x14ac:dyDescent="0.2">
      <c r="C328" s="68" t="s">
        <v>157</v>
      </c>
      <c r="E328" s="41" t="str">
        <f>$E$14</f>
        <v>Year 1</v>
      </c>
      <c r="F328" s="41" t="str">
        <f>$F$14</f>
        <v>Year 2</v>
      </c>
      <c r="G328" s="41" t="str">
        <f>$G$14</f>
        <v>Year 3</v>
      </c>
      <c r="H328" s="41" t="str">
        <f>$H$14</f>
        <v>Year 4</v>
      </c>
      <c r="I328" s="41" t="str">
        <f>$I$14</f>
        <v>Year 5</v>
      </c>
    </row>
    <row r="329" spans="3:9" x14ac:dyDescent="0.2">
      <c r="C329" s="5" t="s">
        <v>858</v>
      </c>
      <c r="D329" s="86" t="s">
        <v>306</v>
      </c>
      <c r="E329" s="412">
        <v>18</v>
      </c>
      <c r="F329" s="412">
        <f>E329</f>
        <v>18</v>
      </c>
      <c r="G329" s="412">
        <f t="shared" ref="G329:I329" si="32">F329</f>
        <v>18</v>
      </c>
      <c r="H329" s="412">
        <f t="shared" si="32"/>
        <v>18</v>
      </c>
      <c r="I329" s="412">
        <f t="shared" si="32"/>
        <v>18</v>
      </c>
    </row>
    <row r="330" spans="3:9" x14ac:dyDescent="0.2">
      <c r="C330" s="5" t="s">
        <v>859</v>
      </c>
      <c r="D330" s="94" t="s">
        <v>11</v>
      </c>
      <c r="E330" s="618">
        <f>E329*52</f>
        <v>936</v>
      </c>
      <c r="F330" s="618">
        <f>F329*52</f>
        <v>936</v>
      </c>
      <c r="G330" s="618">
        <f>G329*52</f>
        <v>936</v>
      </c>
      <c r="H330" s="618">
        <f>H329*52</f>
        <v>936</v>
      </c>
      <c r="I330" s="618">
        <f>I329*52</f>
        <v>936</v>
      </c>
    </row>
    <row r="331" spans="3:9" x14ac:dyDescent="0.2">
      <c r="C331" s="5" t="s">
        <v>860</v>
      </c>
      <c r="D331" s="86" t="s">
        <v>328</v>
      </c>
      <c r="E331" s="412">
        <v>150</v>
      </c>
      <c r="F331" s="412">
        <f>E331</f>
        <v>150</v>
      </c>
      <c r="G331" s="412">
        <f>F331</f>
        <v>150</v>
      </c>
      <c r="H331" s="412">
        <f>G331</f>
        <v>150</v>
      </c>
      <c r="I331" s="412">
        <f>H331</f>
        <v>150</v>
      </c>
    </row>
    <row r="332" spans="3:9" x14ac:dyDescent="0.2">
      <c r="C332" s="5" t="s">
        <v>861</v>
      </c>
      <c r="D332" s="94" t="s">
        <v>11</v>
      </c>
      <c r="E332" s="619">
        <f>E330+E331</f>
        <v>1086</v>
      </c>
      <c r="F332" s="619">
        <f>F330+F331</f>
        <v>1086</v>
      </c>
      <c r="G332" s="619">
        <f>G330+G331</f>
        <v>1086</v>
      </c>
      <c r="H332" s="619">
        <f>H330+H331</f>
        <v>1086</v>
      </c>
      <c r="I332" s="619">
        <f>I330+I331</f>
        <v>1086</v>
      </c>
    </row>
    <row r="333" spans="3:9" x14ac:dyDescent="0.2">
      <c r="C333" s="5" t="s">
        <v>853</v>
      </c>
      <c r="D333" s="86" t="s">
        <v>329</v>
      </c>
      <c r="E333" s="410">
        <v>20</v>
      </c>
      <c r="F333" s="410">
        <f>E333*(1+E$381)</f>
        <v>20.399999999999999</v>
      </c>
      <c r="G333" s="410">
        <f>F333*(1+F$381)</f>
        <v>20.808</v>
      </c>
      <c r="H333" s="410">
        <f>G333*(1+G$381)</f>
        <v>21.224160000000001</v>
      </c>
      <c r="I333" s="410">
        <f>H333*(1+H$381)</f>
        <v>21.648643200000002</v>
      </c>
    </row>
    <row r="334" spans="3:9" x14ac:dyDescent="0.2">
      <c r="C334" t="s">
        <v>156</v>
      </c>
      <c r="D334" s="94" t="s">
        <v>11</v>
      </c>
      <c r="E334" s="112">
        <f>E332*E333</f>
        <v>21720</v>
      </c>
      <c r="F334" s="112">
        <f>F332*F333</f>
        <v>22154.399999999998</v>
      </c>
      <c r="G334" s="112">
        <f>G332*G333</f>
        <v>22597.488000000001</v>
      </c>
      <c r="H334" s="112">
        <f>H332*H333</f>
        <v>23049.437760000001</v>
      </c>
      <c r="I334" s="112">
        <f>I332*I333</f>
        <v>23510.426515200001</v>
      </c>
    </row>
    <row r="335" spans="3:9" x14ac:dyDescent="0.2">
      <c r="D335" s="94"/>
      <c r="E335" s="466"/>
      <c r="F335" s="466"/>
      <c r="G335" s="466"/>
      <c r="H335" s="466"/>
      <c r="I335" s="466"/>
    </row>
    <row r="336" spans="3:9" x14ac:dyDescent="0.2">
      <c r="C336" s="68" t="s">
        <v>155</v>
      </c>
      <c r="E336" s="86" t="str">
        <f>$E$14</f>
        <v>Year 1</v>
      </c>
      <c r="F336" s="86" t="str">
        <f>$F$14</f>
        <v>Year 2</v>
      </c>
      <c r="G336" s="86" t="str">
        <f>$G$14</f>
        <v>Year 3</v>
      </c>
      <c r="H336" s="86" t="str">
        <f>$H$14</f>
        <v>Year 4</v>
      </c>
      <c r="I336" s="86" t="str">
        <f>$I$14</f>
        <v>Year 5</v>
      </c>
    </row>
    <row r="337" spans="3:9" x14ac:dyDescent="0.2">
      <c r="C337" s="5" t="s">
        <v>265</v>
      </c>
      <c r="D337" s="86" t="s">
        <v>330</v>
      </c>
      <c r="E337" s="406">
        <v>2400</v>
      </c>
      <c r="F337" s="406">
        <f>E337*(1+E$381)</f>
        <v>2448</v>
      </c>
      <c r="G337" s="406">
        <f>F337*(1+F$381)</f>
        <v>2496.96</v>
      </c>
      <c r="H337" s="406">
        <f>G337*(1+G$381)</f>
        <v>2546.8992000000003</v>
      </c>
      <c r="I337" s="406">
        <f>H337*(1+H$381)</f>
        <v>2597.8371840000004</v>
      </c>
    </row>
    <row r="338" spans="3:9" x14ac:dyDescent="0.2">
      <c r="C338" t="s">
        <v>247</v>
      </c>
      <c r="D338" s="94" t="s">
        <v>11</v>
      </c>
      <c r="E338" s="109">
        <f>E337/E309</f>
        <v>6</v>
      </c>
      <c r="F338" s="109">
        <f>F337/F309</f>
        <v>6.12</v>
      </c>
      <c r="G338" s="109">
        <f>G337/G309</f>
        <v>6.2423999999999999</v>
      </c>
      <c r="H338" s="109">
        <f>H337/H309</f>
        <v>6.3672480000000009</v>
      </c>
      <c r="I338" s="109">
        <f>I337/I309</f>
        <v>6.4945929600000012</v>
      </c>
    </row>
    <row r="339" spans="3:9" x14ac:dyDescent="0.2">
      <c r="C339" t="s">
        <v>552</v>
      </c>
      <c r="D339" s="86" t="s">
        <v>331</v>
      </c>
      <c r="E339" s="406">
        <v>0</v>
      </c>
      <c r="F339" s="406">
        <f>E339*(1+E$381)</f>
        <v>0</v>
      </c>
      <c r="G339" s="406">
        <f>F339*(1+F$381)</f>
        <v>0</v>
      </c>
      <c r="H339" s="406">
        <f>G339*(1+G$381)</f>
        <v>0</v>
      </c>
      <c r="I339" s="406">
        <f>H339*(1+H$381)</f>
        <v>0</v>
      </c>
    </row>
    <row r="340" spans="3:9" x14ac:dyDescent="0.2">
      <c r="C340" t="s">
        <v>474</v>
      </c>
      <c r="D340" s="94" t="s">
        <v>11</v>
      </c>
      <c r="E340" s="111">
        <f>E337+E339</f>
        <v>2400</v>
      </c>
      <c r="F340" s="111">
        <f>F337+F339</f>
        <v>2448</v>
      </c>
      <c r="G340" s="111">
        <f>G337+G339</f>
        <v>2496.96</v>
      </c>
      <c r="H340" s="111">
        <f>H337+H339</f>
        <v>2546.8992000000003</v>
      </c>
      <c r="I340" s="111">
        <f>I337+I339</f>
        <v>2597.8371840000004</v>
      </c>
    </row>
    <row r="341" spans="3:9" x14ac:dyDescent="0.2">
      <c r="D341" s="86"/>
      <c r="E341" s="241"/>
      <c r="F341" s="241"/>
      <c r="G341" s="241"/>
      <c r="H341" s="241"/>
      <c r="I341" s="241"/>
    </row>
    <row r="342" spans="3:9" x14ac:dyDescent="0.2">
      <c r="C342" s="68" t="s">
        <v>159</v>
      </c>
      <c r="D342" s="86"/>
      <c r="E342" s="241"/>
      <c r="F342" s="241"/>
      <c r="G342" s="241"/>
      <c r="H342" s="241"/>
      <c r="I342" s="241"/>
    </row>
    <row r="343" spans="3:9" x14ac:dyDescent="0.2">
      <c r="C343" t="s">
        <v>160</v>
      </c>
      <c r="D343" s="86" t="s">
        <v>332</v>
      </c>
      <c r="E343" s="406">
        <v>2500</v>
      </c>
      <c r="F343" s="406">
        <f>E343*(1+E$381)</f>
        <v>2550</v>
      </c>
      <c r="G343" s="406">
        <f>F343*(1+F$381)</f>
        <v>2601</v>
      </c>
      <c r="H343" s="406">
        <f>G343*(1+G$381)</f>
        <v>2653.02</v>
      </c>
      <c r="I343" s="406">
        <f>H343*(1+H$381)</f>
        <v>2706.0803999999998</v>
      </c>
    </row>
    <row r="344" spans="3:9" x14ac:dyDescent="0.2">
      <c r="C344" t="s">
        <v>248</v>
      </c>
      <c r="D344" s="94" t="s">
        <v>11</v>
      </c>
      <c r="E344" s="472">
        <f>E343/E309</f>
        <v>6.25</v>
      </c>
      <c r="F344" s="472">
        <f>F343/F309</f>
        <v>6.375</v>
      </c>
      <c r="G344" s="472">
        <f>G343/G309</f>
        <v>6.5025000000000004</v>
      </c>
      <c r="H344" s="472">
        <f>H343/H309</f>
        <v>6.6325500000000002</v>
      </c>
      <c r="I344" s="472">
        <f>I343/I309</f>
        <v>6.7652009999999994</v>
      </c>
    </row>
    <row r="345" spans="3:9" x14ac:dyDescent="0.2">
      <c r="C345" t="s">
        <v>162</v>
      </c>
      <c r="D345" s="86" t="s">
        <v>333</v>
      </c>
      <c r="E345" s="406">
        <v>1000</v>
      </c>
      <c r="F345" s="406">
        <f>E345*(1+E$381)</f>
        <v>1020</v>
      </c>
      <c r="G345" s="406">
        <f>F345*(1+F$381)</f>
        <v>1040.4000000000001</v>
      </c>
      <c r="H345" s="406">
        <f>G345*(1+G$381)</f>
        <v>1061.2080000000001</v>
      </c>
      <c r="I345" s="406">
        <f>H345*(1+H$381)</f>
        <v>1082.4321600000001</v>
      </c>
    </row>
    <row r="346" spans="3:9" x14ac:dyDescent="0.2">
      <c r="C346" t="s">
        <v>249</v>
      </c>
      <c r="D346" s="94" t="s">
        <v>11</v>
      </c>
      <c r="E346" s="110">
        <f>E345/E309</f>
        <v>2.5</v>
      </c>
      <c r="F346" s="110">
        <f>F345/F309</f>
        <v>2.5499999999999998</v>
      </c>
      <c r="G346" s="110">
        <f>G345/G309</f>
        <v>2.6010000000000004</v>
      </c>
      <c r="H346" s="110">
        <f>H345/H309</f>
        <v>2.6530200000000002</v>
      </c>
      <c r="I346" s="110">
        <f>I345/I309</f>
        <v>2.7060804000000003</v>
      </c>
    </row>
    <row r="348" spans="3:9" x14ac:dyDescent="0.2">
      <c r="C348" s="68" t="s">
        <v>547</v>
      </c>
    </row>
    <row r="349" spans="3:9" x14ac:dyDescent="0.2">
      <c r="C349" t="s">
        <v>161</v>
      </c>
      <c r="D349" s="86" t="s">
        <v>334</v>
      </c>
      <c r="E349" s="406">
        <v>2000</v>
      </c>
      <c r="F349" s="406">
        <f>E349*(1+E$381)</f>
        <v>2040</v>
      </c>
      <c r="G349" s="406">
        <f>F349*(1+F$381)</f>
        <v>2080.8000000000002</v>
      </c>
      <c r="H349" s="406">
        <f>G349*(1+G$381)</f>
        <v>2122.4160000000002</v>
      </c>
      <c r="I349" s="406">
        <f>H349*(1+H$381)</f>
        <v>2164.8643200000001</v>
      </c>
    </row>
    <row r="350" spans="3:9" x14ac:dyDescent="0.2">
      <c r="C350" t="s">
        <v>250</v>
      </c>
      <c r="D350" s="94" t="s">
        <v>11</v>
      </c>
      <c r="E350" s="110">
        <f>E349/E309</f>
        <v>5</v>
      </c>
      <c r="F350" s="110">
        <f>F349/F309</f>
        <v>5.0999999999999996</v>
      </c>
      <c r="G350" s="110">
        <f>G349/G309</f>
        <v>5.2020000000000008</v>
      </c>
      <c r="H350" s="110">
        <f>H349/H309</f>
        <v>5.3060400000000003</v>
      </c>
      <c r="I350" s="110">
        <f>I349/I309</f>
        <v>5.4121608000000005</v>
      </c>
    </row>
    <row r="351" spans="3:9" x14ac:dyDescent="0.2">
      <c r="C351" t="s">
        <v>165</v>
      </c>
      <c r="D351" s="86" t="s">
        <v>335</v>
      </c>
      <c r="E351" s="406">
        <v>1500</v>
      </c>
      <c r="F351" s="406">
        <f>E351*(1+E$381)</f>
        <v>1530</v>
      </c>
      <c r="G351" s="406">
        <f>F351*(1+F$381)</f>
        <v>1560.6000000000001</v>
      </c>
      <c r="H351" s="406">
        <f>G351*(1+G$381)</f>
        <v>1591.8120000000001</v>
      </c>
      <c r="I351" s="406">
        <f>H351*(1+H$381)</f>
        <v>1623.6482400000002</v>
      </c>
    </row>
    <row r="352" spans="3:9" x14ac:dyDescent="0.2">
      <c r="C352" t="s">
        <v>251</v>
      </c>
      <c r="D352" s="94" t="s">
        <v>11</v>
      </c>
      <c r="E352" s="110">
        <f>E351/E309</f>
        <v>3.75</v>
      </c>
      <c r="F352" s="110">
        <f>F351/F309</f>
        <v>3.8250000000000002</v>
      </c>
      <c r="G352" s="110">
        <f>G351/G309</f>
        <v>3.9015000000000004</v>
      </c>
      <c r="H352" s="110">
        <f>H351/H309</f>
        <v>3.9795300000000005</v>
      </c>
      <c r="I352" s="110">
        <f>I351/I309</f>
        <v>4.0591206000000009</v>
      </c>
    </row>
    <row r="353" spans="2:9" x14ac:dyDescent="0.2">
      <c r="D353" s="86"/>
      <c r="E353" s="241"/>
      <c r="F353" s="241"/>
      <c r="G353" s="241"/>
      <c r="H353" s="241"/>
      <c r="I353" s="241"/>
    </row>
    <row r="354" spans="2:9" x14ac:dyDescent="0.2">
      <c r="B354" s="68" t="s">
        <v>652</v>
      </c>
    </row>
    <row r="355" spans="2:9" x14ac:dyDescent="0.2">
      <c r="C355" s="68" t="s">
        <v>143</v>
      </c>
      <c r="D355" s="86"/>
      <c r="E355" s="86" t="str">
        <f>$E$14</f>
        <v>Year 1</v>
      </c>
      <c r="F355" s="86" t="str">
        <f>$F$14</f>
        <v>Year 2</v>
      </c>
      <c r="G355" s="86" t="str">
        <f>$G$14</f>
        <v>Year 3</v>
      </c>
      <c r="H355" s="86" t="str">
        <f>$H$14</f>
        <v>Year 4</v>
      </c>
      <c r="I355" s="86" t="str">
        <f>$I$14</f>
        <v>Year 5</v>
      </c>
    </row>
    <row r="356" spans="2:9" x14ac:dyDescent="0.2">
      <c r="C356" t="s">
        <v>653</v>
      </c>
      <c r="D356" s="86" t="s">
        <v>336</v>
      </c>
      <c r="E356" s="410">
        <v>4.5</v>
      </c>
      <c r="F356" s="410">
        <f t="shared" ref="F356:I357" si="33">E356</f>
        <v>4.5</v>
      </c>
      <c r="G356" s="410">
        <f t="shared" si="33"/>
        <v>4.5</v>
      </c>
      <c r="H356" s="410">
        <f t="shared" si="33"/>
        <v>4.5</v>
      </c>
      <c r="I356" s="410">
        <f t="shared" si="33"/>
        <v>4.5</v>
      </c>
    </row>
    <row r="357" spans="2:9" x14ac:dyDescent="0.2">
      <c r="C357" t="s">
        <v>658</v>
      </c>
      <c r="D357" s="86" t="s">
        <v>337</v>
      </c>
      <c r="E357" s="410">
        <v>4.5</v>
      </c>
      <c r="F357" s="410">
        <f t="shared" si="33"/>
        <v>4.5</v>
      </c>
      <c r="G357" s="410">
        <f t="shared" si="33"/>
        <v>4.5</v>
      </c>
      <c r="H357" s="410">
        <f t="shared" si="33"/>
        <v>4.5</v>
      </c>
      <c r="I357" s="410">
        <f t="shared" si="33"/>
        <v>4.5</v>
      </c>
    </row>
    <row r="358" spans="2:9" x14ac:dyDescent="0.2">
      <c r="C358" t="s">
        <v>163</v>
      </c>
      <c r="D358" s="94" t="s">
        <v>11</v>
      </c>
      <c r="E358" s="112">
        <f>(E56+E51)*E356+(E22+E73)*E357</f>
        <v>2727</v>
      </c>
      <c r="F358" s="112">
        <f>(F56+F51)*F356+(F22+F73)*F357</f>
        <v>2727</v>
      </c>
      <c r="G358" s="112">
        <f>(G56+G51)*G356+(G22+G73)*G357</f>
        <v>2727</v>
      </c>
      <c r="H358" s="112">
        <f>(H56+H51)*H356+(H22+H73)*H357</f>
        <v>2727</v>
      </c>
      <c r="I358" s="112">
        <f>(I56+I51)*I356+(I22+I73)*I357</f>
        <v>2727</v>
      </c>
    </row>
    <row r="359" spans="2:9" x14ac:dyDescent="0.2">
      <c r="D359" s="94"/>
      <c r="E359" s="111"/>
      <c r="F359" s="111"/>
      <c r="G359" s="111"/>
      <c r="H359" s="111"/>
      <c r="I359" s="111"/>
    </row>
    <row r="360" spans="2:9" x14ac:dyDescent="0.2">
      <c r="C360" s="68" t="s">
        <v>651</v>
      </c>
      <c r="D360" s="86"/>
      <c r="E360" s="86" t="str">
        <f>$E$14</f>
        <v>Year 1</v>
      </c>
      <c r="F360" s="86" t="str">
        <f>$F$14</f>
        <v>Year 2</v>
      </c>
      <c r="G360" s="86" t="str">
        <f>$G$14</f>
        <v>Year 3</v>
      </c>
      <c r="H360" s="86" t="str">
        <f>$H$14</f>
        <v>Year 4</v>
      </c>
      <c r="I360" s="86" t="str">
        <f>$I$14</f>
        <v>Year 5</v>
      </c>
    </row>
    <row r="361" spans="2:9" x14ac:dyDescent="0.2">
      <c r="C361" t="s">
        <v>654</v>
      </c>
      <c r="D361" s="86" t="s">
        <v>353</v>
      </c>
      <c r="E361" s="410">
        <v>3.9</v>
      </c>
      <c r="F361" s="410">
        <f t="shared" ref="F361:I362" si="34">E361</f>
        <v>3.9</v>
      </c>
      <c r="G361" s="410">
        <f t="shared" si="34"/>
        <v>3.9</v>
      </c>
      <c r="H361" s="410">
        <f t="shared" si="34"/>
        <v>3.9</v>
      </c>
      <c r="I361" s="410">
        <f t="shared" si="34"/>
        <v>3.9</v>
      </c>
    </row>
    <row r="362" spans="2:9" x14ac:dyDescent="0.2">
      <c r="C362" t="s">
        <v>656</v>
      </c>
      <c r="D362" s="86" t="s">
        <v>354</v>
      </c>
      <c r="E362" s="410">
        <v>3.9</v>
      </c>
      <c r="F362" s="410">
        <f t="shared" si="34"/>
        <v>3.9</v>
      </c>
      <c r="G362" s="410">
        <f t="shared" si="34"/>
        <v>3.9</v>
      </c>
      <c r="H362" s="410">
        <f t="shared" si="34"/>
        <v>3.9</v>
      </c>
      <c r="I362" s="410">
        <f t="shared" si="34"/>
        <v>3.9</v>
      </c>
    </row>
    <row r="363" spans="2:9" x14ac:dyDescent="0.2">
      <c r="C363" t="s">
        <v>655</v>
      </c>
      <c r="D363" s="94" t="s">
        <v>11</v>
      </c>
      <c r="E363" s="112">
        <f>(E56+E51)*E361+(E22+E73)*E362</f>
        <v>2363.4</v>
      </c>
      <c r="F363" s="112">
        <f>(F56+F51)*F361+(F22+F73)*F362</f>
        <v>2363.4</v>
      </c>
      <c r="G363" s="112">
        <f>(G56+G51)*G361+(G22+G73)*G362</f>
        <v>2363.4</v>
      </c>
      <c r="H363" s="112">
        <f>(H56+H51)*H361+(H22+H73)*H362</f>
        <v>2363.4</v>
      </c>
      <c r="I363" s="112">
        <f>(I56+I51)*I361+(I22+I73)*I362</f>
        <v>2363.4</v>
      </c>
    </row>
    <row r="364" spans="2:9" x14ac:dyDescent="0.2">
      <c r="D364" s="94"/>
      <c r="E364" s="111"/>
      <c r="F364" s="111"/>
      <c r="G364" s="111"/>
      <c r="H364" s="111"/>
      <c r="I364" s="111"/>
    </row>
    <row r="365" spans="2:9" x14ac:dyDescent="0.2">
      <c r="C365" s="68" t="s">
        <v>62</v>
      </c>
      <c r="E365" s="86" t="str">
        <f>$E$14</f>
        <v>Year 1</v>
      </c>
      <c r="F365" s="86" t="str">
        <f>$F$14</f>
        <v>Year 2</v>
      </c>
      <c r="G365" s="86" t="str">
        <f>$G$14</f>
        <v>Year 3</v>
      </c>
      <c r="H365" s="86" t="str">
        <f>$H$14</f>
        <v>Year 4</v>
      </c>
      <c r="I365" s="86" t="str">
        <f>$I$14</f>
        <v>Year 5</v>
      </c>
    </row>
    <row r="366" spans="2:9" x14ac:dyDescent="0.2">
      <c r="C366" t="s">
        <v>252</v>
      </c>
      <c r="D366" s="86" t="s">
        <v>355</v>
      </c>
      <c r="E366" s="410">
        <v>12</v>
      </c>
      <c r="F366" s="410">
        <f t="shared" ref="F366:I367" si="35">E366*(1+E$381)</f>
        <v>12.24</v>
      </c>
      <c r="G366" s="410">
        <f t="shared" si="35"/>
        <v>12.4848</v>
      </c>
      <c r="H366" s="410">
        <f t="shared" si="35"/>
        <v>12.734496</v>
      </c>
      <c r="I366" s="410">
        <f t="shared" si="35"/>
        <v>12.989185920000001</v>
      </c>
    </row>
    <row r="367" spans="2:9" x14ac:dyDescent="0.2">
      <c r="C367" t="s">
        <v>657</v>
      </c>
      <c r="D367" s="86" t="s">
        <v>356</v>
      </c>
      <c r="E367" s="410">
        <v>12</v>
      </c>
      <c r="F367" s="410">
        <f t="shared" si="35"/>
        <v>12.24</v>
      </c>
      <c r="G367" s="410">
        <f t="shared" si="35"/>
        <v>12.4848</v>
      </c>
      <c r="H367" s="410">
        <f t="shared" si="35"/>
        <v>12.734496</v>
      </c>
      <c r="I367" s="410">
        <f t="shared" si="35"/>
        <v>12.989185920000001</v>
      </c>
    </row>
    <row r="368" spans="2:9" x14ac:dyDescent="0.2">
      <c r="C368" t="s">
        <v>164</v>
      </c>
      <c r="D368" s="94" t="s">
        <v>11</v>
      </c>
      <c r="E368" s="112">
        <f>(E56+E51)*E366+(E22+E73)*E367</f>
        <v>7272</v>
      </c>
      <c r="F368" s="112">
        <f>(F56+F51)*F366+(F22+F73)*F367</f>
        <v>7417.4400000000005</v>
      </c>
      <c r="G368" s="112">
        <f>(G56+G51)*G366+(G22+G73)*G367</f>
        <v>7565.7888000000003</v>
      </c>
      <c r="H368" s="112">
        <f>(H56+H51)*H366+(H22+H73)*H367</f>
        <v>7717.1045760000006</v>
      </c>
      <c r="I368" s="112">
        <f>(I56+I51)*I366+(I22+I73)*I367</f>
        <v>7871.446667520001</v>
      </c>
    </row>
    <row r="369" spans="2:9" x14ac:dyDescent="0.2">
      <c r="C369" t="s">
        <v>724</v>
      </c>
      <c r="D369" s="86" t="s">
        <v>357</v>
      </c>
      <c r="E369" s="406">
        <v>0</v>
      </c>
      <c r="F369" s="406">
        <f>E369</f>
        <v>0</v>
      </c>
      <c r="G369" s="406">
        <f>F369</f>
        <v>0</v>
      </c>
      <c r="H369" s="406">
        <f>G369</f>
        <v>0</v>
      </c>
      <c r="I369" s="406">
        <f>H369</f>
        <v>0</v>
      </c>
    </row>
    <row r="370" spans="2:9" x14ac:dyDescent="0.2">
      <c r="E370" s="29"/>
      <c r="F370" s="29"/>
      <c r="G370" s="29"/>
      <c r="H370" s="29"/>
      <c r="I370" s="29"/>
    </row>
    <row r="371" spans="2:9" x14ac:dyDescent="0.2">
      <c r="B371" s="68" t="s">
        <v>69</v>
      </c>
      <c r="E371" s="29"/>
      <c r="F371" s="29"/>
      <c r="G371" s="29"/>
      <c r="H371" s="29"/>
      <c r="I371" s="29"/>
    </row>
    <row r="372" spans="2:9" x14ac:dyDescent="0.2">
      <c r="C372" t="s">
        <v>70</v>
      </c>
      <c r="D372" s="86" t="s">
        <v>358</v>
      </c>
      <c r="E372" s="406">
        <v>1400</v>
      </c>
      <c r="F372" s="406">
        <f>E372*(1+F381)</f>
        <v>1428</v>
      </c>
      <c r="G372" s="406">
        <f>F372*(1+G381)</f>
        <v>1456.56</v>
      </c>
      <c r="H372" s="406">
        <f>G372*(1+H381)</f>
        <v>1485.6912</v>
      </c>
      <c r="I372" s="406">
        <f>H372*(1+I381)</f>
        <v>1515.4050239999999</v>
      </c>
    </row>
    <row r="373" spans="2:9" x14ac:dyDescent="0.2">
      <c r="C373" t="s">
        <v>71</v>
      </c>
      <c r="D373" s="86" t="s">
        <v>359</v>
      </c>
      <c r="E373" s="406">
        <v>2200</v>
      </c>
      <c r="F373" s="406">
        <f>E373*(1+F381)</f>
        <v>2244</v>
      </c>
      <c r="G373" s="406">
        <f>F373*(1+G381)</f>
        <v>2288.88</v>
      </c>
      <c r="H373" s="406">
        <f>G373*(1+H381)</f>
        <v>2334.6576</v>
      </c>
      <c r="I373" s="406">
        <f>H373*(1+I381)</f>
        <v>2381.3507519999998</v>
      </c>
    </row>
    <row r="374" spans="2:9" x14ac:dyDescent="0.2">
      <c r="C374" s="5" t="s">
        <v>747</v>
      </c>
      <c r="D374" s="86" t="s">
        <v>360</v>
      </c>
      <c r="E374" s="406">
        <v>1500</v>
      </c>
      <c r="F374" s="406">
        <f>E374*(1+E$381)</f>
        <v>1530</v>
      </c>
      <c r="G374" s="406">
        <f>F374*(1+F$381)</f>
        <v>1560.6000000000001</v>
      </c>
      <c r="H374" s="406">
        <f>G374*(1+G$381)</f>
        <v>1591.8120000000001</v>
      </c>
      <c r="I374" s="406">
        <f>H374*(1+H$381)</f>
        <v>1623.6482400000002</v>
      </c>
    </row>
    <row r="375" spans="2:9" x14ac:dyDescent="0.2">
      <c r="C375" t="s">
        <v>87</v>
      </c>
      <c r="D375" s="86" t="s">
        <v>361</v>
      </c>
      <c r="E375" s="406">
        <v>700000</v>
      </c>
      <c r="F375" s="406">
        <f>E375*(1+F381)</f>
        <v>714000</v>
      </c>
      <c r="G375" s="406">
        <f>F375*(1+G381)</f>
        <v>728280</v>
      </c>
      <c r="H375" s="406">
        <f>G375*(1+H381)</f>
        <v>742845.6</v>
      </c>
      <c r="I375" s="406">
        <f>H375*(1+I381)</f>
        <v>757702.51199999999</v>
      </c>
    </row>
    <row r="376" spans="2:9" x14ac:dyDescent="0.2">
      <c r="C376" t="s">
        <v>86</v>
      </c>
      <c r="D376" s="86" t="s">
        <v>362</v>
      </c>
      <c r="E376" s="410">
        <v>0.45</v>
      </c>
      <c r="F376" s="410">
        <f>E376</f>
        <v>0.45</v>
      </c>
      <c r="G376" s="410">
        <f>F376</f>
        <v>0.45</v>
      </c>
      <c r="H376" s="410">
        <f>G376</f>
        <v>0.45</v>
      </c>
      <c r="I376" s="410">
        <f>H376</f>
        <v>0.45</v>
      </c>
    </row>
    <row r="377" spans="2:9" x14ac:dyDescent="0.2">
      <c r="C377" t="s">
        <v>96</v>
      </c>
      <c r="D377" s="94" t="s">
        <v>11</v>
      </c>
      <c r="E377" s="476">
        <f>E375/100*E376</f>
        <v>3150</v>
      </c>
      <c r="F377" s="476">
        <f>F375/100*F376</f>
        <v>3213</v>
      </c>
      <c r="G377" s="476">
        <f>G375/100*G376</f>
        <v>3277.26</v>
      </c>
      <c r="H377" s="476">
        <f>H375/100*H376</f>
        <v>3342.8052000000002</v>
      </c>
      <c r="I377" s="476">
        <f>I375/100*I376</f>
        <v>3409.6613040000002</v>
      </c>
    </row>
    <row r="378" spans="2:9" x14ac:dyDescent="0.2">
      <c r="C378" t="s">
        <v>253</v>
      </c>
      <c r="D378" s="86" t="s">
        <v>363</v>
      </c>
      <c r="E378" s="477">
        <f>E15*E26+E16*E34</f>
        <v>176500</v>
      </c>
      <c r="F378" s="477">
        <f>F15*F26+F16*F34</f>
        <v>176500</v>
      </c>
      <c r="G378" s="477">
        <f>G15*G26+G16*G34</f>
        <v>176500</v>
      </c>
      <c r="H378" s="477">
        <f>H15*H26+H16*H34</f>
        <v>176500</v>
      </c>
      <c r="I378" s="477">
        <f>I15*I26+I16*I34</f>
        <v>176500</v>
      </c>
    </row>
    <row r="379" spans="2:9" x14ac:dyDescent="0.2">
      <c r="C379" t="s">
        <v>254</v>
      </c>
      <c r="D379" s="86" t="s">
        <v>364</v>
      </c>
      <c r="E379" s="410">
        <v>0.55000000000000004</v>
      </c>
      <c r="F379" s="410">
        <f>E379</f>
        <v>0.55000000000000004</v>
      </c>
      <c r="G379" s="410">
        <f>F379</f>
        <v>0.55000000000000004</v>
      </c>
      <c r="H379" s="410">
        <f>G379</f>
        <v>0.55000000000000004</v>
      </c>
      <c r="I379" s="410">
        <f>H379</f>
        <v>0.55000000000000004</v>
      </c>
    </row>
    <row r="380" spans="2:9" x14ac:dyDescent="0.2">
      <c r="C380" t="s">
        <v>255</v>
      </c>
      <c r="D380" s="94" t="s">
        <v>11</v>
      </c>
      <c r="E380" s="476">
        <f>E378/100*E379</f>
        <v>970.75000000000011</v>
      </c>
      <c r="F380" s="476">
        <f>F378/100*F379</f>
        <v>970.75000000000011</v>
      </c>
      <c r="G380" s="476">
        <f>G378/100*G379</f>
        <v>970.75000000000011</v>
      </c>
      <c r="H380" s="476">
        <f>H378/100*H379</f>
        <v>970.75000000000011</v>
      </c>
      <c r="I380" s="476">
        <f>I378/100*I379</f>
        <v>970.75000000000011</v>
      </c>
    </row>
    <row r="381" spans="2:9" x14ac:dyDescent="0.2">
      <c r="C381" s="68" t="s">
        <v>72</v>
      </c>
      <c r="D381" s="86" t="s">
        <v>365</v>
      </c>
      <c r="E381" s="420">
        <v>0.02</v>
      </c>
      <c r="F381" s="420">
        <f>E381</f>
        <v>0.02</v>
      </c>
      <c r="G381" s="420">
        <f>F381</f>
        <v>0.02</v>
      </c>
      <c r="H381" s="420">
        <f>G381</f>
        <v>0.02</v>
      </c>
      <c r="I381" s="420">
        <f>H381</f>
        <v>0.02</v>
      </c>
    </row>
    <row r="382" spans="2:9" x14ac:dyDescent="0.2">
      <c r="C382" s="68"/>
      <c r="D382" s="86"/>
      <c r="E382" s="478"/>
      <c r="F382" s="478"/>
      <c r="G382" s="478"/>
      <c r="H382" s="478"/>
      <c r="I382" s="478"/>
    </row>
    <row r="383" spans="2:9" x14ac:dyDescent="0.2">
      <c r="B383" s="68" t="s">
        <v>413</v>
      </c>
      <c r="C383" s="68"/>
      <c r="D383" s="86"/>
      <c r="E383" s="478" t="s">
        <v>414</v>
      </c>
      <c r="F383" s="478"/>
      <c r="G383" s="478" t="s">
        <v>414</v>
      </c>
      <c r="H383" s="478"/>
      <c r="I383" s="478"/>
    </row>
    <row r="384" spans="2:9" x14ac:dyDescent="0.2">
      <c r="B384" t="s">
        <v>1</v>
      </c>
      <c r="C384" s="68" t="s">
        <v>415</v>
      </c>
      <c r="D384" s="86"/>
      <c r="E384" s="86" t="str">
        <f>$E$14</f>
        <v>Year 1</v>
      </c>
      <c r="F384" s="86" t="str">
        <f>$F$14</f>
        <v>Year 2</v>
      </c>
      <c r="G384" s="86" t="str">
        <f>$G$14</f>
        <v>Year 3</v>
      </c>
      <c r="H384" s="86" t="str">
        <f>$H$14</f>
        <v>Year 4</v>
      </c>
      <c r="I384" s="86" t="str">
        <f>$I$14</f>
        <v>Year 5</v>
      </c>
    </row>
    <row r="385" spans="2:9" x14ac:dyDescent="0.2">
      <c r="C385" s="113" t="s">
        <v>416</v>
      </c>
      <c r="D385" s="47" t="s">
        <v>366</v>
      </c>
      <c r="E385" s="406">
        <v>0</v>
      </c>
      <c r="F385" s="406">
        <f>IF(Monthly!R45&gt;0,Monthly!R45,0)</f>
        <v>24300.57531183862</v>
      </c>
      <c r="G385" s="406">
        <f>IF((F$385+Income_Expense!E$43)&gt;0,(F$385+Income_Expense!E$43),0)</f>
        <v>47362.634154499843</v>
      </c>
      <c r="H385" s="406">
        <f>IF((G$385+Income_Expense!F$43)&gt;0,(G$385+Income_Expense!F$43),0)</f>
        <v>69258.296855229375</v>
      </c>
      <c r="I385" s="406">
        <f>IF((H$385+Income_Expense!G$43)&gt;0,(H$385+Income_Expense!G$43),0)</f>
        <v>89964.235491188563</v>
      </c>
    </row>
    <row r="386" spans="2:9" x14ac:dyDescent="0.2">
      <c r="C386" s="114" t="s">
        <v>417</v>
      </c>
      <c r="D386" s="86" t="s">
        <v>367</v>
      </c>
      <c r="E386" s="406">
        <v>0</v>
      </c>
      <c r="F386" s="406">
        <f>E386</f>
        <v>0</v>
      </c>
      <c r="G386" s="406">
        <f>F386</f>
        <v>0</v>
      </c>
      <c r="H386" s="406">
        <f>G386</f>
        <v>0</v>
      </c>
      <c r="I386" s="406">
        <f>H386</f>
        <v>0</v>
      </c>
    </row>
    <row r="387" spans="2:9" x14ac:dyDescent="0.2">
      <c r="C387" s="114" t="s">
        <v>422</v>
      </c>
      <c r="D387" s="86" t="s">
        <v>368</v>
      </c>
      <c r="E387" s="406">
        <v>0</v>
      </c>
      <c r="F387" s="406">
        <f>IF(E170&gt;0,E170*E206,0)</f>
        <v>0</v>
      </c>
      <c r="G387" s="406">
        <f>IF(F170&gt;0,F170*F206,0)</f>
        <v>0</v>
      </c>
      <c r="H387" s="406">
        <f>IF(G170&gt;0,G170*G206,0)</f>
        <v>0</v>
      </c>
      <c r="I387" s="406">
        <f>IF(H170&gt;0,H170*H206,0)</f>
        <v>0</v>
      </c>
    </row>
    <row r="388" spans="2:9" x14ac:dyDescent="0.2">
      <c r="C388" s="114" t="s">
        <v>423</v>
      </c>
      <c r="D388" s="86" t="s">
        <v>369</v>
      </c>
      <c r="E388" s="406">
        <f>IF(E15&gt;0,E15*E26,0)</f>
        <v>170000</v>
      </c>
      <c r="F388" s="406">
        <f>IF(E27&gt;0,E27*E26,0)</f>
        <v>170000</v>
      </c>
      <c r="G388" s="406">
        <f>IF(F27&gt;0,F27*F26,0)</f>
        <v>170000</v>
      </c>
      <c r="H388" s="406">
        <f>IF(G27&gt;0,G27*G26,0)</f>
        <v>170000</v>
      </c>
      <c r="I388" s="406">
        <f>IF(H27&gt;0,H27*H26,0)</f>
        <v>170000</v>
      </c>
    </row>
    <row r="389" spans="2:9" x14ac:dyDescent="0.2">
      <c r="C389" s="114" t="s">
        <v>503</v>
      </c>
      <c r="D389" s="86" t="s">
        <v>375</v>
      </c>
      <c r="E389" s="406">
        <f>IF(E16&gt;0,E16*E34,0)</f>
        <v>6500</v>
      </c>
      <c r="F389" s="406">
        <f>IF(E16&gt;0,E16*E34,0)</f>
        <v>6500</v>
      </c>
      <c r="G389" s="406">
        <f>IF(F16&gt;0,F16*F34,0)</f>
        <v>6500</v>
      </c>
      <c r="H389" s="406">
        <f>IF(G16&gt;0,G16*G34,0)</f>
        <v>6500</v>
      </c>
      <c r="I389" s="406">
        <f>IF(H16&gt;0,H16*H34,0)</f>
        <v>6500</v>
      </c>
    </row>
    <row r="390" spans="2:9" x14ac:dyDescent="0.2">
      <c r="C390" s="114" t="s">
        <v>418</v>
      </c>
      <c r="D390" s="86" t="s">
        <v>376</v>
      </c>
      <c r="E390" s="406">
        <v>0</v>
      </c>
      <c r="F390" s="406">
        <f t="shared" ref="F390:I391" si="36">E390</f>
        <v>0</v>
      </c>
      <c r="G390" s="406">
        <f t="shared" si="36"/>
        <v>0</v>
      </c>
      <c r="H390" s="406">
        <f t="shared" si="36"/>
        <v>0</v>
      </c>
      <c r="I390" s="406">
        <f t="shared" si="36"/>
        <v>0</v>
      </c>
    </row>
    <row r="391" spans="2:9" x14ac:dyDescent="0.2">
      <c r="C391" s="114" t="s">
        <v>419</v>
      </c>
      <c r="D391" s="86" t="s">
        <v>377</v>
      </c>
      <c r="E391" s="406">
        <v>0</v>
      </c>
      <c r="F391" s="406">
        <f t="shared" si="36"/>
        <v>0</v>
      </c>
      <c r="G391" s="406">
        <f t="shared" si="36"/>
        <v>0</v>
      </c>
      <c r="H391" s="406">
        <f t="shared" si="36"/>
        <v>0</v>
      </c>
      <c r="I391" s="406">
        <f t="shared" si="36"/>
        <v>0</v>
      </c>
    </row>
    <row r="392" spans="2:9" x14ac:dyDescent="0.2">
      <c r="C392" s="114" t="s">
        <v>420</v>
      </c>
      <c r="D392" s="86" t="s">
        <v>447</v>
      </c>
      <c r="E392" s="406">
        <v>100000</v>
      </c>
      <c r="F392" s="406">
        <f>Depreciation!F5</f>
        <v>100000</v>
      </c>
      <c r="G392" s="406">
        <f>Depreciation!H5</f>
        <v>100000</v>
      </c>
      <c r="H392" s="406">
        <f>Depreciation!J5</f>
        <v>100000</v>
      </c>
      <c r="I392" s="406">
        <f>Depreciation!L5</f>
        <v>100000</v>
      </c>
    </row>
    <row r="393" spans="2:9" x14ac:dyDescent="0.2">
      <c r="C393" s="114" t="s">
        <v>535</v>
      </c>
      <c r="D393" s="86" t="s">
        <v>448</v>
      </c>
      <c r="E393" s="406">
        <v>75000</v>
      </c>
      <c r="F393" s="406">
        <f>Depreciation!F6</f>
        <v>71250</v>
      </c>
      <c r="G393" s="406">
        <f>Depreciation!H6</f>
        <v>67687.5</v>
      </c>
      <c r="H393" s="406">
        <f>Depreciation!J6</f>
        <v>64303.125</v>
      </c>
      <c r="I393" s="406">
        <f>Depreciation!L6</f>
        <v>61087.96875</v>
      </c>
    </row>
    <row r="394" spans="2:9" x14ac:dyDescent="0.2">
      <c r="C394" s="114" t="s">
        <v>536</v>
      </c>
      <c r="D394" s="86" t="s">
        <v>449</v>
      </c>
      <c r="E394" s="406">
        <v>50000</v>
      </c>
      <c r="F394" s="406">
        <f>Depreciation!F7</f>
        <v>45000</v>
      </c>
      <c r="G394" s="406">
        <f>Depreciation!H7</f>
        <v>40500</v>
      </c>
      <c r="H394" s="406">
        <f>Depreciation!J7</f>
        <v>36450</v>
      </c>
      <c r="I394" s="406">
        <f>Depreciation!L7</f>
        <v>32805</v>
      </c>
    </row>
    <row r="395" spans="2:9" x14ac:dyDescent="0.2">
      <c r="C395" s="115" t="s">
        <v>537</v>
      </c>
      <c r="D395" s="86" t="s">
        <v>450</v>
      </c>
      <c r="E395" s="406">
        <v>0</v>
      </c>
      <c r="F395" s="406">
        <f>Depreciation!F8</f>
        <v>0</v>
      </c>
      <c r="G395" s="406">
        <f>Depreciation!H8</f>
        <v>0</v>
      </c>
      <c r="H395" s="406">
        <f>Depreciation!J8</f>
        <v>0</v>
      </c>
      <c r="I395" s="406">
        <f>Depreciation!L8</f>
        <v>0</v>
      </c>
    </row>
    <row r="396" spans="2:9" x14ac:dyDescent="0.2">
      <c r="D396" s="116" t="s">
        <v>421</v>
      </c>
      <c r="E396" s="111">
        <f>SUM(E385:E395)</f>
        <v>401500</v>
      </c>
      <c r="F396" s="111">
        <f>SUM(F385:F395)</f>
        <v>417050.57531183865</v>
      </c>
      <c r="G396" s="111">
        <f>SUM(G385:G395)</f>
        <v>432050.13415449986</v>
      </c>
      <c r="H396" s="111">
        <f>SUM(H385:H395)</f>
        <v>446511.42185522936</v>
      </c>
      <c r="I396" s="111">
        <f>SUM(I385:I395)</f>
        <v>460357.20424118859</v>
      </c>
    </row>
    <row r="397" spans="2:9" x14ac:dyDescent="0.2">
      <c r="D397" s="86"/>
      <c r="E397" s="478" t="s">
        <v>414</v>
      </c>
      <c r="F397" s="478"/>
      <c r="G397" s="478" t="s">
        <v>414</v>
      </c>
      <c r="H397" s="478"/>
      <c r="I397" s="478"/>
    </row>
    <row r="398" spans="2:9" x14ac:dyDescent="0.2">
      <c r="B398" s="68"/>
      <c r="C398" s="68" t="s">
        <v>424</v>
      </c>
      <c r="E398" s="86" t="str">
        <f>$E$14</f>
        <v>Year 1</v>
      </c>
      <c r="F398" s="86" t="str">
        <f>$F$14</f>
        <v>Year 2</v>
      </c>
      <c r="G398" s="86" t="str">
        <f>$G$14</f>
        <v>Year 3</v>
      </c>
      <c r="H398" s="86" t="str">
        <f>$H$14</f>
        <v>Year 4</v>
      </c>
      <c r="I398" s="86" t="str">
        <f>$I$14</f>
        <v>Year 5</v>
      </c>
    </row>
    <row r="399" spans="2:9" x14ac:dyDescent="0.2">
      <c r="C399" s="113" t="s">
        <v>425</v>
      </c>
      <c r="D399" s="47" t="s">
        <v>451</v>
      </c>
      <c r="E399" s="406">
        <v>0</v>
      </c>
      <c r="F399" s="406">
        <f>IF(Monthly!R45&lt;0,Monthly!R45*(-1),0)</f>
        <v>0</v>
      </c>
      <c r="G399" s="406">
        <f>IF(Income_Expense!E54&lt;0,Income_Expense!E54*(-1),0)</f>
        <v>0</v>
      </c>
      <c r="H399" s="406">
        <f>IF(Income_Expense!T54&lt;0,Income_Expense!T54*(-1),0)</f>
        <v>0</v>
      </c>
      <c r="I399" s="406">
        <f>IF(Income_Expense!U54&lt;0,Income_Expense!U54*(-1),0)</f>
        <v>0</v>
      </c>
    </row>
    <row r="400" spans="2:9" x14ac:dyDescent="0.2">
      <c r="C400" s="117" t="s">
        <v>426</v>
      </c>
      <c r="D400" s="246" t="s">
        <v>452</v>
      </c>
      <c r="E400" s="406">
        <v>0</v>
      </c>
      <c r="F400" s="406">
        <f t="shared" ref="F400:I401" si="37">E400</f>
        <v>0</v>
      </c>
      <c r="G400" s="406">
        <f t="shared" si="37"/>
        <v>0</v>
      </c>
      <c r="H400" s="406">
        <f t="shared" si="37"/>
        <v>0</v>
      </c>
      <c r="I400" s="406">
        <f t="shared" si="37"/>
        <v>0</v>
      </c>
    </row>
    <row r="401" spans="3:9" x14ac:dyDescent="0.2">
      <c r="C401" s="117" t="s">
        <v>427</v>
      </c>
      <c r="D401" s="246" t="s">
        <v>453</v>
      </c>
      <c r="E401" s="406">
        <v>0</v>
      </c>
      <c r="F401" s="406">
        <f t="shared" si="37"/>
        <v>0</v>
      </c>
      <c r="G401" s="406">
        <f t="shared" si="37"/>
        <v>0</v>
      </c>
      <c r="H401" s="406">
        <f t="shared" si="37"/>
        <v>0</v>
      </c>
      <c r="I401" s="406">
        <f t="shared" si="37"/>
        <v>0</v>
      </c>
    </row>
    <row r="402" spans="3:9" x14ac:dyDescent="0.2">
      <c r="C402" s="115" t="s">
        <v>428</v>
      </c>
      <c r="D402" s="118" t="s">
        <v>454</v>
      </c>
      <c r="E402" s="406">
        <f>Financing!E40</f>
        <v>5573.0139973812647</v>
      </c>
      <c r="F402" s="406">
        <f>Financing!E41</f>
        <v>5884.997782700917</v>
      </c>
      <c r="G402" s="406">
        <f>Financing!E42</f>
        <v>6214.4687571409704</v>
      </c>
      <c r="H402" s="406">
        <f>Financing!E43</f>
        <v>6562.4084009587168</v>
      </c>
      <c r="I402" s="406">
        <f>Financing!E44</f>
        <v>6929.8533569169385</v>
      </c>
    </row>
    <row r="403" spans="3:9" x14ac:dyDescent="0.2">
      <c r="D403" s="119" t="s">
        <v>429</v>
      </c>
      <c r="E403" s="560">
        <f>SUM(E399:E402)</f>
        <v>5573.0139973812647</v>
      </c>
      <c r="F403" s="560">
        <f>SUM(F399:F402)</f>
        <v>5884.997782700917</v>
      </c>
      <c r="G403" s="560">
        <f>SUM(G399:G402)</f>
        <v>6214.4687571409704</v>
      </c>
      <c r="H403" s="560">
        <f>SUM(H399:H402)</f>
        <v>6562.4084009587168</v>
      </c>
      <c r="I403" s="560">
        <f>SUM(I399:I402)</f>
        <v>6929.8533569169385</v>
      </c>
    </row>
    <row r="404" spans="3:9" x14ac:dyDescent="0.2">
      <c r="C404" s="68" t="s">
        <v>430</v>
      </c>
      <c r="E404" s="41" t="str">
        <f>$E$14</f>
        <v>Year 1</v>
      </c>
      <c r="F404" s="41" t="str">
        <f>$F$14</f>
        <v>Year 2</v>
      </c>
      <c r="G404" s="41" t="str">
        <f>$G$14</f>
        <v>Year 3</v>
      </c>
      <c r="H404" s="41" t="str">
        <f>$H$14</f>
        <v>Year 4</v>
      </c>
      <c r="I404" s="41" t="str">
        <f>$I$14</f>
        <v>Year 5</v>
      </c>
    </row>
    <row r="405" spans="3:9" x14ac:dyDescent="0.2">
      <c r="C405" t="s">
        <v>170</v>
      </c>
      <c r="D405" s="86" t="s">
        <v>455</v>
      </c>
      <c r="E405" s="406">
        <f>SUM(Income_Expense!D16:D28)</f>
        <v>152779.67270867541</v>
      </c>
      <c r="F405" s="406">
        <f>SUM(Income_Expense!E16:E28)</f>
        <v>154642.64040600194</v>
      </c>
      <c r="G405" s="406">
        <f>SUM(Income_Expense!F16:F28)</f>
        <v>155801.07888600195</v>
      </c>
      <c r="H405" s="406">
        <f>SUM(Income_Expense!G16:G28)</f>
        <v>156982.68613560198</v>
      </c>
      <c r="I405" s="406">
        <f>SUM(Income_Expense!H16:H28)</f>
        <v>158187.92553019396</v>
      </c>
    </row>
    <row r="406" spans="3:9" x14ac:dyDescent="0.2">
      <c r="C406" t="s">
        <v>121</v>
      </c>
      <c r="D406" s="86" t="s">
        <v>456</v>
      </c>
      <c r="E406" s="406">
        <f>IF(Monthly!F53&lt;0,Monthly!F53*(-1),0)</f>
        <v>20989.789383574509</v>
      </c>
      <c r="F406" s="406">
        <f>IF(F399&gt;0,F399+F405*($E$406/$E$405),F405*($E$406/$E$405))</f>
        <v>21245.735079111178</v>
      </c>
      <c r="G406" s="406">
        <f>IF(G399&gt;0,G399+G405*($F$406/$F$405),G405*($F$406/$F$405))</f>
        <v>21404.888317745179</v>
      </c>
      <c r="H406" s="406">
        <f>IF(H399&gt;0,H399+H405*($G$406/$G$405),H405*($G$406/$G$405))</f>
        <v>21567.224621151865</v>
      </c>
      <c r="I406" s="406">
        <f>IF(I399&gt;0,I399+I405*($H$406/$H$405),I405*($H$406/$H$405))</f>
        <v>21732.807650626673</v>
      </c>
    </row>
    <row r="407" spans="3:9" x14ac:dyDescent="0.2">
      <c r="C407" t="s">
        <v>106</v>
      </c>
      <c r="D407" s="86" t="s">
        <v>457</v>
      </c>
      <c r="E407" s="420">
        <v>0.05</v>
      </c>
      <c r="F407" s="420">
        <f>E407</f>
        <v>0.05</v>
      </c>
      <c r="G407" s="420">
        <f>F407</f>
        <v>0.05</v>
      </c>
      <c r="H407" s="420">
        <f>G407</f>
        <v>0.05</v>
      </c>
      <c r="I407" s="420">
        <f>H407</f>
        <v>0.05</v>
      </c>
    </row>
    <row r="408" spans="3:9" x14ac:dyDescent="0.2">
      <c r="C408" t="s">
        <v>169</v>
      </c>
      <c r="D408" s="94" t="s">
        <v>11</v>
      </c>
      <c r="E408" s="112">
        <f>Monthly!R32</f>
        <v>1686.7379821046827</v>
      </c>
      <c r="F408" s="112">
        <f>F406*F407</f>
        <v>1062.2867539555589</v>
      </c>
      <c r="G408" s="112">
        <f>G406*G407</f>
        <v>1070.244415887259</v>
      </c>
      <c r="H408" s="112">
        <f>H406*H407</f>
        <v>1078.3612310575934</v>
      </c>
      <c r="I408" s="112">
        <f>I406*I407</f>
        <v>1086.6403825313337</v>
      </c>
    </row>
    <row r="410" spans="3:9" x14ac:dyDescent="0.2">
      <c r="C410" s="68" t="s">
        <v>122</v>
      </c>
      <c r="E410" s="86"/>
    </row>
    <row r="411" spans="3:9" x14ac:dyDescent="0.2">
      <c r="C411" s="68" t="s">
        <v>174</v>
      </c>
      <c r="E411" s="86" t="s">
        <v>4</v>
      </c>
    </row>
    <row r="412" spans="3:9" x14ac:dyDescent="0.2">
      <c r="C412" t="s">
        <v>123</v>
      </c>
      <c r="D412" s="86" t="s">
        <v>458</v>
      </c>
      <c r="E412" s="406">
        <v>60000</v>
      </c>
    </row>
    <row r="413" spans="3:9" x14ac:dyDescent="0.2">
      <c r="C413" t="s">
        <v>124</v>
      </c>
      <c r="D413" s="86" t="s">
        <v>459</v>
      </c>
      <c r="E413" s="420">
        <v>0.06</v>
      </c>
    </row>
    <row r="414" spans="3:9" x14ac:dyDescent="0.2">
      <c r="C414" t="s">
        <v>125</v>
      </c>
      <c r="D414" s="86" t="s">
        <v>460</v>
      </c>
      <c r="E414" s="437">
        <v>25</v>
      </c>
    </row>
    <row r="415" spans="3:9" x14ac:dyDescent="0.2">
      <c r="C415" t="s">
        <v>496</v>
      </c>
      <c r="D415" s="94" t="s">
        <v>11</v>
      </c>
      <c r="E415" s="479">
        <f>IF(E412&gt;0,Financing!D9,0)</f>
        <v>4693.6030927364391</v>
      </c>
    </row>
    <row r="416" spans="3:9" x14ac:dyDescent="0.2">
      <c r="E416" s="68"/>
    </row>
    <row r="417" spans="3:5" x14ac:dyDescent="0.2">
      <c r="C417" s="68" t="s">
        <v>201</v>
      </c>
      <c r="E417" s="86" t="s">
        <v>4</v>
      </c>
    </row>
    <row r="418" spans="3:5" x14ac:dyDescent="0.2">
      <c r="C418" t="s">
        <v>123</v>
      </c>
      <c r="D418" s="86" t="s">
        <v>461</v>
      </c>
      <c r="E418" s="406">
        <v>25000</v>
      </c>
    </row>
    <row r="419" spans="3:5" x14ac:dyDescent="0.2">
      <c r="C419" t="s">
        <v>124</v>
      </c>
      <c r="D419" s="86" t="s">
        <v>462</v>
      </c>
      <c r="E419" s="420">
        <v>5.5E-2</v>
      </c>
    </row>
    <row r="420" spans="3:5" x14ac:dyDescent="0.2">
      <c r="C420" t="s">
        <v>125</v>
      </c>
      <c r="D420" s="86" t="s">
        <v>463</v>
      </c>
      <c r="E420" s="413">
        <v>5</v>
      </c>
    </row>
    <row r="421" spans="3:5" x14ac:dyDescent="0.2">
      <c r="C421" t="s">
        <v>496</v>
      </c>
      <c r="D421" s="94" t="s">
        <v>11</v>
      </c>
      <c r="E421" s="479">
        <f>IF(E418&gt;0,Financing!J9,0)</f>
        <v>5854.4109046448257</v>
      </c>
    </row>
    <row r="423" spans="3:5" x14ac:dyDescent="0.2">
      <c r="C423" s="68" t="s">
        <v>256</v>
      </c>
      <c r="E423" s="86" t="s">
        <v>4</v>
      </c>
    </row>
    <row r="424" spans="3:5" x14ac:dyDescent="0.2">
      <c r="C424" t="s">
        <v>123</v>
      </c>
      <c r="D424" s="86" t="s">
        <v>464</v>
      </c>
      <c r="E424" s="406">
        <v>0</v>
      </c>
    </row>
    <row r="425" spans="3:5" x14ac:dyDescent="0.2">
      <c r="C425" t="s">
        <v>124</v>
      </c>
      <c r="D425" s="86" t="s">
        <v>465</v>
      </c>
      <c r="E425" s="420">
        <v>0</v>
      </c>
    </row>
    <row r="426" spans="3:5" x14ac:dyDescent="0.2">
      <c r="C426" t="s">
        <v>125</v>
      </c>
      <c r="D426" s="86" t="s">
        <v>466</v>
      </c>
      <c r="E426" s="413">
        <v>5</v>
      </c>
    </row>
    <row r="427" spans="3:5" x14ac:dyDescent="0.2">
      <c r="C427" t="s">
        <v>496</v>
      </c>
      <c r="D427" s="94" t="s">
        <v>11</v>
      </c>
      <c r="E427" s="479">
        <f>IF(E424&gt;0,Financing!P9,0)</f>
        <v>0</v>
      </c>
    </row>
    <row r="429" spans="3:5" x14ac:dyDescent="0.2">
      <c r="C429" s="68" t="s">
        <v>257</v>
      </c>
      <c r="E429" s="86" t="s">
        <v>5</v>
      </c>
    </row>
    <row r="430" spans="3:5" x14ac:dyDescent="0.2">
      <c r="C430" t="s">
        <v>123</v>
      </c>
      <c r="D430" s="86" t="s">
        <v>467</v>
      </c>
      <c r="E430" s="406">
        <v>0</v>
      </c>
    </row>
    <row r="431" spans="3:5" x14ac:dyDescent="0.2">
      <c r="C431" t="s">
        <v>124</v>
      </c>
      <c r="D431" s="86" t="s">
        <v>659</v>
      </c>
      <c r="E431" s="420">
        <v>0</v>
      </c>
    </row>
    <row r="432" spans="3:5" x14ac:dyDescent="0.2">
      <c r="C432" t="s">
        <v>125</v>
      </c>
      <c r="D432" s="86" t="s">
        <v>660</v>
      </c>
      <c r="E432" s="413">
        <v>5</v>
      </c>
    </row>
    <row r="433" spans="3:5" x14ac:dyDescent="0.2">
      <c r="C433" t="s">
        <v>496</v>
      </c>
      <c r="D433" s="94" t="s">
        <v>11</v>
      </c>
      <c r="E433" s="479">
        <f>IF(E430&gt;0,Financing!V9,0)</f>
        <v>0</v>
      </c>
    </row>
    <row r="435" spans="3:5" x14ac:dyDescent="0.2">
      <c r="C435" s="68" t="s">
        <v>957</v>
      </c>
      <c r="E435" s="86" t="s">
        <v>6</v>
      </c>
    </row>
    <row r="436" spans="3:5" x14ac:dyDescent="0.2">
      <c r="C436" t="s">
        <v>123</v>
      </c>
      <c r="D436" s="86" t="s">
        <v>661</v>
      </c>
      <c r="E436" s="406">
        <v>0</v>
      </c>
    </row>
    <row r="437" spans="3:5" x14ac:dyDescent="0.2">
      <c r="C437" t="s">
        <v>124</v>
      </c>
      <c r="D437" s="86" t="s">
        <v>662</v>
      </c>
      <c r="E437" s="420">
        <v>0</v>
      </c>
    </row>
    <row r="438" spans="3:5" x14ac:dyDescent="0.2">
      <c r="C438" t="s">
        <v>125</v>
      </c>
      <c r="D438" s="86" t="s">
        <v>663</v>
      </c>
      <c r="E438" s="413">
        <v>0</v>
      </c>
    </row>
    <row r="439" spans="3:5" x14ac:dyDescent="0.2">
      <c r="C439" t="s">
        <v>496</v>
      </c>
      <c r="D439" s="94" t="s">
        <v>11</v>
      </c>
      <c r="E439" s="479">
        <f>IF(E436&gt;0,Financing!AB9,0)</f>
        <v>0</v>
      </c>
    </row>
    <row r="441" spans="3:5" x14ac:dyDescent="0.2">
      <c r="C441" s="68" t="s">
        <v>258</v>
      </c>
      <c r="E441" s="86" t="s">
        <v>7</v>
      </c>
    </row>
    <row r="442" spans="3:5" x14ac:dyDescent="0.2">
      <c r="C442" t="s">
        <v>123</v>
      </c>
      <c r="D442" s="86" t="s">
        <v>797</v>
      </c>
      <c r="E442" s="406">
        <v>0</v>
      </c>
    </row>
    <row r="443" spans="3:5" x14ac:dyDescent="0.2">
      <c r="C443" t="s">
        <v>124</v>
      </c>
      <c r="D443" s="86" t="s">
        <v>798</v>
      </c>
      <c r="E443" s="420">
        <v>0</v>
      </c>
    </row>
    <row r="444" spans="3:5" x14ac:dyDescent="0.2">
      <c r="C444" t="s">
        <v>125</v>
      </c>
      <c r="D444" s="86" t="s">
        <v>799</v>
      </c>
      <c r="E444" s="413">
        <v>0</v>
      </c>
    </row>
    <row r="445" spans="3:5" x14ac:dyDescent="0.2">
      <c r="C445" t="s">
        <v>496</v>
      </c>
      <c r="D445" s="94" t="s">
        <v>11</v>
      </c>
      <c r="E445" s="479">
        <f>IF(E442&gt;0,Financing!AH9,0)</f>
        <v>0</v>
      </c>
    </row>
    <row r="447" spans="3:5" x14ac:dyDescent="0.2">
      <c r="C447" s="68" t="s">
        <v>259</v>
      </c>
      <c r="E447" s="86" t="s">
        <v>8</v>
      </c>
    </row>
    <row r="448" spans="3:5" x14ac:dyDescent="0.2">
      <c r="C448" t="s">
        <v>123</v>
      </c>
      <c r="D448" s="86" t="s">
        <v>800</v>
      </c>
      <c r="E448" s="406">
        <v>0</v>
      </c>
    </row>
    <row r="449" spans="2:9" x14ac:dyDescent="0.2">
      <c r="C449" t="s">
        <v>124</v>
      </c>
      <c r="D449" s="86" t="s">
        <v>801</v>
      </c>
      <c r="E449" s="420">
        <v>0</v>
      </c>
    </row>
    <row r="450" spans="2:9" x14ac:dyDescent="0.2">
      <c r="C450" t="s">
        <v>125</v>
      </c>
      <c r="D450" s="86" t="s">
        <v>802</v>
      </c>
      <c r="E450" s="413">
        <v>0</v>
      </c>
    </row>
    <row r="451" spans="2:9" x14ac:dyDescent="0.2">
      <c r="C451" t="s">
        <v>496</v>
      </c>
      <c r="D451" s="94" t="s">
        <v>11</v>
      </c>
      <c r="E451" s="479">
        <f>IF(E448&gt;0,Financing!AN9,0)</f>
        <v>0</v>
      </c>
    </row>
    <row r="453" spans="2:9" x14ac:dyDescent="0.2">
      <c r="B453" s="29"/>
      <c r="C453" s="29"/>
      <c r="D453" s="29"/>
      <c r="E453" s="29"/>
      <c r="F453" s="29"/>
      <c r="G453" s="29"/>
      <c r="H453" s="29"/>
      <c r="I453" s="29"/>
    </row>
    <row r="454" spans="2:9" x14ac:dyDescent="0.2">
      <c r="B454" s="29"/>
      <c r="C454" s="29"/>
      <c r="D454" s="29"/>
      <c r="E454" s="29"/>
      <c r="F454" s="29"/>
      <c r="G454" s="29"/>
      <c r="H454" s="29"/>
      <c r="I454" s="29"/>
    </row>
    <row r="455" spans="2:9" x14ac:dyDescent="0.2">
      <c r="B455" s="29"/>
      <c r="C455" s="29"/>
      <c r="D455" s="29"/>
      <c r="E455" s="29"/>
      <c r="F455" s="29"/>
      <c r="G455" s="29"/>
      <c r="H455" s="29"/>
      <c r="I455" s="29"/>
    </row>
    <row r="456" spans="2:9" x14ac:dyDescent="0.2">
      <c r="B456" s="29"/>
      <c r="C456" s="29"/>
      <c r="D456" s="29"/>
      <c r="E456" s="29"/>
      <c r="F456" s="29"/>
      <c r="G456" s="29"/>
      <c r="H456" s="29"/>
      <c r="I456" s="29"/>
    </row>
    <row r="457" spans="2:9" x14ac:dyDescent="0.2">
      <c r="B457" s="29"/>
      <c r="C457" s="29"/>
      <c r="D457" s="29"/>
      <c r="E457" s="29"/>
      <c r="F457" s="29"/>
      <c r="G457" s="29"/>
      <c r="H457" s="29"/>
      <c r="I457" s="29"/>
    </row>
    <row r="458" spans="2:9" x14ac:dyDescent="0.2">
      <c r="B458" s="29"/>
      <c r="C458" s="29"/>
      <c r="D458" s="29"/>
      <c r="E458" s="29"/>
      <c r="F458" s="29"/>
      <c r="G458" s="29"/>
      <c r="H458" s="29"/>
      <c r="I458" s="29"/>
    </row>
    <row r="459" spans="2:9" x14ac:dyDescent="0.2">
      <c r="B459" s="29"/>
      <c r="C459" s="29"/>
      <c r="D459" s="29"/>
      <c r="E459" s="29"/>
      <c r="F459" s="29"/>
      <c r="G459" s="29"/>
      <c r="H459" s="29"/>
      <c r="I459" s="29"/>
    </row>
    <row r="460" spans="2:9" x14ac:dyDescent="0.2">
      <c r="B460" s="29"/>
      <c r="C460" s="29"/>
      <c r="D460" s="29"/>
      <c r="E460" s="29"/>
      <c r="F460" s="29"/>
      <c r="G460" s="29"/>
      <c r="H460" s="29"/>
      <c r="I460" s="29"/>
    </row>
    <row r="461" spans="2:9" x14ac:dyDescent="0.2">
      <c r="B461" s="29"/>
      <c r="C461" s="29"/>
      <c r="D461" s="29"/>
      <c r="E461" s="29"/>
      <c r="F461" s="29"/>
      <c r="G461" s="29"/>
      <c r="H461" s="29"/>
      <c r="I461" s="29"/>
    </row>
    <row r="462" spans="2:9" x14ac:dyDescent="0.2">
      <c r="B462" s="29"/>
      <c r="C462" s="29"/>
      <c r="D462" s="29"/>
      <c r="E462" s="29"/>
      <c r="F462" s="29"/>
      <c r="G462" s="29"/>
      <c r="H462" s="29"/>
      <c r="I462" s="29"/>
    </row>
  </sheetData>
  <sheetProtection sheet="1" objects="1" scenarios="1"/>
  <phoneticPr fontId="0" type="noConversion"/>
  <pageMargins left="0.75" right="0.75" top="1" bottom="1" header="0.5" footer="0.5"/>
  <pageSetup scale="56" fitToHeight="0" orientation="portrait" r:id="rId1"/>
  <headerFooter alignWithMargins="0">
    <oddFooter>&amp;CEwePLAN Copyright Government of Saskatchewan, Developed by Brad Marceniuk&amp;RPage 8</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PrintInputSheet">
                <anchor moveWithCells="1">
                  <from>
                    <xdr:col>1</xdr:col>
                    <xdr:colOff>0</xdr:colOff>
                    <xdr:row>0</xdr:row>
                    <xdr:rowOff>161925</xdr:rowOff>
                  </from>
                  <to>
                    <xdr:col>4</xdr:col>
                    <xdr:colOff>38100</xdr:colOff>
                    <xdr:row>2</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pageSetUpPr fitToPage="1"/>
  </sheetPr>
  <dimension ref="B4:H90"/>
  <sheetViews>
    <sheetView showGridLines="0" showRowColHeaders="0" zoomScale="106" zoomScaleNormal="106" workbookViewId="0">
      <selection activeCell="F4" sqref="F4"/>
    </sheetView>
  </sheetViews>
  <sheetFormatPr defaultRowHeight="12.75" x14ac:dyDescent="0.2"/>
  <cols>
    <col min="2" max="2" width="4.7109375" customWidth="1"/>
    <col min="3" max="3" width="14.7109375" customWidth="1"/>
    <col min="4" max="8" width="11.7109375" customWidth="1"/>
  </cols>
  <sheetData>
    <row r="4" spans="2:8" ht="13.5" thickBot="1" x14ac:dyDescent="0.25">
      <c r="C4" s="434" t="s">
        <v>766</v>
      </c>
    </row>
    <row r="5" spans="2:8" x14ac:dyDescent="0.2">
      <c r="C5" s="588"/>
      <c r="D5" s="589" t="s">
        <v>4</v>
      </c>
      <c r="E5" s="589" t="s">
        <v>5</v>
      </c>
      <c r="F5" s="589" t="s">
        <v>6</v>
      </c>
      <c r="G5" s="589" t="s">
        <v>7</v>
      </c>
      <c r="H5" s="590" t="s">
        <v>8</v>
      </c>
    </row>
    <row r="6" spans="2:8" x14ac:dyDescent="0.2">
      <c r="C6" s="591" t="s">
        <v>758</v>
      </c>
      <c r="D6" s="592">
        <f t="shared" ref="D6:H7" si="0">D33+D46+D75</f>
        <v>6201.7853254953188</v>
      </c>
      <c r="E6" s="592">
        <f t="shared" si="0"/>
        <v>6201.7853254953188</v>
      </c>
      <c r="F6" s="592">
        <f t="shared" si="0"/>
        <v>6201.7853254953188</v>
      </c>
      <c r="G6" s="592">
        <f t="shared" si="0"/>
        <v>6201.7853254953188</v>
      </c>
      <c r="H6" s="593">
        <f t="shared" si="0"/>
        <v>6201.7853254953188</v>
      </c>
    </row>
    <row r="7" spans="2:8" ht="13.5" thickBot="1" x14ac:dyDescent="0.25">
      <c r="C7" s="594" t="s">
        <v>759</v>
      </c>
      <c r="D7" s="595">
        <f t="shared" si="0"/>
        <v>154.7332123411978</v>
      </c>
      <c r="E7" s="595">
        <f t="shared" si="0"/>
        <v>154.7332123411978</v>
      </c>
      <c r="F7" s="595">
        <f t="shared" si="0"/>
        <v>154.7332123411978</v>
      </c>
      <c r="G7" s="595">
        <f t="shared" si="0"/>
        <v>154.7332123411978</v>
      </c>
      <c r="H7" s="596">
        <f t="shared" si="0"/>
        <v>154.7332123411978</v>
      </c>
    </row>
    <row r="9" spans="2:8" ht="13.5" thickBot="1" x14ac:dyDescent="0.25">
      <c r="B9" s="68" t="s">
        <v>750</v>
      </c>
    </row>
    <row r="10" spans="2:8" x14ac:dyDescent="0.2">
      <c r="B10" s="394" t="str">
        <f>Input!C135</f>
        <v>Early and Late Gestation Ration (#1)</v>
      </c>
      <c r="C10" s="395"/>
      <c r="D10" s="44"/>
      <c r="E10" s="44"/>
      <c r="F10" s="44"/>
      <c r="G10" s="44"/>
      <c r="H10" s="144"/>
    </row>
    <row r="11" spans="2:8" x14ac:dyDescent="0.2">
      <c r="B11" s="4"/>
      <c r="C11" s="434" t="s">
        <v>833</v>
      </c>
      <c r="D11" s="48" t="s">
        <v>751</v>
      </c>
      <c r="E11" s="48" t="s">
        <v>752</v>
      </c>
      <c r="F11" s="48" t="s">
        <v>753</v>
      </c>
      <c r="G11" s="48" t="s">
        <v>754</v>
      </c>
      <c r="H11" s="495" t="s">
        <v>755</v>
      </c>
    </row>
    <row r="12" spans="2:8" x14ac:dyDescent="0.2">
      <c r="B12" s="50"/>
      <c r="C12" s="508" t="s">
        <v>756</v>
      </c>
      <c r="D12" s="237">
        <f>Input!E134*Input!E136</f>
        <v>168</v>
      </c>
      <c r="E12" s="237">
        <f>Input!F134*Input!F136</f>
        <v>168</v>
      </c>
      <c r="F12" s="237">
        <f>Input!G134*Input!G136</f>
        <v>168</v>
      </c>
      <c r="G12" s="237">
        <f>Input!H134*Input!H136</f>
        <v>168</v>
      </c>
      <c r="H12" s="509">
        <f>Input!I134*Input!I136</f>
        <v>168</v>
      </c>
    </row>
    <row r="13" spans="2:8" x14ac:dyDescent="0.2">
      <c r="B13" s="50"/>
      <c r="C13" s="508" t="s">
        <v>757</v>
      </c>
      <c r="D13" s="237">
        <f>Input!E134*Input!E137</f>
        <v>313.59999999999997</v>
      </c>
      <c r="E13" s="237">
        <f>Input!F134*Input!F137</f>
        <v>313.59999999999997</v>
      </c>
      <c r="F13" s="237">
        <f>Input!G134*Input!G137</f>
        <v>313.59999999999997</v>
      </c>
      <c r="G13" s="237">
        <f>Input!H134*Input!H137</f>
        <v>313.59999999999997</v>
      </c>
      <c r="H13" s="509">
        <f>Input!I134*Input!I137</f>
        <v>313.59999999999997</v>
      </c>
    </row>
    <row r="14" spans="2:8" x14ac:dyDescent="0.2">
      <c r="B14" s="30"/>
      <c r="H14" s="87"/>
    </row>
    <row r="15" spans="2:8" x14ac:dyDescent="0.2">
      <c r="B15" s="55" t="str">
        <f>Input!C153</f>
        <v>Early and Late Lactation Ration (#2)</v>
      </c>
      <c r="C15" s="56"/>
      <c r="H15" s="87"/>
    </row>
    <row r="16" spans="2:8" x14ac:dyDescent="0.2">
      <c r="B16" s="4"/>
      <c r="C16" s="434" t="s">
        <v>833</v>
      </c>
      <c r="D16" s="48" t="s">
        <v>751</v>
      </c>
      <c r="E16" s="48" t="s">
        <v>752</v>
      </c>
      <c r="F16" s="48" t="s">
        <v>753</v>
      </c>
      <c r="G16" s="48" t="s">
        <v>754</v>
      </c>
      <c r="H16" s="495" t="s">
        <v>755</v>
      </c>
    </row>
    <row r="17" spans="2:8" x14ac:dyDescent="0.2">
      <c r="B17" s="50"/>
      <c r="C17" s="508" t="s">
        <v>756</v>
      </c>
      <c r="D17" s="237">
        <f>Input!E152*Input!E154</f>
        <v>178.5</v>
      </c>
      <c r="E17" s="237">
        <f>Input!F152*Input!F154</f>
        <v>178.5</v>
      </c>
      <c r="F17" s="237">
        <f>Input!G152*Input!G154</f>
        <v>178.5</v>
      </c>
      <c r="G17" s="237">
        <f>Input!H152*Input!H154</f>
        <v>178.5</v>
      </c>
      <c r="H17" s="509">
        <f>Input!I152*Input!I154</f>
        <v>178.5</v>
      </c>
    </row>
    <row r="18" spans="2:8" x14ac:dyDescent="0.2">
      <c r="B18" s="50"/>
      <c r="C18" s="508" t="s">
        <v>757</v>
      </c>
      <c r="D18" s="237">
        <f>Input!E152*Input!E155</f>
        <v>252</v>
      </c>
      <c r="E18" s="237">
        <f>Input!F152*Input!F155</f>
        <v>252</v>
      </c>
      <c r="F18" s="237">
        <f>Input!G152*Input!G155</f>
        <v>252</v>
      </c>
      <c r="G18" s="237">
        <f>Input!H152*Input!H155</f>
        <v>252</v>
      </c>
      <c r="H18" s="509">
        <f>Input!I152*Input!I155</f>
        <v>252</v>
      </c>
    </row>
    <row r="19" spans="2:8" x14ac:dyDescent="0.2">
      <c r="B19" s="30"/>
      <c r="H19" s="87"/>
    </row>
    <row r="20" spans="2:8" x14ac:dyDescent="0.2">
      <c r="B20" s="55" t="str">
        <f>Input!C171</f>
        <v>Maintenance Ration (#3)</v>
      </c>
      <c r="C20" s="56"/>
      <c r="H20" s="87"/>
    </row>
    <row r="21" spans="2:8" x14ac:dyDescent="0.2">
      <c r="B21" s="4"/>
      <c r="C21" s="434" t="s">
        <v>833</v>
      </c>
      <c r="D21" s="48" t="s">
        <v>751</v>
      </c>
      <c r="E21" s="48" t="s">
        <v>752</v>
      </c>
      <c r="F21" s="48" t="s">
        <v>753</v>
      </c>
      <c r="G21" s="48" t="s">
        <v>754</v>
      </c>
      <c r="H21" s="49" t="s">
        <v>755</v>
      </c>
    </row>
    <row r="22" spans="2:8" x14ac:dyDescent="0.2">
      <c r="B22" s="252"/>
      <c r="C22" s="510" t="s">
        <v>756</v>
      </c>
      <c r="D22" s="511">
        <f>Input!E170*Input!E172</f>
        <v>18.5</v>
      </c>
      <c r="E22" s="511">
        <f>Input!F170*Input!F172</f>
        <v>18.5</v>
      </c>
      <c r="F22" s="511">
        <f>Input!G170*Input!G172</f>
        <v>18.5</v>
      </c>
      <c r="G22" s="511">
        <f>Input!H170*Input!H172</f>
        <v>18.5</v>
      </c>
      <c r="H22" s="512">
        <f>Input!I170*Input!I172</f>
        <v>18.5</v>
      </c>
    </row>
    <row r="23" spans="2:8" x14ac:dyDescent="0.2">
      <c r="B23" s="50"/>
      <c r="C23" s="513" t="s">
        <v>757</v>
      </c>
      <c r="D23" s="237">
        <f>Input!E170*Input!E173</f>
        <v>111</v>
      </c>
      <c r="E23" s="237">
        <f>Input!F170*Input!F173</f>
        <v>111</v>
      </c>
      <c r="F23" s="237">
        <f>Input!G170*Input!G173</f>
        <v>111</v>
      </c>
      <c r="G23" s="237">
        <f>Input!H170*Input!H173</f>
        <v>111</v>
      </c>
      <c r="H23" s="514">
        <f>Input!I170*Input!I173</f>
        <v>111</v>
      </c>
    </row>
    <row r="24" spans="2:8" x14ac:dyDescent="0.2">
      <c r="B24" s="30"/>
      <c r="H24" s="87"/>
    </row>
    <row r="25" spans="2:8" x14ac:dyDescent="0.2">
      <c r="B25" s="50"/>
      <c r="C25" s="515" t="s">
        <v>769</v>
      </c>
      <c r="D25" s="516" t="s">
        <v>4</v>
      </c>
      <c r="E25" s="516" t="s">
        <v>5</v>
      </c>
      <c r="F25" s="516" t="s">
        <v>6</v>
      </c>
      <c r="G25" s="516" t="s">
        <v>7</v>
      </c>
      <c r="H25" s="517" t="s">
        <v>8</v>
      </c>
    </row>
    <row r="26" spans="2:8" x14ac:dyDescent="0.2">
      <c r="B26" s="50"/>
      <c r="C26" s="508" t="s">
        <v>756</v>
      </c>
      <c r="D26" s="237">
        <f t="shared" ref="D26:H27" si="1">D12+D17+D22</f>
        <v>365</v>
      </c>
      <c r="E26" s="237">
        <f t="shared" si="1"/>
        <v>365</v>
      </c>
      <c r="F26" s="237">
        <f t="shared" si="1"/>
        <v>365</v>
      </c>
      <c r="G26" s="237">
        <f t="shared" si="1"/>
        <v>365</v>
      </c>
      <c r="H26" s="509">
        <f t="shared" si="1"/>
        <v>365</v>
      </c>
    </row>
    <row r="27" spans="2:8" x14ac:dyDescent="0.2">
      <c r="B27" s="50"/>
      <c r="C27" s="508" t="s">
        <v>757</v>
      </c>
      <c r="D27" s="237">
        <f t="shared" si="1"/>
        <v>676.59999999999991</v>
      </c>
      <c r="E27" s="237">
        <f t="shared" si="1"/>
        <v>676.59999999999991</v>
      </c>
      <c r="F27" s="237">
        <f t="shared" si="1"/>
        <v>676.59999999999991</v>
      </c>
      <c r="G27" s="237">
        <f t="shared" si="1"/>
        <v>676.59999999999991</v>
      </c>
      <c r="H27" s="509">
        <f t="shared" si="1"/>
        <v>676.59999999999991</v>
      </c>
    </row>
    <row r="28" spans="2:8" ht="13.5" thickBot="1" x14ac:dyDescent="0.25">
      <c r="B28" s="30"/>
      <c r="H28" s="87"/>
    </row>
    <row r="29" spans="2:8" x14ac:dyDescent="0.2">
      <c r="B29" s="438"/>
      <c r="C29" s="518" t="s">
        <v>762</v>
      </c>
      <c r="D29" s="22" t="s">
        <v>4</v>
      </c>
      <c r="E29" s="22" t="s">
        <v>5</v>
      </c>
      <c r="F29" s="22" t="s">
        <v>6</v>
      </c>
      <c r="G29" s="22" t="s">
        <v>7</v>
      </c>
      <c r="H29" s="396" t="s">
        <v>8</v>
      </c>
    </row>
    <row r="30" spans="2:8" x14ac:dyDescent="0.2">
      <c r="B30" s="30"/>
      <c r="C30" s="68" t="s">
        <v>756</v>
      </c>
      <c r="D30" s="519">
        <f>Input!E15*D26</f>
        <v>146000</v>
      </c>
      <c r="E30" s="519">
        <f>Input!F15*E26</f>
        <v>146000</v>
      </c>
      <c r="F30" s="519">
        <f>Input!G15*F26</f>
        <v>146000</v>
      </c>
      <c r="G30" s="519">
        <f>Input!H15*G26</f>
        <v>146000</v>
      </c>
      <c r="H30" s="520">
        <f>Input!I15*H26</f>
        <v>146000</v>
      </c>
    </row>
    <row r="31" spans="2:8" ht="13.5" thickBot="1" x14ac:dyDescent="0.25">
      <c r="B31" s="69"/>
      <c r="C31" s="521" t="s">
        <v>757</v>
      </c>
      <c r="D31" s="506">
        <f>Input!E15*D27</f>
        <v>270639.99999999994</v>
      </c>
      <c r="E31" s="506">
        <f>Input!F15*E27</f>
        <v>270639.99999999994</v>
      </c>
      <c r="F31" s="506">
        <f>Input!G15*F27</f>
        <v>270639.99999999994</v>
      </c>
      <c r="G31" s="506">
        <f>Input!H15*G27</f>
        <v>270639.99999999994</v>
      </c>
      <c r="H31" s="507">
        <f>Input!I15*H27</f>
        <v>270639.99999999994</v>
      </c>
    </row>
    <row r="32" spans="2:8" ht="13.5" thickBot="1" x14ac:dyDescent="0.25">
      <c r="B32" s="1163"/>
      <c r="C32" s="1164" t="s">
        <v>834</v>
      </c>
      <c r="D32" s="1165" t="s">
        <v>4</v>
      </c>
      <c r="E32" s="1165" t="s">
        <v>5</v>
      </c>
      <c r="F32" s="1165" t="s">
        <v>6</v>
      </c>
      <c r="G32" s="1165" t="s">
        <v>7</v>
      </c>
      <c r="H32" s="1166" t="s">
        <v>8</v>
      </c>
    </row>
    <row r="33" spans="2:8" x14ac:dyDescent="0.2">
      <c r="B33" s="1167"/>
      <c r="C33" s="417" t="s">
        <v>758</v>
      </c>
      <c r="D33" s="1168">
        <f>D30/45.93</f>
        <v>3178.7502721532769</v>
      </c>
      <c r="E33" s="1168">
        <f>E30/45.93</f>
        <v>3178.7502721532769</v>
      </c>
      <c r="F33" s="1168">
        <f>F30/45.93</f>
        <v>3178.7502721532769</v>
      </c>
      <c r="G33" s="1168">
        <f>G30/45.93</f>
        <v>3178.7502721532769</v>
      </c>
      <c r="H33" s="1169">
        <f>H30/45.93</f>
        <v>3178.7502721532769</v>
      </c>
    </row>
    <row r="34" spans="2:8" ht="13.5" thickBot="1" x14ac:dyDescent="0.25">
      <c r="B34" s="1170"/>
      <c r="C34" s="1171" t="s">
        <v>759</v>
      </c>
      <c r="D34" s="1172">
        <f>D31/2204</f>
        <v>122.79491833030851</v>
      </c>
      <c r="E34" s="1172">
        <f>E31/2204</f>
        <v>122.79491833030851</v>
      </c>
      <c r="F34" s="1172">
        <f>F31/2204</f>
        <v>122.79491833030851</v>
      </c>
      <c r="G34" s="1172">
        <f>G31/2204</f>
        <v>122.79491833030851</v>
      </c>
      <c r="H34" s="1173">
        <f>H31/2204</f>
        <v>122.79491833030851</v>
      </c>
    </row>
    <row r="36" spans="2:8" ht="13.5" thickBot="1" x14ac:dyDescent="0.25">
      <c r="B36" s="68" t="s">
        <v>760</v>
      </c>
    </row>
    <row r="37" spans="2:8" x14ac:dyDescent="0.2">
      <c r="B37" s="394" t="str">
        <f>Input!C203</f>
        <v>Ram - General Feed Ration (#4)</v>
      </c>
      <c r="C37" s="395"/>
      <c r="D37" s="44"/>
      <c r="E37" s="44"/>
      <c r="F37" s="44"/>
      <c r="G37" s="44"/>
      <c r="H37" s="144"/>
    </row>
    <row r="38" spans="2:8" x14ac:dyDescent="0.2">
      <c r="B38" s="4"/>
      <c r="C38" s="434" t="s">
        <v>835</v>
      </c>
      <c r="D38" s="48" t="s">
        <v>751</v>
      </c>
      <c r="E38" s="48" t="s">
        <v>752</v>
      </c>
      <c r="F38" s="48" t="s">
        <v>753</v>
      </c>
      <c r="G38" s="48" t="s">
        <v>754</v>
      </c>
      <c r="H38" s="49" t="s">
        <v>755</v>
      </c>
    </row>
    <row r="39" spans="2:8" x14ac:dyDescent="0.2">
      <c r="B39" s="50"/>
      <c r="C39" s="508" t="s">
        <v>756</v>
      </c>
      <c r="D39" s="504">
        <f>Input!E202*Input!E204</f>
        <v>232</v>
      </c>
      <c r="E39" s="504">
        <f>Input!F202*Input!F204</f>
        <v>232</v>
      </c>
      <c r="F39" s="504">
        <f>Input!G202*Input!G204</f>
        <v>232</v>
      </c>
      <c r="G39" s="504">
        <f>Input!H202*Input!H204</f>
        <v>232</v>
      </c>
      <c r="H39" s="505">
        <f>Input!I202*Input!I204</f>
        <v>232</v>
      </c>
    </row>
    <row r="40" spans="2:8" x14ac:dyDescent="0.2">
      <c r="B40" s="50"/>
      <c r="C40" s="508" t="s">
        <v>757</v>
      </c>
      <c r="D40" s="504">
        <f>Input!E202*Input!E205</f>
        <v>812</v>
      </c>
      <c r="E40" s="504">
        <f>Input!F202*Input!F205</f>
        <v>812</v>
      </c>
      <c r="F40" s="504">
        <f>Input!G202*Input!G205</f>
        <v>812</v>
      </c>
      <c r="G40" s="504">
        <f>Input!H202*Input!H205</f>
        <v>812</v>
      </c>
      <c r="H40" s="505">
        <f>Input!I202*Input!I205</f>
        <v>812</v>
      </c>
    </row>
    <row r="41" spans="2:8" ht="13.5" thickBot="1" x14ac:dyDescent="0.25">
      <c r="B41" s="30"/>
      <c r="C41" s="68"/>
      <c r="D41" s="524"/>
      <c r="E41" s="524"/>
      <c r="F41" s="524"/>
      <c r="G41" s="524"/>
      <c r="H41" s="525"/>
    </row>
    <row r="42" spans="2:8" x14ac:dyDescent="0.2">
      <c r="B42" s="438"/>
      <c r="C42" s="518" t="s">
        <v>764</v>
      </c>
      <c r="D42" s="22" t="s">
        <v>4</v>
      </c>
      <c r="E42" s="22" t="s">
        <v>5</v>
      </c>
      <c r="F42" s="22" t="s">
        <v>6</v>
      </c>
      <c r="G42" s="22" t="s">
        <v>7</v>
      </c>
      <c r="H42" s="396" t="s">
        <v>8</v>
      </c>
    </row>
    <row r="43" spans="2:8" x14ac:dyDescent="0.2">
      <c r="B43" s="50"/>
      <c r="C43" s="508" t="s">
        <v>756</v>
      </c>
      <c r="D43" s="504">
        <f>Input!E16*D39</f>
        <v>2320</v>
      </c>
      <c r="E43" s="504">
        <f>Input!F16*E39</f>
        <v>2320</v>
      </c>
      <c r="F43" s="504">
        <f>Input!G16*F39</f>
        <v>2320</v>
      </c>
      <c r="G43" s="504">
        <f>Input!H16*G39</f>
        <v>2320</v>
      </c>
      <c r="H43" s="388">
        <f>Input!I16*H39</f>
        <v>2320</v>
      </c>
    </row>
    <row r="44" spans="2:8" ht="13.5" thickBot="1" x14ac:dyDescent="0.25">
      <c r="B44" s="252"/>
      <c r="C44" s="526" t="s">
        <v>757</v>
      </c>
      <c r="D44" s="527">
        <f>Input!E16*D40</f>
        <v>8120</v>
      </c>
      <c r="E44" s="527">
        <f>Input!F16*E40</f>
        <v>8120</v>
      </c>
      <c r="F44" s="527">
        <f>Input!G16*F40</f>
        <v>8120</v>
      </c>
      <c r="G44" s="527">
        <f>Input!H16*G40</f>
        <v>8120</v>
      </c>
      <c r="H44" s="528">
        <f>Input!I16*H40</f>
        <v>8120</v>
      </c>
    </row>
    <row r="45" spans="2:8" ht="13.5" thickBot="1" x14ac:dyDescent="0.25">
      <c r="B45" s="1163"/>
      <c r="C45" s="1174" t="s">
        <v>0</v>
      </c>
      <c r="D45" s="1165" t="s">
        <v>4</v>
      </c>
      <c r="E45" s="1165" t="s">
        <v>5</v>
      </c>
      <c r="F45" s="1165" t="s">
        <v>6</v>
      </c>
      <c r="G45" s="1165" t="s">
        <v>7</v>
      </c>
      <c r="H45" s="1166" t="s">
        <v>8</v>
      </c>
    </row>
    <row r="46" spans="2:8" x14ac:dyDescent="0.2">
      <c r="B46" s="1167"/>
      <c r="C46" s="417" t="s">
        <v>758</v>
      </c>
      <c r="D46" s="1175">
        <f>D43/45.93</f>
        <v>50.511648160243851</v>
      </c>
      <c r="E46" s="1175">
        <f>E43/45.93</f>
        <v>50.511648160243851</v>
      </c>
      <c r="F46" s="1175">
        <f>F43/45.93</f>
        <v>50.511648160243851</v>
      </c>
      <c r="G46" s="1175">
        <f>G43/45.93</f>
        <v>50.511648160243851</v>
      </c>
      <c r="H46" s="1176">
        <f>H43/45.93</f>
        <v>50.511648160243851</v>
      </c>
    </row>
    <row r="47" spans="2:8" ht="13.5" thickBot="1" x14ac:dyDescent="0.25">
      <c r="B47" s="1170"/>
      <c r="C47" s="1171" t="s">
        <v>759</v>
      </c>
      <c r="D47" s="1177">
        <f>D44/2204</f>
        <v>3.6842105263157894</v>
      </c>
      <c r="E47" s="1177">
        <f>E44/2204</f>
        <v>3.6842105263157894</v>
      </c>
      <c r="F47" s="1177">
        <f>F44/2204</f>
        <v>3.6842105263157894</v>
      </c>
      <c r="G47" s="1177">
        <f>G44/2204</f>
        <v>3.6842105263157894</v>
      </c>
      <c r="H47" s="1178">
        <f>H44/2204</f>
        <v>3.6842105263157894</v>
      </c>
    </row>
    <row r="49" spans="2:8" ht="13.5" thickBot="1" x14ac:dyDescent="0.25">
      <c r="B49" s="68" t="s">
        <v>761</v>
      </c>
    </row>
    <row r="50" spans="2:8" x14ac:dyDescent="0.2">
      <c r="B50" s="394" t="str">
        <f>Input!C234</f>
        <v>Lambs Creep Ration (#5)</v>
      </c>
      <c r="C50" s="395"/>
      <c r="D50" s="44"/>
      <c r="E50" s="44"/>
      <c r="F50" s="44"/>
      <c r="G50" s="44"/>
      <c r="H50" s="144"/>
    </row>
    <row r="51" spans="2:8" x14ac:dyDescent="0.2">
      <c r="B51" s="4"/>
      <c r="C51" s="434" t="s">
        <v>700</v>
      </c>
      <c r="D51" s="48" t="s">
        <v>751</v>
      </c>
      <c r="E51" s="48" t="s">
        <v>752</v>
      </c>
      <c r="F51" s="48" t="s">
        <v>753</v>
      </c>
      <c r="G51" s="48" t="s">
        <v>754</v>
      </c>
      <c r="H51" s="49" t="s">
        <v>755</v>
      </c>
    </row>
    <row r="52" spans="2:8" x14ac:dyDescent="0.2">
      <c r="B52" s="252"/>
      <c r="C52" s="526" t="s">
        <v>756</v>
      </c>
      <c r="D52" s="511">
        <f>Input!E232*Input!E235</f>
        <v>0</v>
      </c>
      <c r="E52" s="511">
        <f>Input!F232*Input!F235</f>
        <v>0</v>
      </c>
      <c r="F52" s="511">
        <f>Input!G232*Input!G235</f>
        <v>0</v>
      </c>
      <c r="G52" s="511">
        <f>Input!H232*Input!H235</f>
        <v>0</v>
      </c>
      <c r="H52" s="529">
        <f>Input!I232*Input!I235</f>
        <v>0</v>
      </c>
    </row>
    <row r="53" spans="2:8" x14ac:dyDescent="0.2">
      <c r="B53" s="50"/>
      <c r="C53" s="513" t="s">
        <v>757</v>
      </c>
      <c r="D53" s="237">
        <f>Input!E232*Input!E236</f>
        <v>0</v>
      </c>
      <c r="E53" s="237">
        <f>Input!F232*Input!F236</f>
        <v>0</v>
      </c>
      <c r="F53" s="237">
        <f>Input!G232*Input!G236</f>
        <v>0</v>
      </c>
      <c r="G53" s="237">
        <f>Input!H232*Input!H236</f>
        <v>0</v>
      </c>
      <c r="H53" s="514">
        <f>Input!I232*Input!I236</f>
        <v>0</v>
      </c>
    </row>
    <row r="54" spans="2:8" x14ac:dyDescent="0.2">
      <c r="B54" s="50"/>
      <c r="C54" s="1160" t="s">
        <v>952</v>
      </c>
      <c r="D54" s="1161">
        <f>Input!E232*Input!E237</f>
        <v>50</v>
      </c>
      <c r="E54" s="1161">
        <f>Input!F232*Input!F237</f>
        <v>50</v>
      </c>
      <c r="F54" s="1161">
        <f>Input!G232*Input!G237</f>
        <v>50</v>
      </c>
      <c r="G54" s="1161">
        <f>Input!H232*Input!H237</f>
        <v>50</v>
      </c>
      <c r="H54" s="514">
        <f>Input!I232*Input!I237</f>
        <v>50</v>
      </c>
    </row>
    <row r="55" spans="2:8" x14ac:dyDescent="0.2">
      <c r="B55" s="30"/>
      <c r="H55" s="87"/>
    </row>
    <row r="56" spans="2:8" x14ac:dyDescent="0.2">
      <c r="B56" s="4" t="str">
        <f>Input!C254</f>
        <v>Lambs Weaning Ration (#6)</v>
      </c>
      <c r="H56" s="87"/>
    </row>
    <row r="57" spans="2:8" x14ac:dyDescent="0.2">
      <c r="B57" s="257"/>
      <c r="C57" s="530" t="s">
        <v>700</v>
      </c>
      <c r="D57" s="516" t="s">
        <v>751</v>
      </c>
      <c r="E57" s="516" t="s">
        <v>752</v>
      </c>
      <c r="F57" s="516" t="s">
        <v>753</v>
      </c>
      <c r="G57" s="516" t="s">
        <v>754</v>
      </c>
      <c r="H57" s="531" t="s">
        <v>755</v>
      </c>
    </row>
    <row r="58" spans="2:8" x14ac:dyDescent="0.2">
      <c r="B58" s="50"/>
      <c r="C58" s="508" t="s">
        <v>756</v>
      </c>
      <c r="D58" s="237">
        <f>Input!E252*Input!E255</f>
        <v>42</v>
      </c>
      <c r="E58" s="237">
        <f>Input!F252*Input!F255</f>
        <v>42</v>
      </c>
      <c r="F58" s="237">
        <f>Input!G252*Input!G255</f>
        <v>42</v>
      </c>
      <c r="G58" s="237">
        <f>Input!H252*Input!H255</f>
        <v>42</v>
      </c>
      <c r="H58" s="514">
        <f>Input!I252*Input!I255</f>
        <v>42</v>
      </c>
    </row>
    <row r="59" spans="2:8" x14ac:dyDescent="0.2">
      <c r="B59" s="50"/>
      <c r="C59" s="508" t="s">
        <v>757</v>
      </c>
      <c r="D59" s="237">
        <f>Input!E252*Input!E256</f>
        <v>28</v>
      </c>
      <c r="E59" s="237">
        <f>Input!F252*Input!F256</f>
        <v>28</v>
      </c>
      <c r="F59" s="237">
        <f>Input!G252*Input!G256</f>
        <v>28</v>
      </c>
      <c r="G59" s="237">
        <f>Input!H252*Input!H256</f>
        <v>28</v>
      </c>
      <c r="H59" s="514">
        <f>Input!I252*Input!I256</f>
        <v>28</v>
      </c>
    </row>
    <row r="60" spans="2:8" x14ac:dyDescent="0.2">
      <c r="B60" s="30"/>
      <c r="H60" s="87"/>
    </row>
    <row r="61" spans="2:8" x14ac:dyDescent="0.2">
      <c r="B61" s="55" t="str">
        <f>Input!C274</f>
        <v>Lambs Grower Ration (#7)</v>
      </c>
      <c r="C61" s="56"/>
      <c r="H61" s="87"/>
    </row>
    <row r="62" spans="2:8" x14ac:dyDescent="0.2">
      <c r="B62" s="257"/>
      <c r="C62" s="530" t="s">
        <v>700</v>
      </c>
      <c r="D62" s="516" t="s">
        <v>751</v>
      </c>
      <c r="E62" s="516" t="s">
        <v>752</v>
      </c>
      <c r="F62" s="516" t="s">
        <v>753</v>
      </c>
      <c r="G62" s="516" t="s">
        <v>754</v>
      </c>
      <c r="H62" s="531" t="s">
        <v>755</v>
      </c>
    </row>
    <row r="63" spans="2:8" x14ac:dyDescent="0.2">
      <c r="B63" s="50"/>
      <c r="C63" s="508" t="s">
        <v>756</v>
      </c>
      <c r="D63" s="237">
        <f>Input!E272*Input!E275</f>
        <v>175</v>
      </c>
      <c r="E63" s="237">
        <f>Input!F272*Input!F275</f>
        <v>175</v>
      </c>
      <c r="F63" s="237">
        <f>Input!G272*Input!G275</f>
        <v>175</v>
      </c>
      <c r="G63" s="237">
        <f>Input!H272*Input!H275</f>
        <v>175</v>
      </c>
      <c r="H63" s="509">
        <f>Input!I272*Input!I275</f>
        <v>175</v>
      </c>
    </row>
    <row r="64" spans="2:8" x14ac:dyDescent="0.2">
      <c r="B64" s="50"/>
      <c r="C64" s="508" t="s">
        <v>757</v>
      </c>
      <c r="D64" s="237">
        <f>Input!E272*Input!E276</f>
        <v>70</v>
      </c>
      <c r="E64" s="237">
        <f>Input!F272*Input!F276</f>
        <v>70</v>
      </c>
      <c r="F64" s="237">
        <f>Input!G272*Input!G276</f>
        <v>70</v>
      </c>
      <c r="G64" s="237">
        <f>Input!H272*Input!H276</f>
        <v>70</v>
      </c>
      <c r="H64" s="509">
        <f>Input!I272*Input!I276</f>
        <v>70</v>
      </c>
    </row>
    <row r="65" spans="2:8" ht="13.5" thickBot="1" x14ac:dyDescent="0.25">
      <c r="B65" s="30"/>
      <c r="C65" s="68"/>
      <c r="D65" s="28"/>
      <c r="E65" s="28"/>
      <c r="F65" s="28"/>
      <c r="G65" s="28"/>
      <c r="H65" s="430"/>
    </row>
    <row r="66" spans="2:8" ht="13.5" thickBot="1" x14ac:dyDescent="0.25">
      <c r="B66" s="62"/>
      <c r="C66" s="532" t="s">
        <v>763</v>
      </c>
      <c r="D66" s="522" t="s">
        <v>4</v>
      </c>
      <c r="E66" s="522" t="s">
        <v>5</v>
      </c>
      <c r="F66" s="522" t="s">
        <v>6</v>
      </c>
      <c r="G66" s="522" t="s">
        <v>7</v>
      </c>
      <c r="H66" s="523" t="s">
        <v>8</v>
      </c>
    </row>
    <row r="67" spans="2:8" x14ac:dyDescent="0.2">
      <c r="B67" s="30"/>
      <c r="C67" s="68" t="s">
        <v>756</v>
      </c>
      <c r="D67" s="533">
        <f t="shared" ref="D67:H68" si="2">D52+D58+D63</f>
        <v>217</v>
      </c>
      <c r="E67" s="533">
        <f t="shared" si="2"/>
        <v>217</v>
      </c>
      <c r="F67" s="533">
        <f t="shared" si="2"/>
        <v>217</v>
      </c>
      <c r="G67" s="533">
        <f t="shared" si="2"/>
        <v>217</v>
      </c>
      <c r="H67" s="430">
        <f t="shared" si="2"/>
        <v>217</v>
      </c>
    </row>
    <row r="68" spans="2:8" ht="13.5" thickBot="1" x14ac:dyDescent="0.25">
      <c r="B68" s="69"/>
      <c r="C68" s="521" t="s">
        <v>757</v>
      </c>
      <c r="D68" s="534">
        <f t="shared" si="2"/>
        <v>98</v>
      </c>
      <c r="E68" s="534">
        <f t="shared" si="2"/>
        <v>98</v>
      </c>
      <c r="F68" s="534">
        <f t="shared" si="2"/>
        <v>98</v>
      </c>
      <c r="G68" s="534">
        <f t="shared" si="2"/>
        <v>98</v>
      </c>
      <c r="H68" s="535">
        <f t="shared" si="2"/>
        <v>98</v>
      </c>
    </row>
    <row r="69" spans="2:8" ht="13.5" thickBot="1" x14ac:dyDescent="0.25">
      <c r="B69" s="43"/>
      <c r="C69" s="44"/>
      <c r="D69" s="44"/>
      <c r="E69" s="44"/>
      <c r="F69" s="44"/>
      <c r="G69" s="44"/>
      <c r="H69" s="144"/>
    </row>
    <row r="70" spans="2:8" x14ac:dyDescent="0.2">
      <c r="B70" s="438"/>
      <c r="C70" s="518" t="s">
        <v>765</v>
      </c>
      <c r="D70" s="22" t="s">
        <v>4</v>
      </c>
      <c r="E70" s="22" t="s">
        <v>5</v>
      </c>
      <c r="F70" s="22" t="s">
        <v>6</v>
      </c>
      <c r="G70" s="22" t="s">
        <v>7</v>
      </c>
      <c r="H70" s="396" t="s">
        <v>8</v>
      </c>
    </row>
    <row r="71" spans="2:8" x14ac:dyDescent="0.2">
      <c r="B71" s="30"/>
      <c r="C71" s="68" t="s">
        <v>756</v>
      </c>
      <c r="D71" s="519">
        <f>(Input!E233*D52)+(Input!E253*D58)+(Input!E273*D63)</f>
        <v>136528</v>
      </c>
      <c r="E71" s="519">
        <f>(Input!F233*E52)+(Input!F253*E58)+(Input!F273*E63)</f>
        <v>136528</v>
      </c>
      <c r="F71" s="519">
        <f>(Input!G233*F52)+(Input!G253*F58)+(Input!G273*F63)</f>
        <v>136528</v>
      </c>
      <c r="G71" s="519">
        <f>(Input!H233*G52)+(Input!H253*G58)+(Input!H273*G63)</f>
        <v>136528</v>
      </c>
      <c r="H71" s="597">
        <f>(Input!I233*H52)+(Input!I253*H58)+(Input!I273*H63)</f>
        <v>136528</v>
      </c>
    </row>
    <row r="72" spans="2:8" x14ac:dyDescent="0.2">
      <c r="B72" s="252"/>
      <c r="C72" s="1162" t="s">
        <v>757</v>
      </c>
      <c r="D72" s="527">
        <f>(Input!E233*D53)+(Input!E253*D59)+(Input!E273*D64)</f>
        <v>62272</v>
      </c>
      <c r="E72" s="527">
        <f>(Input!F233*E53)+(Input!F253*E59)+(Input!F273*E64)</f>
        <v>62272</v>
      </c>
      <c r="F72" s="527">
        <f>(Input!G233*F53)+(Input!G253*F59)+(Input!G273*F64)</f>
        <v>62272</v>
      </c>
      <c r="G72" s="527">
        <f>(Input!H233*G53)+(Input!H253*G59)+(Input!H273*G64)</f>
        <v>62272</v>
      </c>
      <c r="H72" s="528">
        <f>(Input!I233*H53)+(Input!I253*H59)+(Input!I273*H64)</f>
        <v>62272</v>
      </c>
    </row>
    <row r="73" spans="2:8" ht="13.5" thickBot="1" x14ac:dyDescent="0.25">
      <c r="B73" s="69"/>
      <c r="C73" s="1192" t="s">
        <v>953</v>
      </c>
      <c r="D73" s="506">
        <f>Input!E233*D54</f>
        <v>36000</v>
      </c>
      <c r="E73" s="506">
        <f>Input!F233*E54</f>
        <v>36000</v>
      </c>
      <c r="F73" s="506">
        <f>Input!G233*F54</f>
        <v>36000</v>
      </c>
      <c r="G73" s="506">
        <f>Input!H233*G54</f>
        <v>36000</v>
      </c>
      <c r="H73" s="1193">
        <f>Input!I233*H54</f>
        <v>36000</v>
      </c>
    </row>
    <row r="74" spans="2:8" x14ac:dyDescent="0.2">
      <c r="B74" s="1179"/>
      <c r="C74" s="1180" t="s">
        <v>765</v>
      </c>
      <c r="D74" s="1181" t="s">
        <v>4</v>
      </c>
      <c r="E74" s="1181" t="s">
        <v>5</v>
      </c>
      <c r="F74" s="1181" t="s">
        <v>6</v>
      </c>
      <c r="G74" s="1181" t="s">
        <v>7</v>
      </c>
      <c r="H74" s="1182" t="s">
        <v>8</v>
      </c>
    </row>
    <row r="75" spans="2:8" x14ac:dyDescent="0.2">
      <c r="B75" s="1183"/>
      <c r="C75" s="1184" t="s">
        <v>758</v>
      </c>
      <c r="D75" s="1185">
        <f>D71/45.93</f>
        <v>2972.5234051817984</v>
      </c>
      <c r="E75" s="1185">
        <f>E71/45.93</f>
        <v>2972.5234051817984</v>
      </c>
      <c r="F75" s="1185">
        <f>F71/45.93</f>
        <v>2972.5234051817984</v>
      </c>
      <c r="G75" s="1185">
        <f>G71/45.93</f>
        <v>2972.5234051817984</v>
      </c>
      <c r="H75" s="1186">
        <f>H71/45.93</f>
        <v>2972.5234051817984</v>
      </c>
    </row>
    <row r="76" spans="2:8" x14ac:dyDescent="0.2">
      <c r="B76" s="1183"/>
      <c r="C76" s="1187" t="s">
        <v>759</v>
      </c>
      <c r="D76" s="1188">
        <f t="shared" ref="D76:H77" si="3">D72/2204</f>
        <v>28.254083484573503</v>
      </c>
      <c r="E76" s="1188">
        <f t="shared" si="3"/>
        <v>28.254083484573503</v>
      </c>
      <c r="F76" s="1188">
        <f t="shared" si="3"/>
        <v>28.254083484573503</v>
      </c>
      <c r="G76" s="1188">
        <f t="shared" si="3"/>
        <v>28.254083484573503</v>
      </c>
      <c r="H76" s="1189">
        <f t="shared" si="3"/>
        <v>28.254083484573503</v>
      </c>
    </row>
    <row r="77" spans="2:8" ht="13.5" thickBot="1" x14ac:dyDescent="0.25">
      <c r="B77" s="1170"/>
      <c r="C77" s="1190" t="s">
        <v>951</v>
      </c>
      <c r="D77" s="1191">
        <f t="shared" si="3"/>
        <v>16.333938294010888</v>
      </c>
      <c r="E77" s="1191">
        <f t="shared" si="3"/>
        <v>16.333938294010888</v>
      </c>
      <c r="F77" s="1191">
        <f t="shared" si="3"/>
        <v>16.333938294010888</v>
      </c>
      <c r="G77" s="1191">
        <f t="shared" si="3"/>
        <v>16.333938294010888</v>
      </c>
      <c r="H77" s="1194">
        <f t="shared" si="3"/>
        <v>16.333938294010888</v>
      </c>
    </row>
    <row r="79" spans="2:8" ht="13.5" thickBot="1" x14ac:dyDescent="0.25">
      <c r="C79" s="434" t="s">
        <v>820</v>
      </c>
    </row>
    <row r="80" spans="2:8" ht="13.5" thickBot="1" x14ac:dyDescent="0.25">
      <c r="C80" s="536" t="s">
        <v>788</v>
      </c>
      <c r="D80" s="126" t="s">
        <v>4</v>
      </c>
      <c r="E80" s="126" t="s">
        <v>5</v>
      </c>
      <c r="F80" s="126" t="s">
        <v>6</v>
      </c>
      <c r="G80" s="126" t="s">
        <v>7</v>
      </c>
      <c r="H80" s="209" t="s">
        <v>8</v>
      </c>
    </row>
    <row r="81" spans="3:8" x14ac:dyDescent="0.2">
      <c r="C81" s="537" t="s">
        <v>789</v>
      </c>
      <c r="D81" s="538">
        <f>Input!E196</f>
        <v>0</v>
      </c>
      <c r="E81" s="538">
        <f>Input!F196</f>
        <v>0</v>
      </c>
      <c r="F81" s="538">
        <f>Input!G196</f>
        <v>0</v>
      </c>
      <c r="G81" s="538">
        <f>Input!H196</f>
        <v>0</v>
      </c>
      <c r="H81" s="539">
        <f>Input!I196</f>
        <v>0</v>
      </c>
    </row>
    <row r="82" spans="3:8" x14ac:dyDescent="0.2">
      <c r="C82" s="45" t="s">
        <v>790</v>
      </c>
      <c r="D82" s="527">
        <f>Input!E226</f>
        <v>0</v>
      </c>
      <c r="E82" s="527">
        <f>Input!F226</f>
        <v>0</v>
      </c>
      <c r="F82" s="527">
        <f>Input!G226</f>
        <v>0</v>
      </c>
      <c r="G82" s="527">
        <f>Input!H226</f>
        <v>0</v>
      </c>
      <c r="H82" s="528">
        <f>Input!I226</f>
        <v>0</v>
      </c>
    </row>
    <row r="83" spans="3:8" ht="13.5" thickBot="1" x14ac:dyDescent="0.25">
      <c r="C83" s="540" t="s">
        <v>791</v>
      </c>
      <c r="D83" s="527">
        <f>Input!E300</f>
        <v>0</v>
      </c>
      <c r="E83" s="527">
        <f>Input!F300</f>
        <v>0</v>
      </c>
      <c r="F83" s="527">
        <f>Input!G300</f>
        <v>0</v>
      </c>
      <c r="G83" s="527">
        <f>Input!H300</f>
        <v>0</v>
      </c>
      <c r="H83" s="528">
        <f>Input!I300</f>
        <v>0</v>
      </c>
    </row>
    <row r="84" spans="3:8" ht="14.25" thickTop="1" thickBot="1" x14ac:dyDescent="0.25">
      <c r="C84" s="541" t="s">
        <v>795</v>
      </c>
      <c r="D84" s="542">
        <f>D81+D82+D83</f>
        <v>0</v>
      </c>
      <c r="E84" s="542">
        <f>E81+E82+E83</f>
        <v>0</v>
      </c>
      <c r="F84" s="542">
        <f>F81+F82+F83</f>
        <v>0</v>
      </c>
      <c r="G84" s="542">
        <f>G81+G82+G83</f>
        <v>0</v>
      </c>
      <c r="H84" s="543">
        <f>H81+H82+H83</f>
        <v>0</v>
      </c>
    </row>
    <row r="85" spans="3:8" ht="13.5" thickTop="1" x14ac:dyDescent="0.2">
      <c r="C85" s="544" t="s">
        <v>792</v>
      </c>
      <c r="D85" s="128" t="s">
        <v>4</v>
      </c>
      <c r="E85" s="128" t="s">
        <v>5</v>
      </c>
      <c r="F85" s="128" t="s">
        <v>6</v>
      </c>
      <c r="G85" s="128" t="s">
        <v>7</v>
      </c>
      <c r="H85" s="431" t="s">
        <v>8</v>
      </c>
    </row>
    <row r="86" spans="3:8" x14ac:dyDescent="0.2">
      <c r="C86" s="545" t="s">
        <v>787</v>
      </c>
      <c r="D86" s="546">
        <f t="shared" ref="D86:H88" si="4">IF(D81&gt;0,D81/2204.6226,0)</f>
        <v>0</v>
      </c>
      <c r="E86" s="546">
        <f t="shared" si="4"/>
        <v>0</v>
      </c>
      <c r="F86" s="546">
        <f t="shared" si="4"/>
        <v>0</v>
      </c>
      <c r="G86" s="546">
        <f t="shared" si="4"/>
        <v>0</v>
      </c>
      <c r="H86" s="547">
        <f t="shared" si="4"/>
        <v>0</v>
      </c>
    </row>
    <row r="87" spans="3:8" x14ac:dyDescent="0.2">
      <c r="C87" s="548" t="s">
        <v>793</v>
      </c>
      <c r="D87" s="546">
        <f t="shared" si="4"/>
        <v>0</v>
      </c>
      <c r="E87" s="546">
        <f t="shared" si="4"/>
        <v>0</v>
      </c>
      <c r="F87" s="546">
        <f t="shared" si="4"/>
        <v>0</v>
      </c>
      <c r="G87" s="546">
        <f t="shared" si="4"/>
        <v>0</v>
      </c>
      <c r="H87" s="547">
        <f t="shared" si="4"/>
        <v>0</v>
      </c>
    </row>
    <row r="88" spans="3:8" ht="13.5" thickBot="1" x14ac:dyDescent="0.25">
      <c r="C88" s="540" t="s">
        <v>794</v>
      </c>
      <c r="D88" s="549">
        <f t="shared" si="4"/>
        <v>0</v>
      </c>
      <c r="E88" s="549">
        <f t="shared" si="4"/>
        <v>0</v>
      </c>
      <c r="F88" s="549">
        <f t="shared" si="4"/>
        <v>0</v>
      </c>
      <c r="G88" s="549">
        <f t="shared" si="4"/>
        <v>0</v>
      </c>
      <c r="H88" s="550">
        <f t="shared" si="4"/>
        <v>0</v>
      </c>
    </row>
    <row r="89" spans="3:8" ht="14.25" thickTop="1" thickBot="1" x14ac:dyDescent="0.25">
      <c r="C89" s="551" t="s">
        <v>0</v>
      </c>
      <c r="D89" s="552">
        <f>D86+D87+D88</f>
        <v>0</v>
      </c>
      <c r="E89" s="552">
        <f>E86+E87+E88</f>
        <v>0</v>
      </c>
      <c r="F89" s="552">
        <f>F86+F87+F88</f>
        <v>0</v>
      </c>
      <c r="G89" s="552">
        <f>G86+G87+G88</f>
        <v>0</v>
      </c>
      <c r="H89" s="553">
        <f>H86+H87+H88</f>
        <v>0</v>
      </c>
    </row>
    <row r="90" spans="3:8" x14ac:dyDescent="0.2">
      <c r="C90" s="436"/>
      <c r="D90" s="554"/>
      <c r="E90" s="554"/>
      <c r="F90" s="554"/>
      <c r="G90" s="554"/>
      <c r="H90" s="554"/>
    </row>
  </sheetData>
  <sheetProtection sheet="1" objects="1" scenarios="1"/>
  <pageMargins left="0.75" right="0.75" top="1" bottom="1" header="0.5" footer="0.5"/>
  <pageSetup scale="57" orientation="portrait" r:id="rId1"/>
  <headerFooter>
    <oddFooter>&amp;CEwePLAN Copyright Government of Saskatchewan, Developed by Brad Marceniuk&amp;RPage 2</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3473" r:id="rId4" name="Button 1">
              <controlPr defaultSize="0" print="0" autoFill="0" autoPict="0" macro="[0]!PrintFeedSummary">
                <anchor moveWithCells="1">
                  <from>
                    <xdr:col>1</xdr:col>
                    <xdr:colOff>0</xdr:colOff>
                    <xdr:row>0</xdr:row>
                    <xdr:rowOff>95250</xdr:rowOff>
                  </from>
                  <to>
                    <xdr:col>5</xdr:col>
                    <xdr:colOff>276225</xdr:colOff>
                    <xdr:row>2</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autoPageBreaks="0" fitToPage="1"/>
  </sheetPr>
  <dimension ref="A1:U133"/>
  <sheetViews>
    <sheetView showGridLines="0" showRowColHeaders="0" topLeftCell="A2" zoomScaleNormal="100" workbookViewId="0">
      <selection activeCell="L2" sqref="L2"/>
    </sheetView>
  </sheetViews>
  <sheetFormatPr defaultRowHeight="12.75" x14ac:dyDescent="0.2"/>
  <cols>
    <col min="1" max="2" width="4.7109375" customWidth="1"/>
    <col min="3" max="3" width="13.7109375" customWidth="1"/>
    <col min="4" max="4" width="12.7109375" customWidth="1"/>
    <col min="5" max="5" width="6.7109375" customWidth="1"/>
    <col min="6" max="18" width="10.7109375" customWidth="1"/>
    <col min="19" max="19" width="11.7109375" customWidth="1"/>
    <col min="20" max="20" width="10.140625" bestFit="1" customWidth="1"/>
  </cols>
  <sheetData>
    <row r="1" spans="1:19" x14ac:dyDescent="0.2">
      <c r="B1" s="29"/>
      <c r="C1" s="29"/>
      <c r="D1" s="29"/>
      <c r="E1" s="29"/>
      <c r="F1" s="29"/>
      <c r="G1" s="29"/>
      <c r="H1" s="29"/>
      <c r="I1" s="29"/>
      <c r="J1" s="29"/>
      <c r="K1" s="29"/>
      <c r="L1" s="29"/>
      <c r="M1" s="29"/>
      <c r="N1" s="29"/>
      <c r="O1" s="29"/>
      <c r="P1" s="29"/>
      <c r="Q1" s="29"/>
      <c r="R1" s="29"/>
      <c r="S1" s="29"/>
    </row>
    <row r="2" spans="1:19" x14ac:dyDescent="0.2">
      <c r="B2" s="29"/>
      <c r="C2" s="29"/>
      <c r="D2" s="29"/>
      <c r="E2" s="29"/>
      <c r="F2" s="29"/>
      <c r="G2" s="29"/>
      <c r="H2" s="29"/>
      <c r="I2" s="29"/>
      <c r="J2" s="29"/>
      <c r="K2" s="29"/>
      <c r="L2" s="29"/>
      <c r="M2" s="29"/>
      <c r="N2" s="29"/>
      <c r="O2" s="29"/>
      <c r="P2" s="29"/>
      <c r="Q2" s="29"/>
      <c r="R2" s="29"/>
      <c r="S2" s="29"/>
    </row>
    <row r="3" spans="1:19" x14ac:dyDescent="0.2">
      <c r="B3" s="29"/>
      <c r="C3" s="29"/>
      <c r="D3" s="29"/>
      <c r="E3" s="29"/>
      <c r="F3" s="29"/>
      <c r="G3" s="29"/>
      <c r="H3" s="29"/>
      <c r="I3" s="29"/>
      <c r="J3" s="29"/>
      <c r="K3" s="29"/>
      <c r="L3" s="29"/>
      <c r="M3" s="29"/>
      <c r="N3" s="29"/>
      <c r="O3" s="29"/>
      <c r="P3" s="29"/>
      <c r="Q3" s="29"/>
      <c r="R3" s="29"/>
      <c r="S3" s="29"/>
    </row>
    <row r="4" spans="1:19" x14ac:dyDescent="0.2">
      <c r="B4" s="29"/>
      <c r="C4" s="29"/>
      <c r="D4" s="29"/>
      <c r="E4" s="29"/>
      <c r="F4" s="29"/>
      <c r="G4" s="29"/>
      <c r="H4" s="29"/>
      <c r="I4" s="29"/>
      <c r="J4" s="29"/>
      <c r="K4" s="29"/>
      <c r="L4" s="29"/>
      <c r="M4" s="29"/>
      <c r="N4" s="29"/>
      <c r="O4" s="29"/>
      <c r="P4" s="29"/>
      <c r="Q4" s="29"/>
      <c r="R4" s="29"/>
      <c r="S4" s="29"/>
    </row>
    <row r="5" spans="1:19" x14ac:dyDescent="0.2">
      <c r="B5" s="29"/>
      <c r="C5" s="29"/>
      <c r="D5" s="29"/>
      <c r="E5" s="29"/>
      <c r="F5" s="29"/>
      <c r="G5" s="29"/>
      <c r="H5" s="29"/>
      <c r="I5" s="29"/>
      <c r="J5" s="29"/>
      <c r="K5" s="29"/>
      <c r="L5" s="29"/>
      <c r="M5" s="29"/>
      <c r="N5" s="29"/>
      <c r="O5" s="29"/>
      <c r="P5" s="29"/>
      <c r="Q5" s="29"/>
      <c r="R5" s="29"/>
      <c r="S5" s="29"/>
    </row>
    <row r="6" spans="1:19" x14ac:dyDescent="0.2">
      <c r="B6" s="29"/>
      <c r="C6" s="29"/>
      <c r="D6" s="29"/>
      <c r="E6" s="29"/>
      <c r="F6" s="29"/>
      <c r="G6" s="29"/>
      <c r="H6" s="29"/>
      <c r="I6" s="29"/>
      <c r="J6" s="29"/>
      <c r="K6" s="29"/>
      <c r="L6" s="29"/>
      <c r="M6" s="29"/>
      <c r="N6" s="29"/>
      <c r="O6" s="29"/>
      <c r="P6" s="29"/>
      <c r="Q6" s="29"/>
      <c r="R6" s="29"/>
      <c r="S6" s="29"/>
    </row>
    <row r="7" spans="1:19" x14ac:dyDescent="0.2">
      <c r="A7" s="29"/>
      <c r="B7" s="29"/>
      <c r="C7" s="29"/>
      <c r="D7" s="29"/>
      <c r="E7" s="29"/>
      <c r="F7" s="29"/>
      <c r="G7" s="29"/>
      <c r="H7" s="29"/>
      <c r="I7" s="29"/>
      <c r="J7" s="29"/>
      <c r="K7" s="29"/>
      <c r="L7" s="29"/>
      <c r="M7" s="29"/>
      <c r="N7" s="29"/>
      <c r="O7" s="29"/>
      <c r="P7" s="29"/>
      <c r="Q7" s="29"/>
    </row>
    <row r="8" spans="1:19" ht="18.75" thickBot="1" x14ac:dyDescent="0.3">
      <c r="A8" s="29"/>
      <c r="B8" s="502"/>
      <c r="C8" s="124" t="str">
        <f>Input!$C$10</f>
        <v>Base 400 Herd</v>
      </c>
      <c r="D8" s="841"/>
      <c r="F8" s="819" t="s">
        <v>505</v>
      </c>
      <c r="G8" s="29"/>
      <c r="H8" s="29"/>
      <c r="I8" s="29"/>
      <c r="J8" s="97"/>
      <c r="K8" s="29"/>
      <c r="L8" s="633"/>
      <c r="M8" s="819" t="s">
        <v>505</v>
      </c>
      <c r="N8" s="29"/>
      <c r="O8" s="29"/>
      <c r="P8" s="29"/>
      <c r="Q8" s="29"/>
    </row>
    <row r="9" spans="1:19" ht="13.5" thickBot="1" x14ac:dyDescent="0.25">
      <c r="A9" s="29"/>
      <c r="B9" s="614"/>
      <c r="C9" s="798" t="s">
        <v>81</v>
      </c>
      <c r="D9" s="799"/>
      <c r="E9" s="800"/>
      <c r="F9" s="824" t="s">
        <v>175</v>
      </c>
      <c r="G9" s="824" t="s">
        <v>176</v>
      </c>
      <c r="H9" s="824" t="s">
        <v>177</v>
      </c>
      <c r="I9" s="824" t="s">
        <v>178</v>
      </c>
      <c r="J9" s="824" t="s">
        <v>179</v>
      </c>
      <c r="K9" s="824" t="s">
        <v>180</v>
      </c>
      <c r="L9" s="824" t="s">
        <v>181</v>
      </c>
      <c r="M9" s="824" t="s">
        <v>182</v>
      </c>
      <c r="N9" s="824" t="s">
        <v>183</v>
      </c>
      <c r="O9" s="824" t="s">
        <v>184</v>
      </c>
      <c r="P9" s="824" t="s">
        <v>185</v>
      </c>
      <c r="Q9" s="796" t="s">
        <v>186</v>
      </c>
      <c r="R9" s="971" t="s">
        <v>818</v>
      </c>
    </row>
    <row r="10" spans="1:19" x14ac:dyDescent="0.2">
      <c r="A10" s="29"/>
      <c r="B10" s="87"/>
      <c r="C10" s="801" t="s">
        <v>641</v>
      </c>
      <c r="D10" s="802"/>
      <c r="E10" s="803"/>
      <c r="F10" s="825"/>
      <c r="G10" s="825"/>
      <c r="H10" s="825"/>
      <c r="I10" s="825"/>
      <c r="J10" s="825"/>
      <c r="K10" s="826"/>
      <c r="L10" s="839">
        <f>IF(Input!E51&gt;0,Input!E51*Input!E53,0)</f>
        <v>0</v>
      </c>
      <c r="N10" s="839"/>
      <c r="O10" s="827"/>
      <c r="P10" s="827"/>
      <c r="Q10" s="806"/>
      <c r="R10" s="972">
        <f t="shared" ref="R10:R16" si="0">SUM(F10:Q10)</f>
        <v>0</v>
      </c>
    </row>
    <row r="11" spans="1:19" x14ac:dyDescent="0.2">
      <c r="A11" s="29"/>
      <c r="B11" s="87"/>
      <c r="C11" s="623" t="s">
        <v>642</v>
      </c>
      <c r="D11" s="623"/>
      <c r="E11" s="811"/>
      <c r="F11" s="828" t="s">
        <v>1</v>
      </c>
      <c r="G11" s="828"/>
      <c r="H11" s="828"/>
      <c r="I11" s="828"/>
      <c r="J11" s="828"/>
      <c r="K11" s="825"/>
      <c r="L11" s="825"/>
      <c r="M11" s="825"/>
      <c r="N11" s="825">
        <f>IF(Input!$E$56&gt;0,Input!$E$56*Input!$E$58,0)</f>
        <v>170000</v>
      </c>
      <c r="O11" s="829"/>
      <c r="P11" s="1158"/>
      <c r="Q11" s="820"/>
      <c r="R11" s="973">
        <f t="shared" si="0"/>
        <v>170000</v>
      </c>
    </row>
    <row r="12" spans="1:19" x14ac:dyDescent="0.2">
      <c r="A12" s="29"/>
      <c r="B12" s="87"/>
      <c r="C12" s="801" t="s">
        <v>468</v>
      </c>
      <c r="D12" s="802"/>
      <c r="E12" s="803"/>
      <c r="F12" s="825"/>
      <c r="G12" s="825"/>
      <c r="H12" s="825"/>
      <c r="I12" s="825"/>
      <c r="J12" s="825"/>
      <c r="K12" s="825"/>
      <c r="L12" s="825"/>
      <c r="M12" s="825">
        <f>(Input!E$69*Input!E$72)+(Input!E$73*Input!E$76)</f>
        <v>17675</v>
      </c>
      <c r="N12" s="825"/>
      <c r="O12" s="825"/>
      <c r="P12" s="825"/>
      <c r="Q12" s="806"/>
      <c r="R12" s="973">
        <f t="shared" si="0"/>
        <v>17675</v>
      </c>
    </row>
    <row r="13" spans="1:19" x14ac:dyDescent="0.2">
      <c r="A13" s="29"/>
      <c r="B13" s="87"/>
      <c r="C13" s="807" t="s">
        <v>502</v>
      </c>
      <c r="D13" s="807"/>
      <c r="E13" s="808"/>
      <c r="F13" s="827"/>
      <c r="G13" s="827"/>
      <c r="H13" s="827"/>
      <c r="I13" s="827"/>
      <c r="J13" s="827"/>
      <c r="K13" s="827"/>
      <c r="L13" s="825"/>
      <c r="M13" s="829"/>
      <c r="N13" s="827"/>
      <c r="O13" s="827"/>
      <c r="P13" s="825">
        <f>(Input!E61*Input!E62)+(Input!E63*Input!E64)+(Input!E65*Input!E66)</f>
        <v>0</v>
      </c>
      <c r="Q13" s="797"/>
      <c r="R13" s="973">
        <f t="shared" si="0"/>
        <v>0</v>
      </c>
    </row>
    <row r="14" spans="1:19" x14ac:dyDescent="0.2">
      <c r="A14" s="29"/>
      <c r="B14" s="87"/>
      <c r="C14" s="807" t="s">
        <v>319</v>
      </c>
      <c r="D14" s="807"/>
      <c r="E14" s="808"/>
      <c r="F14" s="827"/>
      <c r="G14" s="827"/>
      <c r="H14" s="827"/>
      <c r="I14" s="825">
        <f>Input!E83</f>
        <v>1640</v>
      </c>
      <c r="J14" s="827"/>
      <c r="K14" s="827"/>
      <c r="L14" s="827"/>
      <c r="M14" s="825"/>
      <c r="N14" s="827"/>
      <c r="O14" s="827"/>
      <c r="P14" s="827"/>
      <c r="Q14" s="797"/>
      <c r="R14" s="972">
        <f t="shared" si="0"/>
        <v>1640</v>
      </c>
    </row>
    <row r="15" spans="1:19" ht="13.5" thickBot="1" x14ac:dyDescent="0.25">
      <c r="A15" s="29"/>
      <c r="B15" s="87"/>
      <c r="C15" s="816" t="s">
        <v>643</v>
      </c>
      <c r="D15" s="816"/>
      <c r="E15" s="817"/>
      <c r="F15" s="830"/>
      <c r="G15" s="830"/>
      <c r="H15" s="830"/>
      <c r="I15" s="830"/>
      <c r="J15" s="830"/>
      <c r="K15" s="830"/>
      <c r="L15" s="830"/>
      <c r="M15" s="832">
        <f>Input!E93+Input!E102</f>
        <v>0</v>
      </c>
      <c r="N15" s="831"/>
      <c r="O15" s="830"/>
      <c r="P15" s="830"/>
      <c r="Q15" s="821"/>
      <c r="R15" s="974">
        <f t="shared" si="0"/>
        <v>0</v>
      </c>
    </row>
    <row r="16" spans="1:19" ht="13.5" thickBot="1" x14ac:dyDescent="0.25">
      <c r="A16" s="29"/>
      <c r="B16" s="615"/>
      <c r="C16" s="980"/>
      <c r="D16" s="981" t="s">
        <v>83</v>
      </c>
      <c r="E16" s="982"/>
      <c r="F16" s="983">
        <f>SUM(F10:F15)</f>
        <v>0</v>
      </c>
      <c r="G16" s="983">
        <f>SUM(G10:G15)</f>
        <v>0</v>
      </c>
      <c r="H16" s="983">
        <f t="shared" ref="H16:Q16" si="1">SUM(H10:H15)</f>
        <v>0</v>
      </c>
      <c r="I16" s="983">
        <f t="shared" si="1"/>
        <v>1640</v>
      </c>
      <c r="J16" s="983">
        <f t="shared" si="1"/>
        <v>0</v>
      </c>
      <c r="K16" s="983">
        <f t="shared" si="1"/>
        <v>0</v>
      </c>
      <c r="L16" s="983">
        <f t="shared" si="1"/>
        <v>0</v>
      </c>
      <c r="M16" s="983">
        <f t="shared" si="1"/>
        <v>17675</v>
      </c>
      <c r="N16" s="983">
        <f>SUM(N10:N15)</f>
        <v>170000</v>
      </c>
      <c r="O16" s="983">
        <f t="shared" si="1"/>
        <v>0</v>
      </c>
      <c r="P16" s="983">
        <f t="shared" si="1"/>
        <v>0</v>
      </c>
      <c r="Q16" s="983">
        <f t="shared" si="1"/>
        <v>0</v>
      </c>
      <c r="R16" s="975">
        <f t="shared" si="0"/>
        <v>189315</v>
      </c>
    </row>
    <row r="17" spans="1:18" ht="13.5" thickBot="1" x14ac:dyDescent="0.25">
      <c r="A17" s="29"/>
      <c r="B17" s="616"/>
      <c r="C17" s="798" t="s">
        <v>233</v>
      </c>
      <c r="D17" s="799"/>
      <c r="E17" s="800"/>
      <c r="F17" s="840"/>
      <c r="G17" s="840"/>
      <c r="H17" s="840"/>
      <c r="I17" s="840"/>
      <c r="J17" s="840"/>
      <c r="K17" s="840"/>
      <c r="L17" s="840"/>
      <c r="M17" s="840"/>
      <c r="N17" s="840"/>
      <c r="O17" s="840"/>
      <c r="P17" s="840"/>
      <c r="Q17" s="795"/>
      <c r="R17" s="976" t="s">
        <v>719</v>
      </c>
    </row>
    <row r="18" spans="1:18" x14ac:dyDescent="0.2">
      <c r="A18" s="29"/>
      <c r="B18" s="617"/>
      <c r="C18" s="801" t="s">
        <v>803</v>
      </c>
      <c r="D18" s="802"/>
      <c r="E18" s="803"/>
      <c r="F18" s="825">
        <f>F123</f>
        <v>5266.000943473251</v>
      </c>
      <c r="G18" s="825">
        <f t="shared" ref="G18:P18" si="2">G123</f>
        <v>5759.7354646152162</v>
      </c>
      <c r="H18" s="825">
        <f t="shared" si="2"/>
        <v>6376.8499786811326</v>
      </c>
      <c r="I18" s="825">
        <f t="shared" si="2"/>
        <v>10751.979933049686</v>
      </c>
      <c r="J18" s="825">
        <f t="shared" si="2"/>
        <v>12099.8317170306</v>
      </c>
      <c r="K18" s="825">
        <f t="shared" si="2"/>
        <v>4488.3998149340923</v>
      </c>
      <c r="L18" s="825">
        <f t="shared" si="2"/>
        <v>7728.0670591757307</v>
      </c>
      <c r="M18" s="825">
        <f t="shared" si="2"/>
        <v>7728.0670591757307</v>
      </c>
      <c r="N18" s="825">
        <f t="shared" si="2"/>
        <v>1994.3398862388983</v>
      </c>
      <c r="O18" s="825">
        <f t="shared" si="2"/>
        <v>3397.4199635311302</v>
      </c>
      <c r="P18" s="825">
        <f t="shared" si="2"/>
        <v>5096.129945296695</v>
      </c>
      <c r="Q18" s="825">
        <f>Q123</f>
        <v>5266.000943473251</v>
      </c>
      <c r="R18" s="973">
        <f>SUM(F18:Q18)</f>
        <v>75952.822708675405</v>
      </c>
    </row>
    <row r="19" spans="1:18" x14ac:dyDescent="0.2">
      <c r="A19" s="29"/>
      <c r="B19" s="617"/>
      <c r="C19" s="804" t="s">
        <v>804</v>
      </c>
      <c r="D19" s="804"/>
      <c r="E19" s="805"/>
      <c r="F19" s="825">
        <f>F131</f>
        <v>0</v>
      </c>
      <c r="G19" s="825">
        <f>G131</f>
        <v>0</v>
      </c>
      <c r="H19" s="825">
        <f t="shared" ref="H19:Q19" si="3">H131</f>
        <v>0</v>
      </c>
      <c r="I19" s="825">
        <f t="shared" si="3"/>
        <v>0</v>
      </c>
      <c r="J19" s="825">
        <f t="shared" si="3"/>
        <v>0</v>
      </c>
      <c r="K19" s="825">
        <f t="shared" si="3"/>
        <v>1785</v>
      </c>
      <c r="L19" s="825">
        <f t="shared" si="3"/>
        <v>1906.5</v>
      </c>
      <c r="M19" s="825">
        <f t="shared" si="3"/>
        <v>1906.5</v>
      </c>
      <c r="N19" s="825">
        <f t="shared" si="3"/>
        <v>1845</v>
      </c>
      <c r="O19" s="825">
        <f t="shared" si="3"/>
        <v>676.5</v>
      </c>
      <c r="P19" s="825">
        <f t="shared" si="3"/>
        <v>0</v>
      </c>
      <c r="Q19" s="822">
        <f t="shared" si="3"/>
        <v>0</v>
      </c>
      <c r="R19" s="973">
        <f>SUM(F19:Q19)</f>
        <v>8119.5</v>
      </c>
    </row>
    <row r="20" spans="1:18" x14ac:dyDescent="0.2">
      <c r="A20" s="29"/>
      <c r="B20" s="87"/>
      <c r="C20" s="804" t="s">
        <v>553</v>
      </c>
      <c r="D20" s="804"/>
      <c r="E20" s="805"/>
      <c r="F20" s="825"/>
      <c r="G20" s="825"/>
      <c r="H20" s="825">
        <f>Input!$E$318/2</f>
        <v>1700</v>
      </c>
      <c r="I20" s="825"/>
      <c r="J20" s="825"/>
      <c r="K20" s="825"/>
      <c r="L20" s="825"/>
      <c r="M20" s="825">
        <f>IF(Input!E$25&gt;0,(Input!E$25*Input!E$26)+(Input!E$33*Input!$E34),(Input!E$33*Input!E$34))</f>
        <v>1494.9999999999998</v>
      </c>
      <c r="N20" s="825"/>
      <c r="O20" s="825">
        <f>Input!$E$318/2</f>
        <v>1700</v>
      </c>
      <c r="P20" s="825"/>
      <c r="Q20" s="825"/>
      <c r="R20" s="973">
        <f t="shared" ref="R20:R38" si="4">SUM(F20:Q20)</f>
        <v>4895</v>
      </c>
    </row>
    <row r="21" spans="1:18" x14ac:dyDescent="0.2">
      <c r="A21" s="29"/>
      <c r="B21" s="87"/>
      <c r="C21" s="801" t="s">
        <v>84</v>
      </c>
      <c r="D21" s="802"/>
      <c r="E21" s="803"/>
      <c r="F21" s="825"/>
      <c r="G21" s="825"/>
      <c r="H21" s="825">
        <f>Input!$E$311/3</f>
        <v>1914.7333333333333</v>
      </c>
      <c r="I21" s="825"/>
      <c r="J21" s="825"/>
      <c r="K21" s="825">
        <f>Input!$E$311/3</f>
        <v>1914.7333333333333</v>
      </c>
      <c r="L21" s="825"/>
      <c r="M21" s="825"/>
      <c r="N21" s="825">
        <f>Input!$E$311/3</f>
        <v>1914.7333333333333</v>
      </c>
      <c r="O21" s="825"/>
      <c r="P21" s="825"/>
      <c r="Q21" s="806"/>
      <c r="R21" s="973">
        <f t="shared" si="4"/>
        <v>5744.2</v>
      </c>
    </row>
    <row r="22" spans="1:18" x14ac:dyDescent="0.2">
      <c r="A22" s="29"/>
      <c r="B22" s="617"/>
      <c r="C22" s="801" t="s">
        <v>318</v>
      </c>
      <c r="D22" s="802"/>
      <c r="E22" s="803"/>
      <c r="F22" s="825">
        <f>(Input!$E$321+Input!$E$322+Input!$E$325+Input!$E$326)/12</f>
        <v>225</v>
      </c>
      <c r="G22" s="825">
        <f>(Input!$E$321+Input!$E$322+Input!$E$325+Input!$E$326)/12</f>
        <v>225</v>
      </c>
      <c r="H22" s="825">
        <f>(Input!$E$321+Input!$E$322+Input!$E$325+Input!$E$326)/12</f>
        <v>225</v>
      </c>
      <c r="I22" s="825">
        <f>(Input!$E$321+Input!$E$322+Input!$E$325+Input!$E$326)/12</f>
        <v>225</v>
      </c>
      <c r="J22" s="825">
        <f>(Input!$E$321+Input!$E$322+Input!$E$325+Input!$E$326)/12</f>
        <v>225</v>
      </c>
      <c r="K22" s="825">
        <f>(Input!$E$321+Input!$E$322+Input!$E$325+Input!$E$326)/12</f>
        <v>225</v>
      </c>
      <c r="L22" s="825">
        <f>(Input!$E$321+Input!$E$322+Input!$E$325+Input!$E$326)/12</f>
        <v>225</v>
      </c>
      <c r="M22" s="825">
        <f>(Input!$E$321+Input!$E$322+Input!$E$325+Input!$E$326)/12</f>
        <v>225</v>
      </c>
      <c r="N22" s="825">
        <f>(Input!$E$321+Input!$E$322+Input!$E$325+Input!$E$326)/12</f>
        <v>225</v>
      </c>
      <c r="O22" s="825">
        <f>(Input!$E$321+Input!$E$322+Input!$E$325+Input!$E$326)/12</f>
        <v>225</v>
      </c>
      <c r="P22" s="825">
        <f>(Input!$E$321+Input!$E$322+Input!$E$325+Input!$E$326)/12</f>
        <v>225</v>
      </c>
      <c r="Q22" s="822">
        <f>(Input!$E$321+Input!$E$322+Input!$E$325+Input!$E$326)/12</f>
        <v>225</v>
      </c>
      <c r="R22" s="973">
        <f>SUM(F22:Q22)</f>
        <v>2700</v>
      </c>
    </row>
    <row r="23" spans="1:18" x14ac:dyDescent="0.2">
      <c r="A23" s="29"/>
      <c r="B23" s="617"/>
      <c r="C23" s="801" t="s">
        <v>85</v>
      </c>
      <c r="D23" s="802"/>
      <c r="E23" s="803"/>
      <c r="F23" s="825">
        <f>(Input!$E$334)/24*2</f>
        <v>1810</v>
      </c>
      <c r="G23" s="825">
        <f>(Input!$E$334)/24*2</f>
        <v>1810</v>
      </c>
      <c r="H23" s="825">
        <f>(Input!$E$334)/24*6</f>
        <v>5430</v>
      </c>
      <c r="I23" s="825">
        <f>(Input!$E$334)/24*2</f>
        <v>1810</v>
      </c>
      <c r="J23" s="825">
        <f>(Input!$E$334)/24</f>
        <v>905</v>
      </c>
      <c r="K23" s="825">
        <f>(Input!$E$334)/24</f>
        <v>905</v>
      </c>
      <c r="L23" s="825">
        <f>(Input!$E$334)/24</f>
        <v>905</v>
      </c>
      <c r="M23" s="825">
        <f>(Input!$E$334)/24</f>
        <v>905</v>
      </c>
      <c r="N23" s="825">
        <f>(Input!$E$334)/24*2</f>
        <v>1810</v>
      </c>
      <c r="O23" s="825">
        <f>(Input!$E$334)/24*2</f>
        <v>1810</v>
      </c>
      <c r="P23" s="825">
        <f>(Input!$E$334)/24*2</f>
        <v>1810</v>
      </c>
      <c r="Q23" s="806">
        <f>(Input!$E$334)/24*2</f>
        <v>1810</v>
      </c>
      <c r="R23" s="973">
        <f t="shared" si="4"/>
        <v>21720</v>
      </c>
    </row>
    <row r="24" spans="1:18" x14ac:dyDescent="0.2">
      <c r="A24" s="29"/>
      <c r="B24" s="87"/>
      <c r="C24" s="801" t="s">
        <v>871</v>
      </c>
      <c r="D24" s="802"/>
      <c r="E24" s="803"/>
      <c r="F24" s="825"/>
      <c r="G24" s="825"/>
      <c r="H24" s="825"/>
      <c r="I24" s="825"/>
      <c r="J24" s="825"/>
      <c r="K24" s="825"/>
      <c r="L24" s="825">
        <f>Input!$E$340</f>
        <v>2400</v>
      </c>
      <c r="M24" s="825"/>
      <c r="N24" s="825"/>
      <c r="O24" s="825"/>
      <c r="P24" s="825"/>
      <c r="Q24" s="806"/>
      <c r="R24" s="973">
        <f t="shared" si="4"/>
        <v>2400</v>
      </c>
    </row>
    <row r="25" spans="1:18" x14ac:dyDescent="0.2">
      <c r="A25" s="29"/>
      <c r="B25" s="87"/>
      <c r="C25" s="801" t="s">
        <v>159</v>
      </c>
      <c r="D25" s="802"/>
      <c r="E25" s="803"/>
      <c r="F25" s="825">
        <f>(Input!$E$343+Input!$E$345)/20</f>
        <v>175</v>
      </c>
      <c r="G25" s="825">
        <f>(Input!$E$343+Input!$E$345)/20</f>
        <v>175</v>
      </c>
      <c r="H25" s="825">
        <f>(Input!$E$343+Input!$E$345)/20</f>
        <v>175</v>
      </c>
      <c r="I25" s="825">
        <f>(Input!$E$343+Input!$E$345)/20</f>
        <v>175</v>
      </c>
      <c r="J25" s="825">
        <f>(Input!$E$343+Input!$E$345)/20</f>
        <v>175</v>
      </c>
      <c r="K25" s="825">
        <f>(Input!$E$343+Input!$E$345)/20*5</f>
        <v>875</v>
      </c>
      <c r="L25" s="825">
        <f>(Input!$E$343+Input!$E$345)/20*5</f>
        <v>875</v>
      </c>
      <c r="M25" s="825">
        <f>(Input!$E$343+Input!$E$345)/20</f>
        <v>175</v>
      </c>
      <c r="N25" s="825">
        <f>(Input!$E$343+Input!$E$345)/20</f>
        <v>175</v>
      </c>
      <c r="O25" s="825">
        <f>(Input!$E$343+Input!$E$345)/20</f>
        <v>175</v>
      </c>
      <c r="P25" s="825">
        <f>(Input!$E$343+Input!$E$345)/20</f>
        <v>175</v>
      </c>
      <c r="Q25" s="822">
        <f>(Input!$E$343+Input!$E$345)/20</f>
        <v>175</v>
      </c>
      <c r="R25" s="973">
        <f t="shared" si="4"/>
        <v>3500</v>
      </c>
    </row>
    <row r="26" spans="1:18" x14ac:dyDescent="0.2">
      <c r="A26" s="29"/>
      <c r="B26" s="87"/>
      <c r="C26" s="801" t="s">
        <v>546</v>
      </c>
      <c r="D26" s="802"/>
      <c r="E26" s="803"/>
      <c r="F26" s="825"/>
      <c r="G26" s="825"/>
      <c r="H26" s="825"/>
      <c r="I26" s="825"/>
      <c r="J26" s="825">
        <f>(Input!$E$349+Input!$E$351)/4</f>
        <v>875</v>
      </c>
      <c r="K26" s="825">
        <f>(Input!$E$349+Input!$E$351)/4</f>
        <v>875</v>
      </c>
      <c r="L26" s="825">
        <f>(Input!$E$349+Input!$E$351)/4</f>
        <v>875</v>
      </c>
      <c r="M26" s="825">
        <f>(Input!$E$349+Input!$E$351)/4</f>
        <v>875</v>
      </c>
      <c r="N26" s="825"/>
      <c r="O26" s="825"/>
      <c r="P26" s="825"/>
      <c r="Q26" s="806"/>
      <c r="R26" s="973">
        <f t="shared" si="4"/>
        <v>3500</v>
      </c>
    </row>
    <row r="27" spans="1:18" x14ac:dyDescent="0.2">
      <c r="A27" s="29"/>
      <c r="B27" s="617"/>
      <c r="C27" s="801" t="s">
        <v>870</v>
      </c>
      <c r="D27" s="802"/>
      <c r="E27" s="803"/>
      <c r="F27" s="825"/>
      <c r="G27" s="825"/>
      <c r="H27" s="825"/>
      <c r="I27" s="825"/>
      <c r="J27" s="825"/>
      <c r="K27" s="825"/>
      <c r="L27" s="825"/>
      <c r="M27" s="825">
        <f>(Input!$E$357+Input!$E$362+Input!$E$367)*(Input!$E$69+Input!$E$73)+(Input!$E$61+Input!$E$63+Input!$E$65)*(Input!$E$361+Input!$E$366)+Input!$E51*(Input!E$356+Input!$E362+Input!$E366)</f>
        <v>1264.8</v>
      </c>
      <c r="N27" s="825"/>
      <c r="O27" s="829"/>
      <c r="P27" s="825">
        <f>Input!$E$56*(Input!$E$356+Input!$E$361+Input!$E$366)</f>
        <v>11097.599999999999</v>
      </c>
      <c r="Q27" s="806"/>
      <c r="R27" s="973">
        <f t="shared" si="4"/>
        <v>12362.399999999998</v>
      </c>
    </row>
    <row r="28" spans="1:18" x14ac:dyDescent="0.2">
      <c r="A28" s="29"/>
      <c r="B28" s="87"/>
      <c r="C28" s="801" t="s">
        <v>868</v>
      </c>
      <c r="D28" s="802"/>
      <c r="E28" s="803"/>
      <c r="F28" s="825"/>
      <c r="G28" s="825"/>
      <c r="H28" s="825"/>
      <c r="I28" s="825">
        <f>Input!E86</f>
        <v>2665</v>
      </c>
      <c r="J28" s="825"/>
      <c r="K28" s="825"/>
      <c r="L28" s="825"/>
      <c r="M28" s="825"/>
      <c r="N28" s="825"/>
      <c r="O28" s="825"/>
      <c r="P28" s="825"/>
      <c r="Q28" s="822"/>
      <c r="R28" s="973">
        <f>SUM(F28:Q28)</f>
        <v>2665</v>
      </c>
    </row>
    <row r="29" spans="1:18" x14ac:dyDescent="0.2">
      <c r="A29" s="29"/>
      <c r="B29" s="87"/>
      <c r="C29" s="801" t="s">
        <v>869</v>
      </c>
      <c r="D29" s="802"/>
      <c r="E29" s="803"/>
      <c r="F29" s="825"/>
      <c r="G29" s="825"/>
      <c r="H29" s="825"/>
      <c r="I29" s="825"/>
      <c r="J29" s="825"/>
      <c r="K29" s="825"/>
      <c r="L29" s="825"/>
      <c r="M29" s="825"/>
      <c r="N29" s="829"/>
      <c r="O29" s="825"/>
      <c r="P29" s="825">
        <f>Input!E95+Input!E104</f>
        <v>0</v>
      </c>
      <c r="Q29" s="822"/>
      <c r="R29" s="973">
        <f>SUM(F29:Q29)</f>
        <v>0</v>
      </c>
    </row>
    <row r="30" spans="1:18" x14ac:dyDescent="0.2">
      <c r="A30" s="29"/>
      <c r="B30" s="617"/>
      <c r="C30" s="801" t="s">
        <v>483</v>
      </c>
      <c r="D30" s="802"/>
      <c r="E30" s="803"/>
      <c r="F30" s="825"/>
      <c r="G30" s="825"/>
      <c r="H30" s="825"/>
      <c r="I30" s="825">
        <f>Input!$E$372</f>
        <v>1400</v>
      </c>
      <c r="J30" s="825"/>
      <c r="K30" s="825"/>
      <c r="L30" s="825">
        <f>Input!$E$374</f>
        <v>1500</v>
      </c>
      <c r="M30" s="825"/>
      <c r="N30" s="825"/>
      <c r="O30" s="825">
        <f>Input!$E$373</f>
        <v>2200</v>
      </c>
      <c r="P30" s="825"/>
      <c r="Q30" s="806"/>
      <c r="R30" s="973">
        <f t="shared" si="4"/>
        <v>5100</v>
      </c>
    </row>
    <row r="31" spans="1:18" x14ac:dyDescent="0.2">
      <c r="A31" s="29"/>
      <c r="B31" s="87"/>
      <c r="C31" s="804" t="s">
        <v>98</v>
      </c>
      <c r="D31" s="804"/>
      <c r="E31" s="805"/>
      <c r="F31" s="825">
        <f>(Input!$E$377+Input!$E$380)/12</f>
        <v>343.39583333333331</v>
      </c>
      <c r="G31" s="825">
        <f>(Input!$E$377+Input!$E$380)/12</f>
        <v>343.39583333333331</v>
      </c>
      <c r="H31" s="825">
        <f>(Input!$E$377+Input!$E$380)/12</f>
        <v>343.39583333333331</v>
      </c>
      <c r="I31" s="825">
        <f>(Input!$E$377+Input!$E$380)/12</f>
        <v>343.39583333333331</v>
      </c>
      <c r="J31" s="825">
        <f>(Input!$E$377+Input!$E$380)/12</f>
        <v>343.39583333333331</v>
      </c>
      <c r="K31" s="825">
        <f>(Input!$E$377+Input!$E$380)/12</f>
        <v>343.39583333333331</v>
      </c>
      <c r="L31" s="825">
        <f>(Input!$E$377+Input!$E$380)/12</f>
        <v>343.39583333333331</v>
      </c>
      <c r="M31" s="825">
        <f>(Input!$E$377+Input!$E$380)/12</f>
        <v>343.39583333333331</v>
      </c>
      <c r="N31" s="825">
        <f>(Input!$E$377+Input!$E$380)/12</f>
        <v>343.39583333333331</v>
      </c>
      <c r="O31" s="825">
        <f>(Input!$E$377+Input!$E$380)/12</f>
        <v>343.39583333333331</v>
      </c>
      <c r="P31" s="825">
        <f>(Input!$E$377+Input!$E$380)/12</f>
        <v>343.39583333333331</v>
      </c>
      <c r="Q31" s="822">
        <f>(Input!$E$377+Input!$E$380)/12</f>
        <v>343.39583333333331</v>
      </c>
      <c r="R31" s="973">
        <f>SUM(F31:Q31)</f>
        <v>4120.7500000000009</v>
      </c>
    </row>
    <row r="32" spans="1:18" ht="13.5" thickBot="1" x14ac:dyDescent="0.25">
      <c r="A32" s="29"/>
      <c r="B32" s="617"/>
      <c r="C32" s="807" t="s">
        <v>168</v>
      </c>
      <c r="D32" s="807"/>
      <c r="E32" s="808"/>
      <c r="F32" s="832">
        <f>IF((F52)&lt;0,((F52)*$E$46*(-1))/12,0)</f>
        <v>17.154125229458163</v>
      </c>
      <c r="G32" s="832">
        <f>IF((G52)&lt;0,((G52)*$E$46*(-1))/12,0)</f>
        <v>52.56246479587633</v>
      </c>
      <c r="H32" s="832">
        <f>IF((H52)&lt;0,((H52)*$E$46*(-1))/12,0)</f>
        <v>105.50496904494877</v>
      </c>
      <c r="I32" s="832">
        <f t="shared" ref="I32:Q32" si="5">IF((I52)&lt;0,((I52)*$E$46*(-1))/12,0)</f>
        <v>174.12065970429748</v>
      </c>
      <c r="J32" s="832">
        <f t="shared" si="5"/>
        <v>239.81026658517712</v>
      </c>
      <c r="K32" s="832">
        <f t="shared" si="5"/>
        <v>296.77598269309738</v>
      </c>
      <c r="L32" s="832">
        <f t="shared" si="5"/>
        <v>358.42642124760295</v>
      </c>
      <c r="M32" s="832">
        <f t="shared" si="5"/>
        <v>390.81547394381136</v>
      </c>
      <c r="N32" s="832">
        <f t="shared" si="5"/>
        <v>51.567618860413198</v>
      </c>
      <c r="O32" s="832">
        <f t="shared" si="5"/>
        <v>0</v>
      </c>
      <c r="P32" s="832">
        <f t="shared" si="5"/>
        <v>0</v>
      </c>
      <c r="Q32" s="832">
        <f t="shared" si="5"/>
        <v>0</v>
      </c>
      <c r="R32" s="972">
        <f t="shared" si="4"/>
        <v>1686.7379821046827</v>
      </c>
    </row>
    <row r="33" spans="1:19" ht="13.5" thickBot="1" x14ac:dyDescent="0.25">
      <c r="A33" s="29"/>
      <c r="B33" s="615"/>
      <c r="C33" s="1038" t="s">
        <v>105</v>
      </c>
      <c r="D33" s="1039"/>
      <c r="E33" s="1040"/>
      <c r="F33" s="1041">
        <f t="shared" ref="F33:Q33" si="6">SUM(F18:F32)</f>
        <v>7836.5509020360423</v>
      </c>
      <c r="G33" s="1041">
        <f t="shared" si="6"/>
        <v>8365.6937627444258</v>
      </c>
      <c r="H33" s="1041">
        <f t="shared" si="6"/>
        <v>16270.484114392748</v>
      </c>
      <c r="I33" s="1041">
        <f t="shared" si="6"/>
        <v>17544.496426087317</v>
      </c>
      <c r="J33" s="1041">
        <f t="shared" si="6"/>
        <v>14863.03781694911</v>
      </c>
      <c r="K33" s="1041">
        <f t="shared" si="6"/>
        <v>11708.304964293857</v>
      </c>
      <c r="L33" s="1041">
        <f t="shared" si="6"/>
        <v>17116.389313756667</v>
      </c>
      <c r="M33" s="1041">
        <f t="shared" si="6"/>
        <v>15308.578366452874</v>
      </c>
      <c r="N33" s="1041">
        <f t="shared" si="6"/>
        <v>8359.0366717659799</v>
      </c>
      <c r="O33" s="1041">
        <f t="shared" si="6"/>
        <v>10527.315796864465</v>
      </c>
      <c r="P33" s="1041">
        <f t="shared" si="6"/>
        <v>18747.125778630027</v>
      </c>
      <c r="Q33" s="1042">
        <f t="shared" si="6"/>
        <v>7819.3967768065841</v>
      </c>
      <c r="R33" s="975">
        <f t="shared" si="4"/>
        <v>154466.41069078012</v>
      </c>
    </row>
    <row r="34" spans="1:19" x14ac:dyDescent="0.2">
      <c r="A34" s="29"/>
      <c r="B34" s="87"/>
      <c r="C34" s="801" t="s">
        <v>110</v>
      </c>
      <c r="D34" s="802"/>
      <c r="E34" s="803"/>
      <c r="F34" s="825">
        <f>Depreciation!$E$9/12</f>
        <v>729.16666666666663</v>
      </c>
      <c r="G34" s="825">
        <f>Depreciation!$E$9/12</f>
        <v>729.16666666666663</v>
      </c>
      <c r="H34" s="825">
        <f>Depreciation!$E$9/12</f>
        <v>729.16666666666663</v>
      </c>
      <c r="I34" s="825">
        <f>Depreciation!$E$9/12</f>
        <v>729.16666666666663</v>
      </c>
      <c r="J34" s="825">
        <f>Depreciation!$E$9/12</f>
        <v>729.16666666666663</v>
      </c>
      <c r="K34" s="825">
        <f>Depreciation!$E$9/12</f>
        <v>729.16666666666663</v>
      </c>
      <c r="L34" s="825">
        <f>Depreciation!$E$9/12</f>
        <v>729.16666666666663</v>
      </c>
      <c r="M34" s="825">
        <f>Depreciation!$E$9/12</f>
        <v>729.16666666666663</v>
      </c>
      <c r="N34" s="825">
        <f>Depreciation!$E$9/12</f>
        <v>729.16666666666663</v>
      </c>
      <c r="O34" s="825">
        <f>Depreciation!$E$9/12</f>
        <v>729.16666666666663</v>
      </c>
      <c r="P34" s="825">
        <f>Depreciation!$E$9/12</f>
        <v>729.16666666666663</v>
      </c>
      <c r="Q34" s="822">
        <f>Depreciation!$E$9/12</f>
        <v>729.16666666666663</v>
      </c>
      <c r="R34" s="973">
        <f>SUM(F34:Q34)</f>
        <v>8750.0000000000018</v>
      </c>
    </row>
    <row r="35" spans="1:19" ht="13.5" thickBot="1" x14ac:dyDescent="0.25">
      <c r="A35" s="29"/>
      <c r="B35" s="617"/>
      <c r="C35" s="807" t="s">
        <v>111</v>
      </c>
      <c r="D35" s="807"/>
      <c r="E35" s="808"/>
      <c r="F35" s="830">
        <f>(Financing!$D$12+Financing!$J$12)/12</f>
        <v>414.58333333333331</v>
      </c>
      <c r="G35" s="830">
        <f>(Financing!$D$12+Financing!$J$12)/12</f>
        <v>414.58333333333331</v>
      </c>
      <c r="H35" s="830">
        <f>(Financing!$D$12+Financing!$J$12)/12</f>
        <v>414.58333333333331</v>
      </c>
      <c r="I35" s="830">
        <f>(Financing!$D$12+Financing!$J$12)/12</f>
        <v>414.58333333333331</v>
      </c>
      <c r="J35" s="830">
        <f>(Financing!$D$12+Financing!$J$12)/12</f>
        <v>414.58333333333331</v>
      </c>
      <c r="K35" s="830">
        <f>(Financing!$D$12+Financing!$J$12)/12</f>
        <v>414.58333333333331</v>
      </c>
      <c r="L35" s="830">
        <f>(Financing!$D$12+Financing!$J$12)/12</f>
        <v>414.58333333333331</v>
      </c>
      <c r="M35" s="830">
        <f>(Financing!$D$12+Financing!$J$12)/12</f>
        <v>414.58333333333331</v>
      </c>
      <c r="N35" s="830">
        <f>(Financing!$D$12+Financing!$J$12)/12</f>
        <v>414.58333333333331</v>
      </c>
      <c r="O35" s="830">
        <f>(Financing!$D$12+Financing!$J$12)/12</f>
        <v>414.58333333333331</v>
      </c>
      <c r="P35" s="830">
        <f>(Financing!$D$12+Financing!$J$12)/12</f>
        <v>414.58333333333331</v>
      </c>
      <c r="Q35" s="852">
        <f>(Financing!$D$12+Financing!$J$12)/12</f>
        <v>414.58333333333331</v>
      </c>
      <c r="R35" s="977">
        <f t="shared" si="4"/>
        <v>4975</v>
      </c>
    </row>
    <row r="36" spans="1:19" ht="13.5" thickBot="1" x14ac:dyDescent="0.25">
      <c r="A36" s="29"/>
      <c r="B36" s="615"/>
      <c r="C36" s="984" t="s">
        <v>115</v>
      </c>
      <c r="D36" s="980"/>
      <c r="E36" s="982"/>
      <c r="F36" s="975">
        <f>F34+F35</f>
        <v>1143.75</v>
      </c>
      <c r="G36" s="975">
        <f>G34+G35</f>
        <v>1143.75</v>
      </c>
      <c r="H36" s="975">
        <f t="shared" ref="H36:P36" si="7">H34+H35</f>
        <v>1143.75</v>
      </c>
      <c r="I36" s="975">
        <f t="shared" si="7"/>
        <v>1143.75</v>
      </c>
      <c r="J36" s="975">
        <f t="shared" si="7"/>
        <v>1143.75</v>
      </c>
      <c r="K36" s="975">
        <f t="shared" si="7"/>
        <v>1143.75</v>
      </c>
      <c r="L36" s="975">
        <f t="shared" si="7"/>
        <v>1143.75</v>
      </c>
      <c r="M36" s="975">
        <f t="shared" si="7"/>
        <v>1143.75</v>
      </c>
      <c r="N36" s="975">
        <f t="shared" si="7"/>
        <v>1143.75</v>
      </c>
      <c r="O36" s="975">
        <f t="shared" si="7"/>
        <v>1143.75</v>
      </c>
      <c r="P36" s="975">
        <f t="shared" si="7"/>
        <v>1143.75</v>
      </c>
      <c r="Q36" s="985">
        <f>Q34+Q35</f>
        <v>1143.75</v>
      </c>
      <c r="R36" s="975">
        <f t="shared" si="4"/>
        <v>13725</v>
      </c>
    </row>
    <row r="37" spans="1:19" ht="13.5" thickBot="1" x14ac:dyDescent="0.25">
      <c r="A37" s="29"/>
      <c r="B37" s="615"/>
      <c r="C37" s="1039"/>
      <c r="D37" s="1043" t="s">
        <v>116</v>
      </c>
      <c r="E37" s="1040"/>
      <c r="F37" s="1044">
        <f t="shared" ref="F37:Q37" si="8">F33+F36</f>
        <v>8980.3009020360423</v>
      </c>
      <c r="G37" s="1044">
        <f t="shared" si="8"/>
        <v>9509.4437627444258</v>
      </c>
      <c r="H37" s="1044">
        <f t="shared" si="8"/>
        <v>17414.234114392748</v>
      </c>
      <c r="I37" s="1044">
        <f t="shared" si="8"/>
        <v>18688.246426087317</v>
      </c>
      <c r="J37" s="1044">
        <f t="shared" si="8"/>
        <v>16006.78781694911</v>
      </c>
      <c r="K37" s="1044">
        <f t="shared" si="8"/>
        <v>12852.054964293857</v>
      </c>
      <c r="L37" s="1044">
        <f t="shared" si="8"/>
        <v>18260.139313756667</v>
      </c>
      <c r="M37" s="1044">
        <f t="shared" si="8"/>
        <v>16452.328366452872</v>
      </c>
      <c r="N37" s="1044">
        <f t="shared" si="8"/>
        <v>9502.7866717659799</v>
      </c>
      <c r="O37" s="1044">
        <f t="shared" si="8"/>
        <v>11671.065796864465</v>
      </c>
      <c r="P37" s="1044">
        <f t="shared" si="8"/>
        <v>19890.875778630027</v>
      </c>
      <c r="Q37" s="1045">
        <f t="shared" si="8"/>
        <v>8963.146776806585</v>
      </c>
      <c r="R37" s="975">
        <f t="shared" si="4"/>
        <v>168191.41069078009</v>
      </c>
    </row>
    <row r="38" spans="1:19" ht="13.5" thickBot="1" x14ac:dyDescent="0.25">
      <c r="A38" s="29"/>
      <c r="B38" s="615"/>
      <c r="C38" s="1046"/>
      <c r="D38" s="1047" t="s">
        <v>117</v>
      </c>
      <c r="E38" s="1048"/>
      <c r="F38" s="1049">
        <f t="shared" ref="F38:Q38" si="9">F16-F37</f>
        <v>-8980.3009020360423</v>
      </c>
      <c r="G38" s="1049">
        <f t="shared" si="9"/>
        <v>-9509.4437627444258</v>
      </c>
      <c r="H38" s="1049">
        <f t="shared" si="9"/>
        <v>-17414.234114392748</v>
      </c>
      <c r="I38" s="1049">
        <f t="shared" si="9"/>
        <v>-17048.246426087317</v>
      </c>
      <c r="J38" s="1049">
        <f t="shared" si="9"/>
        <v>-16006.78781694911</v>
      </c>
      <c r="K38" s="1049">
        <f t="shared" si="9"/>
        <v>-12852.054964293857</v>
      </c>
      <c r="L38" s="1049">
        <f t="shared" si="9"/>
        <v>-18260.139313756667</v>
      </c>
      <c r="M38" s="1049">
        <f t="shared" si="9"/>
        <v>1222.6716335471283</v>
      </c>
      <c r="N38" s="1049">
        <f t="shared" si="9"/>
        <v>160497.21332823401</v>
      </c>
      <c r="O38" s="1049">
        <f t="shared" si="9"/>
        <v>-11671.065796864465</v>
      </c>
      <c r="P38" s="1049">
        <f t="shared" si="9"/>
        <v>-19890.875778630027</v>
      </c>
      <c r="Q38" s="1050">
        <f t="shared" si="9"/>
        <v>-8963.146776806585</v>
      </c>
      <c r="R38" s="1049">
        <f t="shared" si="4"/>
        <v>21123.589309219889</v>
      </c>
    </row>
    <row r="39" spans="1:19" ht="13.5" thickBot="1" x14ac:dyDescent="0.25">
      <c r="A39" s="29"/>
      <c r="B39" s="616"/>
      <c r="C39" s="809"/>
      <c r="D39" s="810" t="s">
        <v>234</v>
      </c>
      <c r="E39" s="811"/>
      <c r="F39" s="493" t="str">
        <f t="shared" ref="F39:Q39" si="10">F9</f>
        <v>January</v>
      </c>
      <c r="G39" s="493" t="str">
        <f t="shared" si="10"/>
        <v>February</v>
      </c>
      <c r="H39" s="493" t="str">
        <f t="shared" si="10"/>
        <v>March</v>
      </c>
      <c r="I39" s="493" t="str">
        <f t="shared" si="10"/>
        <v>April</v>
      </c>
      <c r="J39" s="493" t="str">
        <f t="shared" si="10"/>
        <v>May</v>
      </c>
      <c r="K39" s="493" t="str">
        <f t="shared" si="10"/>
        <v>June</v>
      </c>
      <c r="L39" s="493" t="str">
        <f t="shared" si="10"/>
        <v>July</v>
      </c>
      <c r="M39" s="493" t="str">
        <f t="shared" si="10"/>
        <v>August</v>
      </c>
      <c r="N39" s="493" t="str">
        <f t="shared" si="10"/>
        <v>September</v>
      </c>
      <c r="O39" s="493" t="str">
        <f t="shared" si="10"/>
        <v>October</v>
      </c>
      <c r="P39" s="493" t="str">
        <f t="shared" si="10"/>
        <v>November</v>
      </c>
      <c r="Q39" s="86" t="str">
        <f t="shared" si="10"/>
        <v>December</v>
      </c>
      <c r="R39" s="978" t="s">
        <v>187</v>
      </c>
    </row>
    <row r="40" spans="1:19" x14ac:dyDescent="0.2">
      <c r="A40" s="29"/>
      <c r="B40" s="615"/>
      <c r="C40" s="812" t="s">
        <v>117</v>
      </c>
      <c r="D40" s="813"/>
      <c r="E40" s="814"/>
      <c r="F40" s="833">
        <f t="shared" ref="F40:Q40" si="11">F38</f>
        <v>-8980.3009020360423</v>
      </c>
      <c r="G40" s="833">
        <f t="shared" si="11"/>
        <v>-9509.4437627444258</v>
      </c>
      <c r="H40" s="833">
        <f t="shared" si="11"/>
        <v>-17414.234114392748</v>
      </c>
      <c r="I40" s="833">
        <f t="shared" si="11"/>
        <v>-17048.246426087317</v>
      </c>
      <c r="J40" s="833">
        <f t="shared" si="11"/>
        <v>-16006.78781694911</v>
      </c>
      <c r="K40" s="833">
        <f t="shared" si="11"/>
        <v>-12852.054964293857</v>
      </c>
      <c r="L40" s="833">
        <f t="shared" si="11"/>
        <v>-18260.139313756667</v>
      </c>
      <c r="M40" s="833">
        <f t="shared" si="11"/>
        <v>1222.6716335471283</v>
      </c>
      <c r="N40" s="833">
        <f t="shared" si="11"/>
        <v>160497.21332823401</v>
      </c>
      <c r="O40" s="833">
        <f t="shared" si="11"/>
        <v>-11671.065796864465</v>
      </c>
      <c r="P40" s="833">
        <f t="shared" si="11"/>
        <v>-19890.875778630027</v>
      </c>
      <c r="Q40" s="815">
        <f t="shared" si="11"/>
        <v>-8963.146776806585</v>
      </c>
      <c r="R40" s="979">
        <f>SUM(F40:Q40)</f>
        <v>21123.589309219889</v>
      </c>
    </row>
    <row r="41" spans="1:19" x14ac:dyDescent="0.2">
      <c r="A41" s="29"/>
      <c r="B41" s="617"/>
      <c r="C41" s="801" t="s">
        <v>118</v>
      </c>
      <c r="D41" s="802"/>
      <c r="E41" s="803"/>
      <c r="F41" s="834">
        <f>F34</f>
        <v>729.16666666666663</v>
      </c>
      <c r="G41" s="834">
        <f t="shared" ref="G41:Q41" si="12">G34</f>
        <v>729.16666666666663</v>
      </c>
      <c r="H41" s="834">
        <f t="shared" si="12"/>
        <v>729.16666666666663</v>
      </c>
      <c r="I41" s="834">
        <f t="shared" si="12"/>
        <v>729.16666666666663</v>
      </c>
      <c r="J41" s="834">
        <f t="shared" si="12"/>
        <v>729.16666666666663</v>
      </c>
      <c r="K41" s="834">
        <f t="shared" si="12"/>
        <v>729.16666666666663</v>
      </c>
      <c r="L41" s="834">
        <f t="shared" si="12"/>
        <v>729.16666666666663</v>
      </c>
      <c r="M41" s="834">
        <f t="shared" si="12"/>
        <v>729.16666666666663</v>
      </c>
      <c r="N41" s="834">
        <f t="shared" si="12"/>
        <v>729.16666666666663</v>
      </c>
      <c r="O41" s="834">
        <f t="shared" si="12"/>
        <v>729.16666666666663</v>
      </c>
      <c r="P41" s="834">
        <f t="shared" si="12"/>
        <v>729.16666666666663</v>
      </c>
      <c r="Q41" s="823">
        <f t="shared" si="12"/>
        <v>729.16666666666663</v>
      </c>
      <c r="R41" s="973">
        <f>SUM(F41:Q41)</f>
        <v>8750.0000000000018</v>
      </c>
    </row>
    <row r="42" spans="1:19" x14ac:dyDescent="0.2">
      <c r="A42" s="29"/>
      <c r="B42" s="617"/>
      <c r="C42" s="623" t="s">
        <v>349</v>
      </c>
      <c r="D42" s="623"/>
      <c r="E42" s="623"/>
      <c r="F42" s="834">
        <f>Input!$E$424</f>
        <v>0</v>
      </c>
      <c r="G42" s="834">
        <v>0</v>
      </c>
      <c r="H42" s="834">
        <v>0</v>
      </c>
      <c r="I42" s="834">
        <v>0</v>
      </c>
      <c r="J42" s="834">
        <v>0</v>
      </c>
      <c r="K42" s="834">
        <v>0</v>
      </c>
      <c r="L42" s="834">
        <v>0</v>
      </c>
      <c r="M42" s="834">
        <v>0</v>
      </c>
      <c r="N42" s="834">
        <v>0</v>
      </c>
      <c r="O42" s="834">
        <v>0</v>
      </c>
      <c r="P42" s="834">
        <v>0</v>
      </c>
      <c r="Q42" s="823">
        <v>0</v>
      </c>
      <c r="R42" s="973">
        <f>SUM(F42:Q42)</f>
        <v>0</v>
      </c>
    </row>
    <row r="43" spans="1:19" ht="13.5" thickBot="1" x14ac:dyDescent="0.25">
      <c r="A43" s="29"/>
      <c r="B43" s="617"/>
      <c r="C43" s="816" t="s">
        <v>119</v>
      </c>
      <c r="D43" s="816"/>
      <c r="E43" s="817"/>
      <c r="F43" s="835">
        <v>0</v>
      </c>
      <c r="G43" s="835">
        <v>0</v>
      </c>
      <c r="H43" s="835">
        <v>0</v>
      </c>
      <c r="I43" s="835">
        <v>0</v>
      </c>
      <c r="J43" s="835">
        <v>0</v>
      </c>
      <c r="K43" s="835">
        <v>0</v>
      </c>
      <c r="L43" s="835">
        <v>0</v>
      </c>
      <c r="M43" s="835">
        <v>0</v>
      </c>
      <c r="N43" s="835">
        <v>0</v>
      </c>
      <c r="O43" s="835">
        <v>0</v>
      </c>
      <c r="P43" s="835">
        <v>0</v>
      </c>
      <c r="Q43" s="818">
        <f>Financing!E40</f>
        <v>5573.0139973812647</v>
      </c>
      <c r="R43" s="977">
        <f>SUM(F43:Q43)</f>
        <v>5573.0139973812647</v>
      </c>
    </row>
    <row r="44" spans="1:19" ht="13.5" thickBot="1" x14ac:dyDescent="0.25">
      <c r="B44" s="615"/>
      <c r="C44" s="986" t="s">
        <v>120</v>
      </c>
      <c r="D44" s="987"/>
      <c r="E44" s="988"/>
      <c r="F44" s="989">
        <f>F40+F41+F42-F43</f>
        <v>-8251.1342353693763</v>
      </c>
      <c r="G44" s="989">
        <f>G40+G41+G42-G43</f>
        <v>-8780.2770960777598</v>
      </c>
      <c r="H44" s="989">
        <f t="shared" ref="H44:N44" si="13">H40+H41+H42-H43</f>
        <v>-16685.06744772608</v>
      </c>
      <c r="I44" s="989">
        <f t="shared" si="13"/>
        <v>-16319.079759420651</v>
      </c>
      <c r="J44" s="989">
        <f t="shared" si="13"/>
        <v>-15277.621150282444</v>
      </c>
      <c r="K44" s="989">
        <f t="shared" si="13"/>
        <v>-12122.888297627191</v>
      </c>
      <c r="L44" s="989">
        <f t="shared" si="13"/>
        <v>-17530.972647089999</v>
      </c>
      <c r="M44" s="989">
        <f t="shared" si="13"/>
        <v>1951.8383002137948</v>
      </c>
      <c r="N44" s="989">
        <f t="shared" si="13"/>
        <v>161226.37999490066</v>
      </c>
      <c r="O44" s="989">
        <f>O40+O41+O42-O43</f>
        <v>-10941.899130197799</v>
      </c>
      <c r="P44" s="989">
        <f>P40+P41+P42-P43</f>
        <v>-19161.709111963359</v>
      </c>
      <c r="Q44" s="990">
        <f>Q40+Q41+Q42-Q43</f>
        <v>-13806.994107521183</v>
      </c>
      <c r="R44" s="975">
        <f>SUM(F44:Q44)</f>
        <v>24300.57531183862</v>
      </c>
    </row>
    <row r="45" spans="1:19" ht="13.5" thickBot="1" x14ac:dyDescent="0.25">
      <c r="B45" s="615"/>
      <c r="C45" s="1046" t="s">
        <v>380</v>
      </c>
      <c r="D45" s="1051"/>
      <c r="E45" s="1052"/>
      <c r="F45" s="1049">
        <f>F47+F44</f>
        <v>-8251.1342353693763</v>
      </c>
      <c r="G45" s="1049">
        <f t="shared" ref="G45:Q45" si="14">F45+G44</f>
        <v>-17031.411331447136</v>
      </c>
      <c r="H45" s="1049">
        <f t="shared" si="14"/>
        <v>-33716.478779173216</v>
      </c>
      <c r="I45" s="1049">
        <f t="shared" si="14"/>
        <v>-50035.558538593868</v>
      </c>
      <c r="J45" s="1049">
        <f t="shared" si="14"/>
        <v>-65313.179688876313</v>
      </c>
      <c r="K45" s="1049">
        <f t="shared" si="14"/>
        <v>-77436.067986503505</v>
      </c>
      <c r="L45" s="1049">
        <f t="shared" si="14"/>
        <v>-94967.040633593511</v>
      </c>
      <c r="M45" s="1049">
        <f t="shared" si="14"/>
        <v>-93015.202333379711</v>
      </c>
      <c r="N45" s="1049">
        <f t="shared" si="14"/>
        <v>68211.177661520953</v>
      </c>
      <c r="O45" s="1049">
        <f t="shared" si="14"/>
        <v>57269.278531323158</v>
      </c>
      <c r="P45" s="1049">
        <f t="shared" si="14"/>
        <v>38107.569419359803</v>
      </c>
      <c r="Q45" s="1050">
        <f t="shared" si="14"/>
        <v>24300.57531183862</v>
      </c>
      <c r="R45" s="1049">
        <f>Q45</f>
        <v>24300.57531183862</v>
      </c>
    </row>
    <row r="46" spans="1:19" x14ac:dyDescent="0.2">
      <c r="B46" s="503"/>
      <c r="C46" s="646" t="s">
        <v>106</v>
      </c>
      <c r="D46" s="645"/>
      <c r="E46" s="647">
        <f>Input!$E$407</f>
        <v>0.05</v>
      </c>
      <c r="F46" s="645"/>
      <c r="G46" s="645"/>
      <c r="H46" s="645"/>
      <c r="I46" s="645"/>
      <c r="J46" s="645"/>
      <c r="K46" s="645"/>
      <c r="L46" s="645"/>
      <c r="M46" s="645"/>
      <c r="N46" s="645"/>
      <c r="O46" s="645"/>
      <c r="P46" s="645"/>
      <c r="Q46" s="645"/>
      <c r="R46" s="658"/>
    </row>
    <row r="47" spans="1:19" x14ac:dyDescent="0.2">
      <c r="B47" s="503"/>
      <c r="C47" t="s">
        <v>475</v>
      </c>
      <c r="F47" s="659">
        <f>Input!E385-Input!E399</f>
        <v>0</v>
      </c>
      <c r="G47" s="645"/>
      <c r="H47" s="645"/>
      <c r="I47" s="645"/>
      <c r="J47" s="645"/>
      <c r="K47" s="645"/>
      <c r="L47" s="645"/>
      <c r="M47" s="645"/>
      <c r="N47" s="645"/>
      <c r="O47" s="645"/>
      <c r="P47" s="645"/>
      <c r="Q47" s="645"/>
      <c r="R47" s="639"/>
      <c r="S47" s="29"/>
    </row>
    <row r="48" spans="1:19" x14ac:dyDescent="0.2">
      <c r="B48" s="503"/>
      <c r="F48" s="501"/>
      <c r="R48" s="29"/>
      <c r="S48" s="29"/>
    </row>
    <row r="49" spans="1:19" x14ac:dyDescent="0.2">
      <c r="B49" s="29"/>
      <c r="C49" s="727" t="s">
        <v>195</v>
      </c>
      <c r="D49" s="644"/>
      <c r="E49" s="644"/>
      <c r="F49" s="728">
        <f t="shared" ref="F49:Q49" si="15">F16</f>
        <v>0</v>
      </c>
      <c r="G49" s="728">
        <f t="shared" si="15"/>
        <v>0</v>
      </c>
      <c r="H49" s="728">
        <f t="shared" si="15"/>
        <v>0</v>
      </c>
      <c r="I49" s="728">
        <f t="shared" si="15"/>
        <v>1640</v>
      </c>
      <c r="J49" s="728">
        <f t="shared" si="15"/>
        <v>0</v>
      </c>
      <c r="K49" s="728">
        <f t="shared" si="15"/>
        <v>0</v>
      </c>
      <c r="L49" s="728">
        <f t="shared" si="15"/>
        <v>0</v>
      </c>
      <c r="M49" s="728">
        <f t="shared" si="15"/>
        <v>17675</v>
      </c>
      <c r="N49" s="728">
        <f t="shared" si="15"/>
        <v>170000</v>
      </c>
      <c r="O49" s="728">
        <f t="shared" si="15"/>
        <v>0</v>
      </c>
      <c r="P49" s="728">
        <f t="shared" si="15"/>
        <v>0</v>
      </c>
      <c r="Q49" s="729">
        <f t="shared" si="15"/>
        <v>0</v>
      </c>
      <c r="R49" s="29"/>
      <c r="S49" s="29"/>
    </row>
    <row r="50" spans="1:19" x14ac:dyDescent="0.2">
      <c r="B50" s="29"/>
      <c r="C50" s="730" t="s">
        <v>194</v>
      </c>
      <c r="D50" s="731"/>
      <c r="E50" s="731"/>
      <c r="F50" s="732">
        <f>SUM(F18:F31)+F35-F42+F43</f>
        <v>8233.9801101399171</v>
      </c>
      <c r="G50" s="732">
        <f t="shared" ref="G50:Q50" si="16">SUM(G18:G31)+G35+G42-G43</f>
        <v>8727.7146312818841</v>
      </c>
      <c r="H50" s="732">
        <f t="shared" si="16"/>
        <v>16579.562478681131</v>
      </c>
      <c r="I50" s="732">
        <f t="shared" si="16"/>
        <v>17784.95909971635</v>
      </c>
      <c r="J50" s="732">
        <f t="shared" si="16"/>
        <v>15037.810883697268</v>
      </c>
      <c r="K50" s="732">
        <f t="shared" si="16"/>
        <v>11826.112314934093</v>
      </c>
      <c r="L50" s="732">
        <f t="shared" si="16"/>
        <v>17172.546225842394</v>
      </c>
      <c r="M50" s="732">
        <f t="shared" si="16"/>
        <v>15332.346225842397</v>
      </c>
      <c r="N50" s="732">
        <f t="shared" si="16"/>
        <v>8722.0523862389</v>
      </c>
      <c r="O50" s="732">
        <f t="shared" si="16"/>
        <v>10941.899130197799</v>
      </c>
      <c r="P50" s="732">
        <f t="shared" si="16"/>
        <v>19161.709111963359</v>
      </c>
      <c r="Q50" s="970">
        <f t="shared" si="16"/>
        <v>2660.9661127586523</v>
      </c>
      <c r="R50" s="29"/>
      <c r="S50" s="29"/>
    </row>
    <row r="51" spans="1:19" x14ac:dyDescent="0.2">
      <c r="B51" s="29"/>
      <c r="C51" s="733" t="s">
        <v>196</v>
      </c>
      <c r="D51" s="645"/>
      <c r="E51" s="645"/>
      <c r="F51" s="658">
        <f t="shared" ref="F51:Q51" si="17">F49-F50</f>
        <v>-8233.9801101399171</v>
      </c>
      <c r="G51" s="658">
        <f t="shared" si="17"/>
        <v>-8727.7146312818841</v>
      </c>
      <c r="H51" s="658">
        <f t="shared" si="17"/>
        <v>-16579.562478681131</v>
      </c>
      <c r="I51" s="658">
        <f t="shared" si="17"/>
        <v>-16144.95909971635</v>
      </c>
      <c r="J51" s="658">
        <f t="shared" si="17"/>
        <v>-15037.810883697268</v>
      </c>
      <c r="K51" s="658">
        <f t="shared" si="17"/>
        <v>-11826.112314934093</v>
      </c>
      <c r="L51" s="658">
        <f t="shared" si="17"/>
        <v>-17172.546225842394</v>
      </c>
      <c r="M51" s="658">
        <f t="shared" si="17"/>
        <v>2342.653774157603</v>
      </c>
      <c r="N51" s="658">
        <f t="shared" si="17"/>
        <v>161277.94761376109</v>
      </c>
      <c r="O51" s="658">
        <f t="shared" si="17"/>
        <v>-10941.899130197799</v>
      </c>
      <c r="P51" s="658">
        <f t="shared" si="17"/>
        <v>-19161.709111963359</v>
      </c>
      <c r="Q51" s="734">
        <f t="shared" si="17"/>
        <v>-2660.9661127586523</v>
      </c>
      <c r="R51" s="29"/>
      <c r="S51" s="29"/>
    </row>
    <row r="52" spans="1:19" ht="13.5" thickBot="1" x14ac:dyDescent="0.25">
      <c r="B52" s="29"/>
      <c r="C52" s="858" t="s">
        <v>881</v>
      </c>
      <c r="F52" s="658">
        <f>F47+(F51)/2</f>
        <v>-4116.9900550699585</v>
      </c>
      <c r="G52" s="658">
        <f t="shared" ref="G52:Q52" si="18">F45+(G51)/2</f>
        <v>-12614.991551010318</v>
      </c>
      <c r="H52" s="658">
        <f t="shared" si="18"/>
        <v>-25321.192570787702</v>
      </c>
      <c r="I52" s="658">
        <f t="shared" si="18"/>
        <v>-41788.958329031389</v>
      </c>
      <c r="J52" s="658">
        <f t="shared" si="18"/>
        <v>-57554.463980442502</v>
      </c>
      <c r="K52" s="658">
        <f t="shared" si="18"/>
        <v>-71226.235846343363</v>
      </c>
      <c r="L52" s="658">
        <f t="shared" si="18"/>
        <v>-86022.341099424695</v>
      </c>
      <c r="M52" s="658">
        <f t="shared" si="18"/>
        <v>-93795.71374651471</v>
      </c>
      <c r="N52" s="658">
        <f t="shared" si="18"/>
        <v>-12376.228526499166</v>
      </c>
      <c r="O52" s="658">
        <f t="shared" si="18"/>
        <v>62740.228096422055</v>
      </c>
      <c r="P52" s="658">
        <f t="shared" si="18"/>
        <v>47688.42397534148</v>
      </c>
      <c r="Q52" s="734">
        <f t="shared" si="18"/>
        <v>36777.086362980473</v>
      </c>
      <c r="R52" s="29"/>
      <c r="S52" s="29"/>
    </row>
    <row r="53" spans="1:19" ht="13.5" thickBot="1" x14ac:dyDescent="0.25">
      <c r="B53" s="29"/>
      <c r="C53" s="856" t="s">
        <v>197</v>
      </c>
      <c r="D53" s="857"/>
      <c r="E53" s="857"/>
      <c r="F53" s="736">
        <f>AVERAGE(F45:Q45)</f>
        <v>-20989.789383574509</v>
      </c>
      <c r="G53" s="56"/>
      <c r="H53" s="56"/>
      <c r="I53" s="56"/>
      <c r="J53" s="56"/>
      <c r="K53" s="56"/>
      <c r="L53" s="56"/>
      <c r="M53" s="56"/>
      <c r="N53" s="56"/>
      <c r="O53" s="56"/>
      <c r="P53" s="56"/>
      <c r="Q53" s="121"/>
      <c r="R53" s="29"/>
      <c r="S53" s="29"/>
    </row>
    <row r="54" spans="1:19" x14ac:dyDescent="0.2">
      <c r="B54" s="29"/>
      <c r="C54" s="29"/>
      <c r="D54" s="29"/>
      <c r="E54" s="29"/>
      <c r="F54" s="120"/>
      <c r="G54" s="29"/>
      <c r="H54" s="29"/>
      <c r="I54" s="29"/>
      <c r="J54" s="29"/>
      <c r="K54" s="29"/>
      <c r="L54" s="29"/>
      <c r="M54" s="29"/>
      <c r="N54" s="29"/>
      <c r="O54" s="29"/>
      <c r="P54" s="29"/>
      <c r="Q54" s="29"/>
      <c r="R54" s="29"/>
      <c r="S54" s="29"/>
    </row>
    <row r="55" spans="1:19" ht="16.5" thickBot="1" x14ac:dyDescent="0.3">
      <c r="A55" s="29"/>
      <c r="B55" s="29"/>
      <c r="C55" s="97" t="str">
        <f t="shared" ref="C55:C62" si="19">C8</f>
        <v>Base 400 Herd</v>
      </c>
      <c r="D55" s="29"/>
      <c r="E55" s="29"/>
      <c r="F55" s="97"/>
      <c r="G55" s="97" t="s">
        <v>519</v>
      </c>
      <c r="H55" s="29"/>
      <c r="I55" s="29"/>
      <c r="J55" s="29"/>
      <c r="K55" s="29"/>
      <c r="L55" s="29"/>
      <c r="M55" s="97"/>
      <c r="N55" s="97" t="s">
        <v>519</v>
      </c>
      <c r="O55" s="29"/>
      <c r="P55" s="29"/>
      <c r="Q55" s="29"/>
      <c r="R55" s="29"/>
      <c r="S55" s="29"/>
    </row>
    <row r="56" spans="1:19" ht="13.5" thickBot="1" x14ac:dyDescent="0.25">
      <c r="A56" s="29"/>
      <c r="B56" s="29"/>
      <c r="C56" s="660" t="str">
        <f t="shared" si="19"/>
        <v>REVENUE</v>
      </c>
      <c r="D56" s="635"/>
      <c r="E56" s="636"/>
      <c r="F56" s="661" t="str">
        <f t="shared" ref="F56:Q56" si="20">F9</f>
        <v>January</v>
      </c>
      <c r="G56" s="662" t="str">
        <f t="shared" si="20"/>
        <v>February</v>
      </c>
      <c r="H56" s="662" t="str">
        <f t="shared" si="20"/>
        <v>March</v>
      </c>
      <c r="I56" s="662" t="str">
        <f t="shared" si="20"/>
        <v>April</v>
      </c>
      <c r="J56" s="662" t="str">
        <f t="shared" si="20"/>
        <v>May</v>
      </c>
      <c r="K56" s="662" t="str">
        <f t="shared" si="20"/>
        <v>June</v>
      </c>
      <c r="L56" s="663" t="str">
        <f t="shared" si="20"/>
        <v>July</v>
      </c>
      <c r="M56" s="662" t="str">
        <f t="shared" si="20"/>
        <v>August</v>
      </c>
      <c r="N56" s="662" t="str">
        <f t="shared" si="20"/>
        <v>September</v>
      </c>
      <c r="O56" s="662" t="str">
        <f t="shared" si="20"/>
        <v>October</v>
      </c>
      <c r="P56" s="662" t="str">
        <f t="shared" si="20"/>
        <v>November</v>
      </c>
      <c r="Q56" s="663" t="str">
        <f t="shared" si="20"/>
        <v>December</v>
      </c>
      <c r="R56" s="664" t="str">
        <f>R9</f>
        <v>Revenues</v>
      </c>
      <c r="S56" s="29"/>
    </row>
    <row r="57" spans="1:19" x14ac:dyDescent="0.2">
      <c r="A57" s="29"/>
      <c r="B57" s="29"/>
      <c r="C57" s="665" t="str">
        <f t="shared" si="19"/>
        <v>Feeder Lamb Sales (under 90lbs)</v>
      </c>
      <c r="D57" s="637"/>
      <c r="E57" s="638"/>
      <c r="F57" s="666"/>
      <c r="G57" s="652"/>
      <c r="H57" s="652"/>
      <c r="I57" s="652"/>
      <c r="J57" s="652"/>
      <c r="K57" s="652"/>
      <c r="L57" s="667"/>
      <c r="M57" s="652"/>
      <c r="N57" s="652"/>
      <c r="O57" s="652"/>
      <c r="P57" s="652"/>
      <c r="Q57" s="667"/>
      <c r="R57" s="668">
        <f t="shared" ref="R57:R62" si="21">SUM(F57:Q57)</f>
        <v>0</v>
      </c>
      <c r="S57" s="29"/>
    </row>
    <row r="58" spans="1:19" x14ac:dyDescent="0.2">
      <c r="A58" s="29"/>
      <c r="B58" s="29"/>
      <c r="C58" s="665" t="str">
        <f t="shared" si="19"/>
        <v>Market Lamb Sales (90lbs+)</v>
      </c>
      <c r="D58" s="637"/>
      <c r="E58" s="638"/>
      <c r="F58" s="666"/>
      <c r="G58" s="652"/>
      <c r="H58" s="652"/>
      <c r="I58" s="652"/>
      <c r="J58" s="652"/>
      <c r="K58" s="652"/>
      <c r="L58" s="667"/>
      <c r="M58" s="652"/>
      <c r="N58" s="652"/>
      <c r="O58" s="652"/>
      <c r="P58" s="652"/>
      <c r="Q58" s="667"/>
      <c r="R58" s="668">
        <f t="shared" si="21"/>
        <v>0</v>
      </c>
      <c r="S58" s="29"/>
    </row>
    <row r="59" spans="1:19" x14ac:dyDescent="0.2">
      <c r="A59" s="29"/>
      <c r="B59" s="29"/>
      <c r="C59" s="665" t="str">
        <f t="shared" si="19"/>
        <v>Cull Ewe and Ram Sales</v>
      </c>
      <c r="D59" s="637"/>
      <c r="E59" s="638"/>
      <c r="F59" s="666"/>
      <c r="G59" s="652"/>
      <c r="H59" s="652"/>
      <c r="I59" s="652"/>
      <c r="J59" s="652"/>
      <c r="K59" s="652"/>
      <c r="L59" s="667"/>
      <c r="M59" s="652"/>
      <c r="N59" s="652"/>
      <c r="O59" s="652"/>
      <c r="P59" s="652"/>
      <c r="Q59" s="667"/>
      <c r="R59" s="668">
        <f t="shared" si="21"/>
        <v>0</v>
      </c>
      <c r="S59" s="29"/>
    </row>
    <row r="60" spans="1:19" x14ac:dyDescent="0.2">
      <c r="A60" s="29"/>
      <c r="B60" s="29"/>
      <c r="C60" s="665" t="str">
        <f t="shared" si="19"/>
        <v>Breeding Stock Sales</v>
      </c>
      <c r="D60" s="637"/>
      <c r="E60" s="638"/>
      <c r="F60" s="666"/>
      <c r="G60" s="652"/>
      <c r="H60" s="652"/>
      <c r="I60" s="652"/>
      <c r="J60" s="652"/>
      <c r="K60" s="652"/>
      <c r="L60" s="667"/>
      <c r="M60" s="652"/>
      <c r="N60" s="652"/>
      <c r="O60" s="652"/>
      <c r="P60" s="652"/>
      <c r="Q60" s="667"/>
      <c r="R60" s="668">
        <f t="shared" si="21"/>
        <v>0</v>
      </c>
      <c r="S60" s="29"/>
    </row>
    <row r="61" spans="1:19" x14ac:dyDescent="0.2">
      <c r="A61" s="29"/>
      <c r="B61" s="29"/>
      <c r="C61" s="665" t="str">
        <f t="shared" si="19"/>
        <v>Wool Sales</v>
      </c>
      <c r="D61" s="637"/>
      <c r="E61" s="638"/>
      <c r="F61" s="666"/>
      <c r="G61" s="652"/>
      <c r="H61" s="652"/>
      <c r="I61" s="652"/>
      <c r="J61" s="652"/>
      <c r="K61" s="652"/>
      <c r="L61" s="667"/>
      <c r="M61" s="652"/>
      <c r="N61" s="652"/>
      <c r="O61" s="652"/>
      <c r="P61" s="652"/>
      <c r="Q61" s="667"/>
      <c r="R61" s="668">
        <f t="shared" si="21"/>
        <v>0</v>
      </c>
      <c r="S61" s="29"/>
    </row>
    <row r="62" spans="1:19" ht="13.5" thickBot="1" x14ac:dyDescent="0.25">
      <c r="A62" s="29"/>
      <c r="B62" s="29"/>
      <c r="C62" s="669" t="str">
        <f t="shared" si="19"/>
        <v>Other Sales</v>
      </c>
      <c r="D62" s="639"/>
      <c r="E62" s="640"/>
      <c r="F62" s="670"/>
      <c r="G62" s="671"/>
      <c r="H62" s="671"/>
      <c r="I62" s="671"/>
      <c r="J62" s="671"/>
      <c r="K62" s="671"/>
      <c r="L62" s="672"/>
      <c r="M62" s="671"/>
      <c r="N62" s="671"/>
      <c r="O62" s="671"/>
      <c r="P62" s="671"/>
      <c r="Q62" s="672"/>
      <c r="R62" s="673">
        <f t="shared" si="21"/>
        <v>0</v>
      </c>
      <c r="S62" s="29"/>
    </row>
    <row r="63" spans="1:19" ht="13.5" customHeight="1" thickBot="1" x14ac:dyDescent="0.25">
      <c r="A63" s="29"/>
      <c r="B63" s="29"/>
      <c r="C63" s="674"/>
      <c r="D63" s="643" t="str">
        <f>D16</f>
        <v>TOTAL REVENUE</v>
      </c>
      <c r="E63" s="636"/>
      <c r="F63" s="675">
        <f t="shared" ref="F63:R63" si="22">SUM(F57:F62)</f>
        <v>0</v>
      </c>
      <c r="G63" s="676">
        <f t="shared" si="22"/>
        <v>0</v>
      </c>
      <c r="H63" s="676">
        <f t="shared" si="22"/>
        <v>0</v>
      </c>
      <c r="I63" s="676">
        <f t="shared" si="22"/>
        <v>0</v>
      </c>
      <c r="J63" s="676">
        <f t="shared" si="22"/>
        <v>0</v>
      </c>
      <c r="K63" s="676">
        <f t="shared" si="22"/>
        <v>0</v>
      </c>
      <c r="L63" s="677">
        <f t="shared" si="22"/>
        <v>0</v>
      </c>
      <c r="M63" s="678">
        <f t="shared" si="22"/>
        <v>0</v>
      </c>
      <c r="N63" s="676">
        <f t="shared" si="22"/>
        <v>0</v>
      </c>
      <c r="O63" s="676">
        <f t="shared" si="22"/>
        <v>0</v>
      </c>
      <c r="P63" s="676">
        <f t="shared" si="22"/>
        <v>0</v>
      </c>
      <c r="Q63" s="677">
        <f t="shared" si="22"/>
        <v>0</v>
      </c>
      <c r="R63" s="679">
        <f t="shared" si="22"/>
        <v>0</v>
      </c>
      <c r="S63" s="29"/>
    </row>
    <row r="64" spans="1:19" ht="13.5" thickBot="1" x14ac:dyDescent="0.25">
      <c r="A64" s="29"/>
      <c r="B64" s="29"/>
      <c r="C64" s="660" t="str">
        <f>C17</f>
        <v>EXPENSES - VARIABLE COSTS</v>
      </c>
      <c r="D64" s="635"/>
      <c r="E64" s="636"/>
      <c r="F64" s="680"/>
      <c r="G64" s="635"/>
      <c r="H64" s="635"/>
      <c r="I64" s="635"/>
      <c r="J64" s="635"/>
      <c r="K64" s="635"/>
      <c r="L64" s="635"/>
      <c r="M64" s="681"/>
      <c r="N64" s="635"/>
      <c r="O64" s="635"/>
      <c r="P64" s="635"/>
      <c r="Q64" s="635"/>
      <c r="R64" s="682"/>
      <c r="S64" s="29"/>
    </row>
    <row r="65" spans="1:19" x14ac:dyDescent="0.2">
      <c r="A65" s="29"/>
      <c r="B65" s="29"/>
      <c r="C65" s="683" t="str">
        <f>C18</f>
        <v>Feed &amp; Hay Costs</v>
      </c>
      <c r="D65" s="684"/>
      <c r="E65" s="685"/>
      <c r="F65" s="686"/>
      <c r="G65" s="687"/>
      <c r="H65" s="687"/>
      <c r="I65" s="687"/>
      <c r="J65" s="687"/>
      <c r="K65" s="687"/>
      <c r="L65" s="688"/>
      <c r="M65" s="687"/>
      <c r="N65" s="687"/>
      <c r="O65" s="687"/>
      <c r="P65" s="687"/>
      <c r="Q65" s="688"/>
      <c r="R65" s="668">
        <f t="shared" ref="R65:R81" si="23">SUM(F65:Q65)</f>
        <v>0</v>
      </c>
      <c r="S65" s="29"/>
    </row>
    <row r="66" spans="1:19" x14ac:dyDescent="0.2">
      <c r="A66" s="29"/>
      <c r="B66" s="29"/>
      <c r="C66" s="665" t="str">
        <f t="shared" ref="C66:C78" si="24">C20</f>
        <v>Breeding Stock Purchases &amp; Supplies</v>
      </c>
      <c r="D66" s="637"/>
      <c r="E66" s="638"/>
      <c r="F66" s="689"/>
      <c r="G66" s="652"/>
      <c r="H66" s="652"/>
      <c r="I66" s="652"/>
      <c r="J66" s="652"/>
      <c r="K66" s="652"/>
      <c r="L66" s="667"/>
      <c r="M66" s="652"/>
      <c r="N66" s="652"/>
      <c r="O66" s="652"/>
      <c r="P66" s="652"/>
      <c r="Q66" s="667"/>
      <c r="R66" s="668">
        <f t="shared" si="23"/>
        <v>0</v>
      </c>
      <c r="S66" s="29"/>
    </row>
    <row r="67" spans="1:19" x14ac:dyDescent="0.2">
      <c r="A67" s="29"/>
      <c r="B67" s="29"/>
      <c r="C67" s="665" t="str">
        <f t="shared" si="24"/>
        <v>Veterinary Services and Medication</v>
      </c>
      <c r="D67" s="637"/>
      <c r="E67" s="638"/>
      <c r="F67" s="689"/>
      <c r="G67" s="652"/>
      <c r="H67" s="652"/>
      <c r="I67" s="652"/>
      <c r="J67" s="652"/>
      <c r="K67" s="652"/>
      <c r="L67" s="667"/>
      <c r="M67" s="652"/>
      <c r="N67" s="652"/>
      <c r="O67" s="652"/>
      <c r="P67" s="652"/>
      <c r="Q67" s="667"/>
      <c r="R67" s="668">
        <f t="shared" si="23"/>
        <v>0</v>
      </c>
      <c r="S67" s="29"/>
    </row>
    <row r="68" spans="1:19" x14ac:dyDescent="0.2">
      <c r="A68" s="29"/>
      <c r="B68" s="29"/>
      <c r="C68" s="665" t="str">
        <f t="shared" si="24"/>
        <v>Guardian and Herd Dog Costs</v>
      </c>
      <c r="D68" s="637"/>
      <c r="E68" s="638"/>
      <c r="F68" s="689"/>
      <c r="G68" s="652"/>
      <c r="H68" s="652"/>
      <c r="I68" s="652"/>
      <c r="J68" s="652"/>
      <c r="K68" s="652"/>
      <c r="L68" s="667"/>
      <c r="M68" s="652"/>
      <c r="N68" s="652"/>
      <c r="O68" s="652"/>
      <c r="P68" s="652"/>
      <c r="Q68" s="667"/>
      <c r="R68" s="668">
        <f t="shared" si="23"/>
        <v>0</v>
      </c>
      <c r="S68" s="29"/>
    </row>
    <row r="69" spans="1:19" x14ac:dyDescent="0.2">
      <c r="A69" s="29"/>
      <c r="B69" s="29"/>
      <c r="C69" s="665" t="str">
        <f t="shared" si="24"/>
        <v>Labour Costs</v>
      </c>
      <c r="D69" s="637"/>
      <c r="E69" s="638"/>
      <c r="F69" s="689"/>
      <c r="G69" s="652"/>
      <c r="H69" s="652"/>
      <c r="I69" s="652"/>
      <c r="J69" s="652"/>
      <c r="K69" s="652"/>
      <c r="L69" s="667"/>
      <c r="M69" s="652"/>
      <c r="N69" s="652"/>
      <c r="O69" s="652"/>
      <c r="P69" s="652"/>
      <c r="Q69" s="667"/>
      <c r="R69" s="668">
        <f t="shared" si="23"/>
        <v>0</v>
      </c>
      <c r="S69" s="29"/>
    </row>
    <row r="70" spans="1:19" x14ac:dyDescent="0.2">
      <c r="A70" s="29"/>
      <c r="B70" s="29"/>
      <c r="C70" s="665" t="str">
        <f t="shared" si="24"/>
        <v>Custom Work/Manure Removal</v>
      </c>
      <c r="D70" s="637"/>
      <c r="E70" s="638"/>
      <c r="F70" s="689"/>
      <c r="G70" s="652"/>
      <c r="H70" s="652"/>
      <c r="I70" s="652"/>
      <c r="J70" s="652"/>
      <c r="K70" s="652"/>
      <c r="L70" s="667"/>
      <c r="M70" s="652"/>
      <c r="N70" s="652"/>
      <c r="O70" s="652"/>
      <c r="P70" s="652"/>
      <c r="Q70" s="667"/>
      <c r="R70" s="668">
        <f t="shared" si="23"/>
        <v>0</v>
      </c>
      <c r="S70" s="29"/>
    </row>
    <row r="71" spans="1:19" x14ac:dyDescent="0.2">
      <c r="A71" s="29"/>
      <c r="B71" s="29"/>
      <c r="C71" s="665" t="str">
        <f t="shared" si="24"/>
        <v>Fuel and Utility Costs</v>
      </c>
      <c r="D71" s="637"/>
      <c r="E71" s="638"/>
      <c r="F71" s="689"/>
      <c r="G71" s="652"/>
      <c r="H71" s="652"/>
      <c r="I71" s="652"/>
      <c r="J71" s="652"/>
      <c r="K71" s="652"/>
      <c r="L71" s="667"/>
      <c r="M71" s="652"/>
      <c r="N71" s="652"/>
      <c r="O71" s="652"/>
      <c r="P71" s="652"/>
      <c r="Q71" s="667"/>
      <c r="R71" s="668">
        <f t="shared" si="23"/>
        <v>0</v>
      </c>
      <c r="S71" s="29"/>
    </row>
    <row r="72" spans="1:19" x14ac:dyDescent="0.2">
      <c r="A72" s="29"/>
      <c r="B72" s="29"/>
      <c r="C72" s="665" t="str">
        <f t="shared" si="24"/>
        <v>Building and Equipment Repairs</v>
      </c>
      <c r="D72" s="637"/>
      <c r="E72" s="638"/>
      <c r="F72" s="689"/>
      <c r="G72" s="652"/>
      <c r="H72" s="652"/>
      <c r="I72" s="652"/>
      <c r="J72" s="652"/>
      <c r="K72" s="652"/>
      <c r="L72" s="667"/>
      <c r="M72" s="652"/>
      <c r="N72" s="652"/>
      <c r="O72" s="652"/>
      <c r="P72" s="652"/>
      <c r="Q72" s="667"/>
      <c r="R72" s="668">
        <f t="shared" si="23"/>
        <v>0</v>
      </c>
      <c r="S72" s="29"/>
    </row>
    <row r="73" spans="1:19" x14ac:dyDescent="0.2">
      <c r="A73" s="29"/>
      <c r="B73" s="29"/>
      <c r="C73" s="665" t="str">
        <f t="shared" si="24"/>
        <v>Marketing, Check-Off, &amp; Transport.</v>
      </c>
      <c r="D73" s="637"/>
      <c r="E73" s="638"/>
      <c r="F73" s="689"/>
      <c r="G73" s="652"/>
      <c r="H73" s="652"/>
      <c r="I73" s="652"/>
      <c r="J73" s="652"/>
      <c r="K73" s="652"/>
      <c r="L73" s="667"/>
      <c r="M73" s="652"/>
      <c r="N73" s="652"/>
      <c r="O73" s="652"/>
      <c r="P73" s="652"/>
      <c r="Q73" s="667"/>
      <c r="R73" s="668">
        <f t="shared" si="23"/>
        <v>0</v>
      </c>
      <c r="S73" s="29"/>
    </row>
    <row r="74" spans="1:19" x14ac:dyDescent="0.2">
      <c r="A74" s="29"/>
      <c r="B74" s="29"/>
      <c r="C74" s="665" t="str">
        <f t="shared" si="24"/>
        <v>Shearing and Wool Production</v>
      </c>
      <c r="D74" s="637"/>
      <c r="E74" s="638"/>
      <c r="F74" s="689"/>
      <c r="G74" s="652"/>
      <c r="H74" s="652"/>
      <c r="I74" s="652"/>
      <c r="J74" s="652"/>
      <c r="K74" s="652"/>
      <c r="L74" s="667"/>
      <c r="M74" s="652"/>
      <c r="N74" s="652"/>
      <c r="O74" s="652"/>
      <c r="P74" s="652"/>
      <c r="Q74" s="667"/>
      <c r="R74" s="668">
        <f t="shared" si="23"/>
        <v>0</v>
      </c>
      <c r="S74" s="29"/>
    </row>
    <row r="75" spans="1:19" x14ac:dyDescent="0.2">
      <c r="A75" s="29"/>
      <c r="B75" s="29"/>
      <c r="C75" s="665" t="str">
        <f t="shared" si="24"/>
        <v>Slaughtering and Meat Production</v>
      </c>
      <c r="D75" s="637"/>
      <c r="E75" s="638"/>
      <c r="F75" s="689"/>
      <c r="G75" s="652"/>
      <c r="H75" s="652"/>
      <c r="I75" s="652"/>
      <c r="J75" s="652"/>
      <c r="K75" s="652"/>
      <c r="L75" s="667"/>
      <c r="M75" s="652"/>
      <c r="N75" s="652"/>
      <c r="O75" s="652"/>
      <c r="P75" s="652"/>
      <c r="Q75" s="667"/>
      <c r="R75" s="668">
        <f t="shared" si="23"/>
        <v>0</v>
      </c>
      <c r="S75" s="29"/>
    </row>
    <row r="76" spans="1:19" x14ac:dyDescent="0.2">
      <c r="A76" s="29"/>
      <c r="B76" s="29"/>
      <c r="C76" s="690" t="str">
        <f t="shared" si="24"/>
        <v>Accounting, Property Taxes, Licenses</v>
      </c>
      <c r="D76" s="641"/>
      <c r="E76" s="642"/>
      <c r="F76" s="691"/>
      <c r="G76" s="692"/>
      <c r="H76" s="692"/>
      <c r="I76" s="692"/>
      <c r="J76" s="692" t="s">
        <v>1</v>
      </c>
      <c r="K76" s="692"/>
      <c r="L76" s="650"/>
      <c r="M76" s="692"/>
      <c r="N76" s="692"/>
      <c r="O76" s="692"/>
      <c r="P76" s="692"/>
      <c r="Q76" s="650"/>
      <c r="R76" s="693">
        <f t="shared" si="23"/>
        <v>0</v>
      </c>
      <c r="S76" s="29"/>
    </row>
    <row r="77" spans="1:19" x14ac:dyDescent="0.2">
      <c r="A77" s="29"/>
      <c r="B77" s="29"/>
      <c r="C77" s="665" t="str">
        <f t="shared" si="24"/>
        <v>Insurance Costs</v>
      </c>
      <c r="D77" s="637"/>
      <c r="E77" s="638"/>
      <c r="F77" s="689"/>
      <c r="G77" s="652"/>
      <c r="H77" s="652"/>
      <c r="I77" s="652"/>
      <c r="J77" s="652" t="s">
        <v>1</v>
      </c>
      <c r="K77" s="652"/>
      <c r="L77" s="667"/>
      <c r="M77" s="652"/>
      <c r="N77" s="652"/>
      <c r="O77" s="652"/>
      <c r="P77" s="652"/>
      <c r="Q77" s="667"/>
      <c r="R77" s="668">
        <f>SUM(F77:Q77)</f>
        <v>0</v>
      </c>
      <c r="S77" s="29"/>
    </row>
    <row r="78" spans="1:19" ht="13.5" thickBot="1" x14ac:dyDescent="0.25">
      <c r="A78" s="29"/>
      <c r="B78" s="29"/>
      <c r="C78" s="669" t="str">
        <f t="shared" si="24"/>
        <v>Operating Interest Costs</v>
      </c>
      <c r="D78" s="639"/>
      <c r="E78" s="640"/>
      <c r="F78" s="694"/>
      <c r="G78" s="671"/>
      <c r="H78" s="671"/>
      <c r="I78" s="671"/>
      <c r="J78" s="671"/>
      <c r="K78" s="671"/>
      <c r="L78" s="672"/>
      <c r="M78" s="671"/>
      <c r="N78" s="671"/>
      <c r="O78" s="671"/>
      <c r="P78" s="671"/>
      <c r="Q78" s="672"/>
      <c r="R78" s="695">
        <f t="shared" si="23"/>
        <v>0</v>
      </c>
      <c r="S78" s="29"/>
    </row>
    <row r="79" spans="1:19" ht="13.5" thickBot="1" x14ac:dyDescent="0.25">
      <c r="A79" s="29"/>
      <c r="B79" s="29"/>
      <c r="C79" s="674"/>
      <c r="D79" s="648" t="str">
        <f>C33</f>
        <v>TOTAL VARIABLE COSTS</v>
      </c>
      <c r="E79" s="636"/>
      <c r="F79" s="696">
        <f>SUM(F65:F78)</f>
        <v>0</v>
      </c>
      <c r="G79" s="678">
        <f>SUM(G65:G78)</f>
        <v>0</v>
      </c>
      <c r="H79" s="678">
        <f t="shared" ref="H79:Q79" si="25">SUM(H65:H78)</f>
        <v>0</v>
      </c>
      <c r="I79" s="678">
        <f t="shared" si="25"/>
        <v>0</v>
      </c>
      <c r="J79" s="678">
        <f t="shared" si="25"/>
        <v>0</v>
      </c>
      <c r="K79" s="678">
        <f t="shared" si="25"/>
        <v>0</v>
      </c>
      <c r="L79" s="678">
        <f t="shared" si="25"/>
        <v>0</v>
      </c>
      <c r="M79" s="678">
        <f t="shared" si="25"/>
        <v>0</v>
      </c>
      <c r="N79" s="678">
        <f t="shared" si="25"/>
        <v>0</v>
      </c>
      <c r="O79" s="678">
        <f t="shared" si="25"/>
        <v>0</v>
      </c>
      <c r="P79" s="678">
        <f t="shared" si="25"/>
        <v>0</v>
      </c>
      <c r="Q79" s="678">
        <f t="shared" si="25"/>
        <v>0</v>
      </c>
      <c r="R79" s="697">
        <f>SUM(F79:Q79)</f>
        <v>0</v>
      </c>
      <c r="S79" s="29"/>
    </row>
    <row r="80" spans="1:19" x14ac:dyDescent="0.2">
      <c r="A80" s="29"/>
      <c r="B80" s="29"/>
      <c r="C80" s="665" t="str">
        <f>C34</f>
        <v>Depreciation</v>
      </c>
      <c r="D80" s="637"/>
      <c r="E80" s="638"/>
      <c r="F80" s="689"/>
      <c r="G80" s="652"/>
      <c r="H80" s="652"/>
      <c r="I80" s="652"/>
      <c r="J80" s="652"/>
      <c r="K80" s="652"/>
      <c r="L80" s="667"/>
      <c r="M80" s="652"/>
      <c r="N80" s="652"/>
      <c r="O80" s="652"/>
      <c r="P80" s="652"/>
      <c r="Q80" s="667"/>
      <c r="R80" s="668">
        <f t="shared" si="23"/>
        <v>0</v>
      </c>
      <c r="S80" s="29"/>
    </row>
    <row r="81" spans="1:19" ht="13.5" thickBot="1" x14ac:dyDescent="0.25">
      <c r="A81" s="29"/>
      <c r="B81" s="29"/>
      <c r="C81" s="669" t="str">
        <f>C35</f>
        <v>Long Term Interest</v>
      </c>
      <c r="D81" s="639"/>
      <c r="E81" s="640"/>
      <c r="F81" s="694"/>
      <c r="G81" s="671"/>
      <c r="H81" s="671"/>
      <c r="I81" s="671"/>
      <c r="J81" s="671"/>
      <c r="K81" s="671"/>
      <c r="L81" s="672"/>
      <c r="M81" s="671"/>
      <c r="N81" s="671"/>
      <c r="O81" s="671"/>
      <c r="P81" s="671"/>
      <c r="Q81" s="672"/>
      <c r="R81" s="668">
        <f t="shared" si="23"/>
        <v>0</v>
      </c>
      <c r="S81" s="29"/>
    </row>
    <row r="82" spans="1:19" ht="13.5" thickBot="1" x14ac:dyDescent="0.25">
      <c r="A82" s="29"/>
      <c r="B82" s="29"/>
      <c r="C82" s="660"/>
      <c r="D82" s="698" t="str">
        <f>+C36</f>
        <v>TOTAL FIXED COSTS</v>
      </c>
      <c r="E82" s="636"/>
      <c r="F82" s="696">
        <f>F80+F81</f>
        <v>0</v>
      </c>
      <c r="G82" s="678">
        <f>G80+G81</f>
        <v>0</v>
      </c>
      <c r="H82" s="678">
        <f t="shared" ref="H82:Q82" si="26">H80+H81</f>
        <v>0</v>
      </c>
      <c r="I82" s="678">
        <f t="shared" si="26"/>
        <v>0</v>
      </c>
      <c r="J82" s="678">
        <f t="shared" si="26"/>
        <v>0</v>
      </c>
      <c r="K82" s="678">
        <f t="shared" si="26"/>
        <v>0</v>
      </c>
      <c r="L82" s="678">
        <f t="shared" si="26"/>
        <v>0</v>
      </c>
      <c r="M82" s="678">
        <f t="shared" si="26"/>
        <v>0</v>
      </c>
      <c r="N82" s="678">
        <f t="shared" si="26"/>
        <v>0</v>
      </c>
      <c r="O82" s="678">
        <f t="shared" si="26"/>
        <v>0</v>
      </c>
      <c r="P82" s="678">
        <f t="shared" si="26"/>
        <v>0</v>
      </c>
      <c r="Q82" s="678">
        <f t="shared" si="26"/>
        <v>0</v>
      </c>
      <c r="R82" s="697">
        <f>SUM(F82:Q82)</f>
        <v>0</v>
      </c>
      <c r="S82" s="29"/>
    </row>
    <row r="83" spans="1:19" ht="13.5" thickBot="1" x14ac:dyDescent="0.25">
      <c r="A83" s="29"/>
      <c r="B83" s="29"/>
      <c r="C83" s="674"/>
      <c r="D83" s="648" t="str">
        <f>D37</f>
        <v>TOTAL COSTS</v>
      </c>
      <c r="E83" s="636"/>
      <c r="F83" s="696">
        <f t="shared" ref="F83:R83" si="27">F79+F82</f>
        <v>0</v>
      </c>
      <c r="G83" s="678">
        <f t="shared" si="27"/>
        <v>0</v>
      </c>
      <c r="H83" s="678">
        <f t="shared" si="27"/>
        <v>0</v>
      </c>
      <c r="I83" s="678">
        <f t="shared" si="27"/>
        <v>0</v>
      </c>
      <c r="J83" s="678">
        <f t="shared" si="27"/>
        <v>0</v>
      </c>
      <c r="K83" s="678">
        <f t="shared" si="27"/>
        <v>0</v>
      </c>
      <c r="L83" s="699">
        <f t="shared" si="27"/>
        <v>0</v>
      </c>
      <c r="M83" s="678">
        <f t="shared" si="27"/>
        <v>0</v>
      </c>
      <c r="N83" s="678">
        <f t="shared" si="27"/>
        <v>0</v>
      </c>
      <c r="O83" s="678">
        <f t="shared" si="27"/>
        <v>0</v>
      </c>
      <c r="P83" s="678">
        <f t="shared" si="27"/>
        <v>0</v>
      </c>
      <c r="Q83" s="677">
        <f t="shared" si="27"/>
        <v>0</v>
      </c>
      <c r="R83" s="697">
        <f t="shared" si="27"/>
        <v>0</v>
      </c>
      <c r="S83" s="29"/>
    </row>
    <row r="84" spans="1:19" ht="13.5" thickBot="1" x14ac:dyDescent="0.25">
      <c r="A84" s="29"/>
      <c r="B84" s="29"/>
      <c r="C84" s="700"/>
      <c r="D84" s="701" t="str">
        <f>D38</f>
        <v>NET INCOME, Before Taxes</v>
      </c>
      <c r="E84" s="702"/>
      <c r="F84" s="703">
        <f t="shared" ref="F84:R84" si="28">F63-F83</f>
        <v>0</v>
      </c>
      <c r="G84" s="704">
        <f t="shared" si="28"/>
        <v>0</v>
      </c>
      <c r="H84" s="704">
        <f t="shared" si="28"/>
        <v>0</v>
      </c>
      <c r="I84" s="704">
        <f t="shared" si="28"/>
        <v>0</v>
      </c>
      <c r="J84" s="704">
        <f t="shared" si="28"/>
        <v>0</v>
      </c>
      <c r="K84" s="704">
        <f t="shared" si="28"/>
        <v>0</v>
      </c>
      <c r="L84" s="705">
        <f t="shared" si="28"/>
        <v>0</v>
      </c>
      <c r="M84" s="704">
        <f t="shared" si="28"/>
        <v>0</v>
      </c>
      <c r="N84" s="704">
        <f t="shared" si="28"/>
        <v>0</v>
      </c>
      <c r="O84" s="704">
        <f t="shared" si="28"/>
        <v>0</v>
      </c>
      <c r="P84" s="704">
        <f t="shared" si="28"/>
        <v>0</v>
      </c>
      <c r="Q84" s="706">
        <f t="shared" si="28"/>
        <v>0</v>
      </c>
      <c r="R84" s="697">
        <f t="shared" si="28"/>
        <v>0</v>
      </c>
      <c r="S84" s="29"/>
    </row>
    <row r="85" spans="1:19" ht="13.5" thickBot="1" x14ac:dyDescent="0.25">
      <c r="A85" s="29"/>
      <c r="B85" s="29"/>
      <c r="C85" s="674"/>
      <c r="D85" s="648" t="str">
        <f>D39</f>
        <v>NET CASH FLOW</v>
      </c>
      <c r="E85" s="636"/>
      <c r="F85" s="661" t="str">
        <f t="shared" ref="F85:R85" si="29">F56</f>
        <v>January</v>
      </c>
      <c r="G85" s="662" t="str">
        <f t="shared" si="29"/>
        <v>February</v>
      </c>
      <c r="H85" s="662" t="str">
        <f t="shared" si="29"/>
        <v>March</v>
      </c>
      <c r="I85" s="662" t="str">
        <f t="shared" si="29"/>
        <v>April</v>
      </c>
      <c r="J85" s="662" t="str">
        <f t="shared" si="29"/>
        <v>May</v>
      </c>
      <c r="K85" s="662" t="str">
        <f t="shared" si="29"/>
        <v>June</v>
      </c>
      <c r="L85" s="663" t="str">
        <f t="shared" si="29"/>
        <v>July</v>
      </c>
      <c r="M85" s="662" t="str">
        <f t="shared" si="29"/>
        <v>August</v>
      </c>
      <c r="N85" s="662" t="str">
        <f t="shared" si="29"/>
        <v>September</v>
      </c>
      <c r="O85" s="662" t="str">
        <f t="shared" si="29"/>
        <v>October</v>
      </c>
      <c r="P85" s="662" t="str">
        <f t="shared" si="29"/>
        <v>November</v>
      </c>
      <c r="Q85" s="663" t="str">
        <f t="shared" si="29"/>
        <v>December</v>
      </c>
      <c r="R85" s="664" t="str">
        <f t="shared" si="29"/>
        <v>Revenues</v>
      </c>
      <c r="S85" s="29"/>
    </row>
    <row r="86" spans="1:19" x14ac:dyDescent="0.2">
      <c r="A86" s="29"/>
      <c r="B86" s="29"/>
      <c r="C86" s="707" t="s">
        <v>117</v>
      </c>
      <c r="D86" s="708"/>
      <c r="E86" s="640"/>
      <c r="F86" s="709">
        <f>F84</f>
        <v>0</v>
      </c>
      <c r="G86" s="710">
        <f t="shared" ref="G86:Q86" si="30">G84</f>
        <v>0</v>
      </c>
      <c r="H86" s="710">
        <f t="shared" si="30"/>
        <v>0</v>
      </c>
      <c r="I86" s="710">
        <f t="shared" si="30"/>
        <v>0</v>
      </c>
      <c r="J86" s="710">
        <f t="shared" si="30"/>
        <v>0</v>
      </c>
      <c r="K86" s="710">
        <f t="shared" si="30"/>
        <v>0</v>
      </c>
      <c r="L86" s="711">
        <f t="shared" si="30"/>
        <v>0</v>
      </c>
      <c r="M86" s="712">
        <f t="shared" si="30"/>
        <v>0</v>
      </c>
      <c r="N86" s="710">
        <f t="shared" si="30"/>
        <v>0</v>
      </c>
      <c r="O86" s="710">
        <f t="shared" si="30"/>
        <v>0</v>
      </c>
      <c r="P86" s="710">
        <f t="shared" si="30"/>
        <v>0</v>
      </c>
      <c r="Q86" s="713">
        <f t="shared" si="30"/>
        <v>0</v>
      </c>
      <c r="R86" s="668">
        <f t="shared" ref="R86:R91" si="31">SUM(F86:Q86)</f>
        <v>0</v>
      </c>
      <c r="S86" s="29"/>
    </row>
    <row r="87" spans="1:19" x14ac:dyDescent="0.2">
      <c r="A87" s="29"/>
      <c r="B87" s="29"/>
      <c r="C87" s="665" t="str">
        <f>C41</f>
        <v>Plus Depreciation/Amortization</v>
      </c>
      <c r="D87" s="637"/>
      <c r="E87" s="638"/>
      <c r="F87" s="714">
        <f>F80</f>
        <v>0</v>
      </c>
      <c r="G87" s="649">
        <f>G81</f>
        <v>0</v>
      </c>
      <c r="H87" s="649">
        <f t="shared" ref="H87:Q87" si="32">H81</f>
        <v>0</v>
      </c>
      <c r="I87" s="649">
        <f t="shared" si="32"/>
        <v>0</v>
      </c>
      <c r="J87" s="649">
        <f t="shared" si="32"/>
        <v>0</v>
      </c>
      <c r="K87" s="649">
        <f t="shared" si="32"/>
        <v>0</v>
      </c>
      <c r="L87" s="651">
        <f t="shared" si="32"/>
        <v>0</v>
      </c>
      <c r="M87" s="649">
        <f t="shared" si="32"/>
        <v>0</v>
      </c>
      <c r="N87" s="649">
        <f t="shared" si="32"/>
        <v>0</v>
      </c>
      <c r="O87" s="649">
        <f t="shared" si="32"/>
        <v>0</v>
      </c>
      <c r="P87" s="649">
        <f t="shared" si="32"/>
        <v>0</v>
      </c>
      <c r="Q87" s="649">
        <f t="shared" si="32"/>
        <v>0</v>
      </c>
      <c r="R87" s="668">
        <f t="shared" si="31"/>
        <v>0</v>
      </c>
      <c r="S87" s="29"/>
    </row>
    <row r="88" spans="1:19" x14ac:dyDescent="0.2">
      <c r="A88" s="29"/>
      <c r="B88" s="29"/>
      <c r="C88" s="665" t="str">
        <f>C42</f>
        <v>Sheep Loan Advance</v>
      </c>
      <c r="D88" s="637"/>
      <c r="E88" s="638"/>
      <c r="F88" s="714">
        <v>0</v>
      </c>
      <c r="G88" s="715">
        <v>0</v>
      </c>
      <c r="H88" s="715">
        <v>0</v>
      </c>
      <c r="I88" s="715">
        <v>0</v>
      </c>
      <c r="J88" s="715">
        <v>0</v>
      </c>
      <c r="K88" s="715">
        <v>0</v>
      </c>
      <c r="L88" s="716">
        <v>0</v>
      </c>
      <c r="M88" s="715">
        <v>0</v>
      </c>
      <c r="N88" s="715">
        <v>0</v>
      </c>
      <c r="O88" s="715">
        <v>0</v>
      </c>
      <c r="P88" s="715">
        <v>0</v>
      </c>
      <c r="Q88" s="716">
        <v>0</v>
      </c>
      <c r="R88" s="668">
        <f t="shared" si="31"/>
        <v>0</v>
      </c>
      <c r="S88" s="29"/>
    </row>
    <row r="89" spans="1:19" ht="13.5" thickBot="1" x14ac:dyDescent="0.25">
      <c r="A89" s="29"/>
      <c r="B89" s="29"/>
      <c r="C89" s="690" t="str">
        <f>C43</f>
        <v>Less Principal Payments</v>
      </c>
      <c r="D89" s="641"/>
      <c r="E89" s="642"/>
      <c r="F89" s="717">
        <v>0</v>
      </c>
      <c r="G89" s="718">
        <v>0</v>
      </c>
      <c r="H89" s="718">
        <v>0</v>
      </c>
      <c r="I89" s="718">
        <v>0</v>
      </c>
      <c r="J89" s="718">
        <v>0</v>
      </c>
      <c r="K89" s="718">
        <v>0</v>
      </c>
      <c r="L89" s="719">
        <v>0</v>
      </c>
      <c r="M89" s="718">
        <v>0</v>
      </c>
      <c r="N89" s="718">
        <v>0</v>
      </c>
      <c r="O89" s="718">
        <v>0</v>
      </c>
      <c r="P89" s="718">
        <v>0</v>
      </c>
      <c r="Q89" s="719">
        <v>0</v>
      </c>
      <c r="R89" s="668">
        <f t="shared" si="31"/>
        <v>0</v>
      </c>
      <c r="S89" s="29"/>
    </row>
    <row r="90" spans="1:19" ht="13.5" thickBot="1" x14ac:dyDescent="0.25">
      <c r="A90" s="29"/>
      <c r="B90" s="29"/>
      <c r="C90" s="720" t="str">
        <f>C44</f>
        <v>Net Cash Flow, Before Taxes</v>
      </c>
      <c r="D90" s="721"/>
      <c r="E90" s="702"/>
      <c r="F90" s="703">
        <f t="shared" ref="F90:Q90" si="33">F84+F87-F88-F89</f>
        <v>0</v>
      </c>
      <c r="G90" s="704">
        <f t="shared" si="33"/>
        <v>0</v>
      </c>
      <c r="H90" s="704">
        <f t="shared" si="33"/>
        <v>0</v>
      </c>
      <c r="I90" s="704">
        <f t="shared" si="33"/>
        <v>0</v>
      </c>
      <c r="J90" s="704">
        <f t="shared" si="33"/>
        <v>0</v>
      </c>
      <c r="K90" s="704">
        <f t="shared" si="33"/>
        <v>0</v>
      </c>
      <c r="L90" s="706">
        <f t="shared" si="33"/>
        <v>0</v>
      </c>
      <c r="M90" s="705">
        <f t="shared" si="33"/>
        <v>0</v>
      </c>
      <c r="N90" s="704">
        <f t="shared" si="33"/>
        <v>0</v>
      </c>
      <c r="O90" s="704">
        <f t="shared" si="33"/>
        <v>0</v>
      </c>
      <c r="P90" s="704">
        <f t="shared" si="33"/>
        <v>0</v>
      </c>
      <c r="Q90" s="722">
        <f t="shared" si="33"/>
        <v>0</v>
      </c>
      <c r="R90" s="668">
        <f t="shared" si="31"/>
        <v>0</v>
      </c>
      <c r="S90" s="29"/>
    </row>
    <row r="91" spans="1:19" ht="13.5" thickBot="1" x14ac:dyDescent="0.25">
      <c r="A91" s="29"/>
      <c r="B91" s="29"/>
      <c r="C91" s="720" t="str">
        <f>C45</f>
        <v>Operating Account Balance</v>
      </c>
      <c r="D91" s="721"/>
      <c r="E91" s="702"/>
      <c r="F91" s="703">
        <f>F92+F90</f>
        <v>0</v>
      </c>
      <c r="G91" s="704">
        <f t="shared" ref="G91:Q91" si="34">F91+G90</f>
        <v>0</v>
      </c>
      <c r="H91" s="704">
        <f t="shared" si="34"/>
        <v>0</v>
      </c>
      <c r="I91" s="704">
        <f t="shared" si="34"/>
        <v>0</v>
      </c>
      <c r="J91" s="704">
        <f t="shared" si="34"/>
        <v>0</v>
      </c>
      <c r="K91" s="704">
        <f t="shared" si="34"/>
        <v>0</v>
      </c>
      <c r="L91" s="706">
        <f t="shared" si="34"/>
        <v>0</v>
      </c>
      <c r="M91" s="705">
        <f t="shared" si="34"/>
        <v>0</v>
      </c>
      <c r="N91" s="704">
        <f t="shared" si="34"/>
        <v>0</v>
      </c>
      <c r="O91" s="704">
        <f t="shared" si="34"/>
        <v>0</v>
      </c>
      <c r="P91" s="704">
        <f t="shared" si="34"/>
        <v>0</v>
      </c>
      <c r="Q91" s="722">
        <f t="shared" si="34"/>
        <v>0</v>
      </c>
      <c r="R91" s="723">
        <f t="shared" si="31"/>
        <v>0</v>
      </c>
      <c r="S91" s="29"/>
    </row>
    <row r="92" spans="1:19" ht="13.5" thickBot="1" x14ac:dyDescent="0.25">
      <c r="A92" s="29"/>
      <c r="B92" s="29"/>
      <c r="C92" s="660" t="s">
        <v>506</v>
      </c>
      <c r="D92" s="635"/>
      <c r="E92" s="635"/>
      <c r="F92" s="724">
        <v>0</v>
      </c>
      <c r="G92" s="639"/>
      <c r="H92" s="639"/>
      <c r="I92" s="639"/>
      <c r="J92" s="639"/>
      <c r="K92" s="639"/>
      <c r="L92" s="639"/>
      <c r="M92" s="639"/>
      <c r="N92" s="639"/>
      <c r="O92" s="639"/>
      <c r="P92" s="639"/>
      <c r="Q92" s="639"/>
      <c r="R92" s="639"/>
      <c r="S92" s="29"/>
    </row>
    <row r="93" spans="1:19" x14ac:dyDescent="0.2">
      <c r="A93" s="29"/>
      <c r="B93" s="29"/>
      <c r="C93" s="639"/>
      <c r="D93" s="639"/>
      <c r="E93" s="639"/>
      <c r="F93" s="725"/>
      <c r="G93" s="639"/>
      <c r="H93" s="639"/>
      <c r="I93" s="639"/>
      <c r="J93" s="639"/>
      <c r="K93" s="639"/>
      <c r="L93" s="639"/>
      <c r="M93" s="639"/>
      <c r="N93" s="639"/>
      <c r="O93" s="639"/>
      <c r="P93" s="639"/>
      <c r="Q93" s="639"/>
      <c r="R93" s="639"/>
      <c r="S93" s="29"/>
    </row>
    <row r="94" spans="1:19" x14ac:dyDescent="0.2">
      <c r="B94" s="29"/>
      <c r="C94" s="639"/>
      <c r="D94" s="639"/>
      <c r="E94" s="639"/>
      <c r="F94" s="726"/>
      <c r="G94" s="726"/>
      <c r="H94" s="726"/>
      <c r="I94" s="726"/>
      <c r="J94" s="726"/>
      <c r="K94" s="726"/>
      <c r="L94" s="726"/>
      <c r="M94" s="726"/>
      <c r="N94" s="726"/>
      <c r="O94" s="726"/>
      <c r="P94" s="726"/>
      <c r="Q94" s="726"/>
      <c r="R94" s="726"/>
      <c r="S94" s="29"/>
    </row>
    <row r="95" spans="1:19" x14ac:dyDescent="0.2">
      <c r="B95" s="29"/>
      <c r="C95" s="645"/>
      <c r="D95" s="645"/>
      <c r="E95" s="645"/>
      <c r="F95" s="645"/>
      <c r="G95" s="645"/>
      <c r="H95" s="645"/>
      <c r="I95" s="645"/>
      <c r="J95" s="645"/>
      <c r="K95" s="645"/>
      <c r="L95" s="645"/>
      <c r="M95" s="645"/>
      <c r="N95" s="645"/>
      <c r="O95" s="645"/>
      <c r="P95" s="645"/>
      <c r="Q95" s="645"/>
      <c r="R95" s="645"/>
      <c r="S95" s="29"/>
    </row>
    <row r="96" spans="1:19" x14ac:dyDescent="0.2">
      <c r="B96" s="29"/>
      <c r="R96" s="645"/>
      <c r="S96" s="29"/>
    </row>
    <row r="97" spans="2:19" x14ac:dyDescent="0.2">
      <c r="B97" s="166"/>
      <c r="R97" s="645"/>
      <c r="S97" s="29"/>
    </row>
    <row r="98" spans="2:19" x14ac:dyDescent="0.2">
      <c r="B98" s="29"/>
      <c r="G98" s="623" t="s">
        <v>943</v>
      </c>
      <c r="O98" s="623" t="s">
        <v>941</v>
      </c>
      <c r="Q98" s="623" t="s">
        <v>942</v>
      </c>
      <c r="R98" s="735"/>
      <c r="S98" s="29"/>
    </row>
    <row r="99" spans="2:19" x14ac:dyDescent="0.2">
      <c r="B99" s="29"/>
      <c r="H99" s="623" t="s">
        <v>944</v>
      </c>
      <c r="R99" s="645"/>
      <c r="S99" s="29"/>
    </row>
    <row r="100" spans="2:19" x14ac:dyDescent="0.2">
      <c r="B100" s="29"/>
      <c r="S100" s="29"/>
    </row>
    <row r="101" spans="2:19" ht="13.5" thickBot="1" x14ac:dyDescent="0.25">
      <c r="B101" s="639"/>
      <c r="C101" s="639"/>
      <c r="D101" s="639"/>
      <c r="E101" s="774" t="s">
        <v>832</v>
      </c>
      <c r="F101" s="708">
        <v>31</v>
      </c>
      <c r="G101" s="708">
        <v>28</v>
      </c>
      <c r="H101" s="708">
        <v>31</v>
      </c>
      <c r="I101" s="708">
        <v>30</v>
      </c>
      <c r="J101" s="708">
        <v>31</v>
      </c>
      <c r="K101" s="708">
        <v>30</v>
      </c>
      <c r="L101" s="708">
        <v>31</v>
      </c>
      <c r="M101" s="708">
        <v>31</v>
      </c>
      <c r="N101" s="708">
        <v>30</v>
      </c>
      <c r="O101" s="708">
        <v>31</v>
      </c>
      <c r="P101" s="708">
        <v>30</v>
      </c>
      <c r="Q101" s="708">
        <v>31</v>
      </c>
      <c r="R101" s="41">
        <f>SUM(F101:Q101)</f>
        <v>365</v>
      </c>
      <c r="S101" s="29"/>
    </row>
    <row r="102" spans="2:19" ht="13.5" thickBot="1" x14ac:dyDescent="0.25">
      <c r="B102" s="639"/>
      <c r="C102" s="639"/>
      <c r="D102" s="737" t="s">
        <v>307</v>
      </c>
      <c r="E102" s="738"/>
      <c r="F102" s="739" t="str">
        <f t="shared" ref="F102:Q102" si="35">F9</f>
        <v>January</v>
      </c>
      <c r="G102" s="739" t="str">
        <f t="shared" si="35"/>
        <v>February</v>
      </c>
      <c r="H102" s="739" t="str">
        <f t="shared" si="35"/>
        <v>March</v>
      </c>
      <c r="I102" s="739" t="str">
        <f t="shared" si="35"/>
        <v>April</v>
      </c>
      <c r="J102" s="739" t="str">
        <f t="shared" si="35"/>
        <v>May</v>
      </c>
      <c r="K102" s="739" t="str">
        <f t="shared" si="35"/>
        <v>June</v>
      </c>
      <c r="L102" s="739" t="str">
        <f t="shared" si="35"/>
        <v>July</v>
      </c>
      <c r="M102" s="739" t="str">
        <f t="shared" si="35"/>
        <v>August</v>
      </c>
      <c r="N102" s="739" t="str">
        <f t="shared" si="35"/>
        <v>September</v>
      </c>
      <c r="O102" s="739" t="str">
        <f t="shared" si="35"/>
        <v>October</v>
      </c>
      <c r="P102" s="739" t="str">
        <f t="shared" si="35"/>
        <v>November</v>
      </c>
      <c r="Q102" s="740" t="str">
        <f t="shared" si="35"/>
        <v>December</v>
      </c>
      <c r="R102" s="29"/>
      <c r="S102" s="29"/>
    </row>
    <row r="103" spans="2:19" x14ac:dyDescent="0.2">
      <c r="B103" s="639"/>
      <c r="C103" s="639"/>
      <c r="D103" s="741" t="s">
        <v>310</v>
      </c>
      <c r="E103" s="742"/>
      <c r="F103" s="743"/>
      <c r="G103" s="743"/>
      <c r="H103" s="743"/>
      <c r="I103" s="743">
        <f>IF(Input!$E$232&gt;I101,19,Input!$E$232-I101)</f>
        <v>19</v>
      </c>
      <c r="J103" s="743">
        <f>IF(Input!$E$232&gt;(I103+J101),J101,Input!$E$232-I103)</f>
        <v>31</v>
      </c>
      <c r="K103" s="743"/>
      <c r="L103" s="743"/>
      <c r="M103" s="743"/>
      <c r="N103" s="743"/>
      <c r="O103" s="743"/>
      <c r="P103" s="743"/>
      <c r="Q103" s="744"/>
      <c r="R103" s="29"/>
      <c r="S103" s="29"/>
    </row>
    <row r="104" spans="2:19" x14ac:dyDescent="0.2">
      <c r="B104" s="639"/>
      <c r="C104" s="639"/>
      <c r="D104" s="665" t="s">
        <v>311</v>
      </c>
      <c r="E104" s="775"/>
      <c r="F104" s="773"/>
      <c r="G104" s="773"/>
      <c r="H104" s="773"/>
      <c r="I104" s="773"/>
      <c r="J104" s="773">
        <f>IF(Input!$E$252&gt;(J101),J101-J103,(Input!$E$252-I104))</f>
        <v>0</v>
      </c>
      <c r="K104" s="773">
        <f>IF(Input!$E$252&gt;(J104+K101),K101-K103,(Input!$E$252-J104))</f>
        <v>30</v>
      </c>
      <c r="L104" s="773"/>
      <c r="M104" s="773"/>
      <c r="N104" s="773"/>
      <c r="O104" s="773"/>
      <c r="P104" s="773"/>
      <c r="Q104" s="745"/>
      <c r="R104" s="29"/>
      <c r="S104" s="29"/>
    </row>
    <row r="105" spans="2:19" x14ac:dyDescent="0.2">
      <c r="B105" s="634" t="s">
        <v>264</v>
      </c>
      <c r="C105" s="639"/>
      <c r="D105" s="665" t="s">
        <v>312</v>
      </c>
      <c r="E105" s="775"/>
      <c r="F105" s="773"/>
      <c r="G105" s="773"/>
      <c r="H105" s="773"/>
      <c r="I105" s="773"/>
      <c r="J105" s="773"/>
      <c r="K105" s="773">
        <f>IF(Input!$E$272&gt;(K101),K101-K104,Input!$E$272-(J105))</f>
        <v>0</v>
      </c>
      <c r="L105" s="773">
        <f>IF(Input!$E$272&gt;(J105+K105+L101),L101-L104,Input!$E$272-(J105+K105))</f>
        <v>31</v>
      </c>
      <c r="M105" s="773">
        <f>IF(Input!$E$272&gt;(J105+K105+L105+M101),M101,Input!$E$272-(J105+K105+L105))</f>
        <v>31</v>
      </c>
      <c r="N105" s="773">
        <f>IF(Input!$E$272&gt;(K105+L105+M105+N101),N101,Input!$E$272-(K105+L105+M105))</f>
        <v>8</v>
      </c>
      <c r="O105" s="773"/>
      <c r="P105" s="773"/>
      <c r="Q105" s="745"/>
      <c r="R105" s="29"/>
      <c r="S105" s="29"/>
    </row>
    <row r="106" spans="2:19" ht="13.5" thickBot="1" x14ac:dyDescent="0.25">
      <c r="B106" s="634" t="s">
        <v>836</v>
      </c>
      <c r="C106" s="639"/>
      <c r="D106" s="746" t="s">
        <v>473</v>
      </c>
      <c r="E106" s="776"/>
      <c r="F106" s="747"/>
      <c r="G106" s="747"/>
      <c r="H106" s="747"/>
      <c r="I106" s="747"/>
      <c r="J106" s="747"/>
      <c r="K106" s="747"/>
      <c r="L106" s="747"/>
      <c r="M106" s="747"/>
      <c r="N106" s="747"/>
      <c r="O106" s="747"/>
      <c r="P106" s="747"/>
      <c r="Q106" s="748"/>
      <c r="R106" s="29"/>
      <c r="S106" s="29"/>
    </row>
    <row r="107" spans="2:19" x14ac:dyDescent="0.2">
      <c r="B107" s="749" t="s">
        <v>837</v>
      </c>
      <c r="C107" s="750"/>
      <c r="D107" s="741" t="s">
        <v>929</v>
      </c>
      <c r="E107" s="742"/>
      <c r="F107" s="751">
        <v>31</v>
      </c>
      <c r="G107" s="751">
        <f>IF(Input!$E$134&gt;(O107+P107+Q107+F107),Input!$E$134-(F107+O107+P107+Q107),0)</f>
        <v>0</v>
      </c>
      <c r="H107" s="751"/>
      <c r="I107" s="752"/>
      <c r="J107" s="751"/>
      <c r="K107" s="751"/>
      <c r="L107" s="751"/>
      <c r="M107" s="751"/>
      <c r="N107" s="751"/>
      <c r="O107" s="751">
        <v>20</v>
      </c>
      <c r="P107" s="751">
        <v>30</v>
      </c>
      <c r="Q107" s="753">
        <v>31</v>
      </c>
      <c r="R107" s="29"/>
      <c r="S107" s="29"/>
    </row>
    <row r="108" spans="2:19" x14ac:dyDescent="0.2">
      <c r="B108" s="639"/>
      <c r="C108" s="639"/>
      <c r="D108" s="665" t="s">
        <v>350</v>
      </c>
      <c r="E108" s="775"/>
      <c r="F108" s="754"/>
      <c r="G108" s="754">
        <f>IF(Input!$E$152&gt;G101,G101,Input!$E$152-G101)</f>
        <v>28</v>
      </c>
      <c r="H108" s="754">
        <f>IF(Input!$E$152&gt;(G108+H101),H101,Input!$E$152-G108)</f>
        <v>31</v>
      </c>
      <c r="I108" s="754">
        <f>IF(Input!$E$152&gt;(G108+H108+I101),I101,Input!$E$152-(G108+H108))</f>
        <v>25</v>
      </c>
      <c r="J108" s="754">
        <f>IF(Input!$E$152&gt;(G108+H108+I108+J101),J101,Input!$E$152-(G108+H108+I108))</f>
        <v>0</v>
      </c>
      <c r="K108" s="754"/>
      <c r="L108" s="754"/>
      <c r="M108" s="754"/>
      <c r="N108" s="754"/>
      <c r="O108" s="754"/>
      <c r="P108" s="754"/>
      <c r="Q108" s="755"/>
      <c r="R108" s="29"/>
      <c r="S108" s="29"/>
    </row>
    <row r="109" spans="2:19" x14ac:dyDescent="0.2">
      <c r="B109" s="639"/>
      <c r="C109" s="639"/>
      <c r="D109" s="756" t="s">
        <v>351</v>
      </c>
      <c r="E109" s="656"/>
      <c r="F109" s="754"/>
      <c r="G109" s="754"/>
      <c r="H109" s="754"/>
      <c r="I109" s="754">
        <f>IF(Input!$E$170&gt;I101,I101-I108,0)</f>
        <v>5</v>
      </c>
      <c r="J109" s="754">
        <f>IF(Input!$E$170&gt;J101,J101,0)</f>
        <v>31</v>
      </c>
      <c r="K109" s="754">
        <f>IF(Input!$E$170&gt;(I109+J109),Input!$E$170-(I109+J109),0)</f>
        <v>1</v>
      </c>
      <c r="L109" s="754"/>
      <c r="M109" s="754"/>
      <c r="N109" s="754"/>
      <c r="O109" s="754"/>
      <c r="P109" s="754"/>
      <c r="Q109" s="755"/>
      <c r="R109" s="29"/>
      <c r="S109" s="29"/>
    </row>
    <row r="110" spans="2:19" ht="13.5" thickBot="1" x14ac:dyDescent="0.25">
      <c r="B110" s="639"/>
      <c r="C110" s="639"/>
      <c r="D110" s="757" t="s">
        <v>471</v>
      </c>
      <c r="E110" s="758"/>
      <c r="F110" s="759"/>
      <c r="G110" s="759"/>
      <c r="H110" s="759"/>
      <c r="I110" s="759"/>
      <c r="J110" s="759"/>
      <c r="K110" s="759">
        <f>IF(Input!$E$191&gt;(K101),K101-K109,Input!$E$191)</f>
        <v>29</v>
      </c>
      <c r="L110" s="759">
        <f>IF(Input!$E$191&gt;(K110+L101),L101-L109,(Input!$E$191-K110))</f>
        <v>31</v>
      </c>
      <c r="M110" s="759">
        <f>IF(Input!$E$191&gt;(K110+L110+M101),M101-M109,(Input!$E$191-K110-L110))</f>
        <v>31</v>
      </c>
      <c r="N110" s="759">
        <f>IF(Input!$E$191&gt;(K110+L110+M110+N101),N101-N109,(Input!$E$191-K110-L110-M110))</f>
        <v>30</v>
      </c>
      <c r="O110" s="759">
        <f>IF(Input!$E$191&gt;(K110+L110+M110+N110+O101),O101-O109,(Input!$E$191-K110-L110-M110-N110))</f>
        <v>11</v>
      </c>
      <c r="P110" s="759"/>
      <c r="Q110" s="760"/>
      <c r="R110" s="29"/>
      <c r="S110" s="29"/>
    </row>
    <row r="111" spans="2:19" x14ac:dyDescent="0.2">
      <c r="B111" s="639"/>
      <c r="C111" s="639"/>
      <c r="D111" s="683" t="s">
        <v>308</v>
      </c>
      <c r="E111" s="761"/>
      <c r="F111" s="772">
        <f>IF(Input!$E$202&gt;(O111+P111+Q111+F101),F101,0)</f>
        <v>31</v>
      </c>
      <c r="G111" s="772">
        <f>IF(Input!$E$202&gt;(O111+P111+Q111+F101+G101),G101,0)</f>
        <v>28</v>
      </c>
      <c r="H111" s="772">
        <f>IF(Input!$E$202&gt;(O111+P111+Q111+F101+G101+H101),H101,0)</f>
        <v>31</v>
      </c>
      <c r="I111" s="772">
        <f>IF(Input!$E$202&gt;(O111+P111+Q111+F111+G111+H111),I101,0)</f>
        <v>30</v>
      </c>
      <c r="J111" s="762">
        <f>IF(Input!$E$202&gt;(O111+P111+Q111+F111+G111+H111+I111),J101,Input!$E$202-(O111+P111+Q111+F111+G111+H111+I111))</f>
        <v>31</v>
      </c>
      <c r="K111" s="762"/>
      <c r="L111" s="762"/>
      <c r="M111" s="762"/>
      <c r="N111" s="762"/>
      <c r="O111" s="772">
        <v>20</v>
      </c>
      <c r="P111" s="772">
        <f>IF(Input!$E$202&gt;(O111+P101),P101,0)</f>
        <v>30</v>
      </c>
      <c r="Q111" s="772">
        <f>IF(Input!$E$202&gt;(O111+P111+Q101),Q101,0)</f>
        <v>31</v>
      </c>
      <c r="R111" s="29"/>
      <c r="S111" s="29"/>
    </row>
    <row r="112" spans="2:19" ht="13.5" thickBot="1" x14ac:dyDescent="0.25">
      <c r="B112" s="639"/>
      <c r="C112" s="639"/>
      <c r="D112" s="757" t="s">
        <v>472</v>
      </c>
      <c r="E112" s="758"/>
      <c r="F112" s="763">
        <v>0</v>
      </c>
      <c r="G112" s="763">
        <v>0</v>
      </c>
      <c r="H112" s="763">
        <v>0</v>
      </c>
      <c r="I112" s="763">
        <v>0</v>
      </c>
      <c r="J112" s="777">
        <v>0</v>
      </c>
      <c r="K112" s="777">
        <f>IF(Input!$E$221&gt;K101,K101-K111,Input!$E$221-J112)</f>
        <v>30</v>
      </c>
      <c r="L112" s="777">
        <f>IF(Input!$E$221&gt;(K112+L101),L101-L111,Input!$E$221-K112)</f>
        <v>31</v>
      </c>
      <c r="M112" s="777">
        <f>IF(Input!$E$221&gt;(K112+L112+M101),M101-M111,Input!$E$221-K112-L112)</f>
        <v>31</v>
      </c>
      <c r="N112" s="777">
        <f>IF(Input!$E$221&gt;(K112+L112+M112+N101),N101-N111,Input!$E$221-K112-L112-M112)</f>
        <v>30</v>
      </c>
      <c r="O112" s="777">
        <f>IF(Input!$E$221&gt;(K112+L112+M112+N112+O101),O101-O111,Input!$E$221-K112-L112-M112-N112)</f>
        <v>11</v>
      </c>
      <c r="P112" s="764">
        <v>0</v>
      </c>
      <c r="Q112" s="765">
        <v>0</v>
      </c>
      <c r="R112" s="29"/>
      <c r="S112" s="29"/>
    </row>
    <row r="113" spans="2:21" ht="13.5" thickBot="1" x14ac:dyDescent="0.25">
      <c r="B113" s="639"/>
      <c r="C113" s="639"/>
      <c r="D113" s="639"/>
      <c r="E113" s="639"/>
      <c r="F113" s="639"/>
      <c r="G113" s="639"/>
      <c r="H113" s="639"/>
      <c r="I113" s="639"/>
      <c r="J113" s="639"/>
      <c r="K113" s="639"/>
      <c r="L113" s="639"/>
      <c r="M113" s="639"/>
      <c r="N113" s="639"/>
      <c r="O113" s="639"/>
      <c r="P113" s="639"/>
      <c r="Q113" s="639"/>
      <c r="R113" s="29"/>
      <c r="S113" s="29"/>
    </row>
    <row r="114" spans="2:21" x14ac:dyDescent="0.2">
      <c r="B114" s="639"/>
      <c r="C114" s="639"/>
      <c r="D114" s="1053" t="s">
        <v>309</v>
      </c>
      <c r="E114" s="1054"/>
      <c r="F114" s="1055" t="str">
        <f t="shared" ref="F114:Q114" si="36">F9</f>
        <v>January</v>
      </c>
      <c r="G114" s="1055" t="str">
        <f t="shared" si="36"/>
        <v>February</v>
      </c>
      <c r="H114" s="1055" t="str">
        <f t="shared" si="36"/>
        <v>March</v>
      </c>
      <c r="I114" s="1055" t="str">
        <f t="shared" si="36"/>
        <v>April</v>
      </c>
      <c r="J114" s="1055" t="str">
        <f t="shared" si="36"/>
        <v>May</v>
      </c>
      <c r="K114" s="1055" t="str">
        <f t="shared" si="36"/>
        <v>June</v>
      </c>
      <c r="L114" s="1055" t="str">
        <f t="shared" si="36"/>
        <v>July</v>
      </c>
      <c r="M114" s="1055" t="str">
        <f t="shared" si="36"/>
        <v>August</v>
      </c>
      <c r="N114" s="1055" t="str">
        <f t="shared" si="36"/>
        <v>September</v>
      </c>
      <c r="O114" s="1055" t="str">
        <f t="shared" si="36"/>
        <v>October</v>
      </c>
      <c r="P114" s="1055" t="str">
        <f t="shared" si="36"/>
        <v>November</v>
      </c>
      <c r="Q114" s="1056" t="str">
        <f t="shared" si="36"/>
        <v>December</v>
      </c>
      <c r="R114" s="401" t="s">
        <v>187</v>
      </c>
    </row>
    <row r="115" spans="2:21" x14ac:dyDescent="0.2">
      <c r="B115" s="639"/>
      <c r="C115" s="639"/>
      <c r="D115" s="1057" t="str">
        <f>D103</f>
        <v>Lambs - Creep</v>
      </c>
      <c r="E115" s="1058"/>
      <c r="F115" s="1059">
        <f>IF(F103&gt;0,F103*(Input!$E$233*Input!$E$248),0)</f>
        <v>0</v>
      </c>
      <c r="G115" s="1059">
        <f>IF(G103&gt;0,G103*(Input!$E$233*Input!$E$248),0)</f>
        <v>0</v>
      </c>
      <c r="H115" s="1059">
        <f>IF(H103&gt;0,H103*(Input!$E$233*Input!$E$248),0)</f>
        <v>0</v>
      </c>
      <c r="I115" s="1059">
        <f>IF(I103&gt;0,I103*(Input!$E$233*Input!$E$248),0)</f>
        <v>4964.1208008636413</v>
      </c>
      <c r="J115" s="1059">
        <f>IF(J103&gt;0,J103*(Input!$E$233*Input!$E$248),0)</f>
        <v>8099.3549908827827</v>
      </c>
      <c r="K115" s="1059">
        <f>IF(K103&gt;0,K103*(Input!$E$233*Input!$E$248),0)</f>
        <v>0</v>
      </c>
      <c r="L115" s="1059">
        <f>IF(L103&gt;0,L103*(Input!$E$233*Input!$E$248),0)</f>
        <v>0</v>
      </c>
      <c r="M115" s="1059">
        <f>IF(M103&gt;0,M103*(Input!$E$233*Input!$E$248),0)</f>
        <v>0</v>
      </c>
      <c r="N115" s="1059">
        <f>IF(N103&gt;0,N103*(Input!$E$233*Input!$E$248),0)</f>
        <v>0</v>
      </c>
      <c r="O115" s="1059">
        <f>IF(O103&gt;0,O103*(Input!$E$233*Input!$E$248),0)</f>
        <v>0</v>
      </c>
      <c r="P115" s="1059">
        <f>IF(P103&gt;0,P103*(Input!$E$233*Input!$E$248),0)</f>
        <v>0</v>
      </c>
      <c r="Q115" s="1060">
        <f>IF(Q103&gt;0,Q103*(Input!$E$233*Input!$E$248),0)</f>
        <v>0</v>
      </c>
      <c r="R115" s="1061">
        <f t="shared" ref="R115:R122" si="37">SUM(F115:Q115)</f>
        <v>13063.475791746423</v>
      </c>
    </row>
    <row r="116" spans="2:21" x14ac:dyDescent="0.2">
      <c r="B116" s="639"/>
      <c r="C116" s="639"/>
      <c r="D116" s="1057" t="str">
        <f>D104</f>
        <v>Lambs - Weaning</v>
      </c>
      <c r="E116" s="1058"/>
      <c r="F116" s="1059">
        <f>IF(F104&gt;0,F104*(Input!$E$253*Input!$E$268),0)</f>
        <v>0</v>
      </c>
      <c r="G116" s="1059">
        <f>IF(G104&gt;0,G104*(Input!$E$253*Input!$E$268),0)</f>
        <v>0</v>
      </c>
      <c r="H116" s="1059">
        <f>IF(H104&gt;0,H104*(Input!$E$253*Input!$E$268),0)</f>
        <v>0</v>
      </c>
      <c r="I116" s="1059">
        <f>IF(I104&gt;0,I104*(Input!$E$253*Input!$E$268),0)</f>
        <v>0</v>
      </c>
      <c r="J116" s="1059">
        <f>IF(J104&gt;0,J104*(Input!$E$253*Input!$E$268),0)</f>
        <v>0</v>
      </c>
      <c r="K116" s="1059">
        <f>IF(K104&gt;0,K104*(Input!$E$253*Input!$E$268),0)</f>
        <v>4363.46218395914</v>
      </c>
      <c r="L116" s="1059">
        <f>IF(L104&gt;0,L104*(Input!$E$253*Input!$E$268),0)</f>
        <v>0</v>
      </c>
      <c r="M116" s="1059">
        <f>IF(M104&gt;0,M104*(Input!$E$253*Input!$E$268),0)</f>
        <v>0</v>
      </c>
      <c r="N116" s="1059">
        <f>IF(N104&gt;0,N104*(Input!$E$253*Input!$E$268),0)</f>
        <v>0</v>
      </c>
      <c r="O116" s="1059">
        <f>IF(O104&gt;0,O104*(Input!$E$253*Input!$E$268),0)</f>
        <v>0</v>
      </c>
      <c r="P116" s="1059">
        <f>IF(P104&gt;0,P104*(Input!$E$253*Input!$E$268),0)</f>
        <v>0</v>
      </c>
      <c r="Q116" s="1060">
        <f>IF(Q104&gt;0,Q104*(Input!$E$253*Input!$E$268),0)</f>
        <v>0</v>
      </c>
      <c r="R116" s="1062">
        <f t="shared" si="37"/>
        <v>4363.46218395914</v>
      </c>
    </row>
    <row r="117" spans="2:21" x14ac:dyDescent="0.2">
      <c r="B117" s="639"/>
      <c r="C117" s="639"/>
      <c r="D117" s="1057" t="str">
        <f>D105</f>
        <v>Lambs - Feeder</v>
      </c>
      <c r="E117" s="1058"/>
      <c r="F117" s="1059">
        <f>IF(F105&gt;0,F105*(Input!$E$273*Input!$E$288),0)</f>
        <v>0</v>
      </c>
      <c r="G117" s="1059">
        <f>IF(G105&gt;0,G105*(Input!$E$273*Input!$E$288),0)</f>
        <v>0</v>
      </c>
      <c r="H117" s="1059">
        <f>IF(H105&gt;0,H105*(Input!$E$273*Input!$E$288),0)</f>
        <v>0</v>
      </c>
      <c r="I117" s="1059">
        <f>IF(I105&gt;0,I105*(Input!$E$273*Input!$E$288),0)</f>
        <v>0</v>
      </c>
      <c r="J117" s="1059">
        <f>IF(J105&gt;0,J105*(Input!$E$273*Input!$E$288),0)</f>
        <v>0</v>
      </c>
      <c r="K117" s="1059">
        <f>IF(K105&gt;0,K105*(Input!$E$273*Input!$E$288),0)</f>
        <v>0</v>
      </c>
      <c r="L117" s="1059">
        <f>IF(Input!$E$273&gt;0,Input!$E$273*Input!$E$288*L105,Input!$E$24*Input!$E$288*L105)</f>
        <v>7728.0670591757307</v>
      </c>
      <c r="M117" s="1059">
        <f>IF(Input!$E$273&gt;0,Input!$E$273*Input!$E$288*M105,Input!$E$24*Input!$E$288*M105)</f>
        <v>7728.0670591757307</v>
      </c>
      <c r="N117" s="1059">
        <f>IF(Input!$E$273&gt;0,Input!$E$273*Input!$E$288*N105,Input!$E$24*Input!$E$288*N105)</f>
        <v>1994.3398862388983</v>
      </c>
      <c r="O117" s="1059">
        <f>IF(Input!$E$273&gt;0,Input!$E$273*Input!$E$288*O105,Input!$E$24*Input!$E$288*O105)</f>
        <v>0</v>
      </c>
      <c r="P117" s="1059">
        <f>IF(P105&gt;0,P105*(Input!$E$273*Input!$E$288),0)</f>
        <v>0</v>
      </c>
      <c r="Q117" s="1060">
        <f>IF(Q105&gt;0,Q105*(Input!$E$273*Input!$E$288),0)</f>
        <v>0</v>
      </c>
      <c r="R117" s="1062">
        <f t="shared" si="37"/>
        <v>17450.47400459036</v>
      </c>
    </row>
    <row r="118" spans="2:21" x14ac:dyDescent="0.2">
      <c r="B118" s="639"/>
      <c r="C118" s="639"/>
      <c r="D118" s="1057" t="str">
        <f>D107</f>
        <v>Ewes - Gestation</v>
      </c>
      <c r="E118" s="1058"/>
      <c r="F118" s="1059">
        <f>IF(F107&gt;0,F107*(Input!$E$15)*Input!$E$148,0)</f>
        <v>5138.590777548965</v>
      </c>
      <c r="G118" s="1059">
        <f>IF(G107&gt;0,G107*(Input!$E$15)*Input!$E$148,0)</f>
        <v>0</v>
      </c>
      <c r="H118" s="1059">
        <f>IF(H107&gt;0,H107*(Input!$E$15)*Input!$E$148,0)</f>
        <v>0</v>
      </c>
      <c r="I118" s="1059">
        <f>IF(I107&gt;0,I107*(Input!$E$15)*Input!$E$148,0)</f>
        <v>0</v>
      </c>
      <c r="J118" s="1059">
        <f>IF(J107&gt;0,J107*(Input!$E$15)*Input!$E$148,0)</f>
        <v>0</v>
      </c>
      <c r="K118" s="1059">
        <f>IF(K107&gt;0,K107*(Input!$E$15)*Input!$E$148,0)</f>
        <v>0</v>
      </c>
      <c r="L118" s="1059">
        <f>IF(L107&gt;0,L107*(Input!$E$15)*Input!$E$148,0)</f>
        <v>0</v>
      </c>
      <c r="M118" s="1059">
        <f>IF(M107&gt;0,M107*(Input!$E$27)*Input!$E$148,0)</f>
        <v>0</v>
      </c>
      <c r="N118" s="1059">
        <f>IF(N107&gt;0,N107*(Input!$E$27)*Input!$E$148,0)</f>
        <v>0</v>
      </c>
      <c r="O118" s="1059">
        <f>IF(O107&gt;0,O107*(Input!$E$27)*Input!$E$148,0)</f>
        <v>3315.2198564832033</v>
      </c>
      <c r="P118" s="1059">
        <f>IF(P107&gt;0,P107*(Input!$E$27)*Input!$E$148,0)</f>
        <v>4972.829784724805</v>
      </c>
      <c r="Q118" s="1060">
        <f>IF(Q107&gt;0,Q107*(Input!$E$27)*Input!$E$148,0)</f>
        <v>5138.590777548965</v>
      </c>
      <c r="R118" s="1062">
        <f t="shared" si="37"/>
        <v>18565.23119630594</v>
      </c>
      <c r="S118" t="s">
        <v>812</v>
      </c>
      <c r="T118" s="67">
        <f>((R115+R116+R117+R127)+(0.3*R122))-R124</f>
        <v>34877.411980295925</v>
      </c>
      <c r="U118" s="1">
        <f>T118/Sensitivity!$X$86</f>
        <v>64.112889669661627</v>
      </c>
    </row>
    <row r="119" spans="2:21" x14ac:dyDescent="0.2">
      <c r="B119" s="639"/>
      <c r="C119" s="639"/>
      <c r="D119" s="1057" t="str">
        <f>D108</f>
        <v>Ewes - Lactation</v>
      </c>
      <c r="E119" s="1058"/>
      <c r="F119" s="1059">
        <f>IF(F108&gt;0,F108*(Input!$E$15)*Input!$E$166,0)</f>
        <v>0</v>
      </c>
      <c r="G119" s="1059">
        <f>IF(G108&gt;0,G108*(Input!$E$15)*Input!$E$166,0)</f>
        <v>5644.6553147481191</v>
      </c>
      <c r="H119" s="1059">
        <f>IF(H108&gt;0,H108*(Input!$E$15)*Input!$E$166,0)</f>
        <v>6249.4398127568465</v>
      </c>
      <c r="I119" s="1059">
        <f>IF(I108&gt;0,I108*(Input!$E$15)*Input!$E$166,0)</f>
        <v>5039.8708167393925</v>
      </c>
      <c r="J119" s="1059">
        <f>IF(J108&gt;0,J108*(Input!$E$15)*Input!$E$166,0)</f>
        <v>0</v>
      </c>
      <c r="K119" s="1059">
        <f>IF(K108&gt;0,K108*(Input!$E$15)*Input!$E$166,0)</f>
        <v>0</v>
      </c>
      <c r="L119" s="1059">
        <f>IF(L108&gt;0,L108*(Input!$E$15)*Input!$E$166,0)</f>
        <v>0</v>
      </c>
      <c r="M119" s="1059">
        <f>IF(M108&gt;0,M108*(Input!$E$27)*Input!$E$166,0)</f>
        <v>0</v>
      </c>
      <c r="N119" s="1059">
        <f>IF(N108&gt;0,N108*(Input!$E$27)*Input!$E$166,0)</f>
        <v>0</v>
      </c>
      <c r="O119" s="1059">
        <f>IF(O108&gt;0,O108*(Input!$E$27)*Input!$E$166,0)</f>
        <v>0</v>
      </c>
      <c r="P119" s="1059">
        <f>IF(P108&gt;0,P108*(Input!$E$27)*Input!$E$166,0)</f>
        <v>0</v>
      </c>
      <c r="Q119" s="1060">
        <f>IF(Q108&gt;0,Q108*(Input!$E$27)*Input!$E$166,0)</f>
        <v>0</v>
      </c>
      <c r="R119" s="1062">
        <f t="shared" si="37"/>
        <v>16933.965944244359</v>
      </c>
      <c r="S119" t="s">
        <v>831</v>
      </c>
      <c r="T119" s="67">
        <f>(R118+R119+R120+R121)+(0.5*R122)</f>
        <v>41075.410728379495</v>
      </c>
    </row>
    <row r="120" spans="2:21" x14ac:dyDescent="0.2">
      <c r="B120" s="639"/>
      <c r="C120" s="639"/>
      <c r="D120" s="1057" t="str">
        <f>D109</f>
        <v>Ewes - Maintenance</v>
      </c>
      <c r="E120" s="1058"/>
      <c r="F120" s="1059">
        <f>IF(F109&gt;0,F109*(Input!$E$15)*Input!$E$184,0)</f>
        <v>0</v>
      </c>
      <c r="G120" s="1059">
        <f>IF(G109&gt;0,G109*(Input!$E$15)*Input!$E$184,0)</f>
        <v>0</v>
      </c>
      <c r="H120" s="1059">
        <f>IF(H109&gt;0,H109*(Input!$E$15)*Input!$E$184,0)</f>
        <v>0</v>
      </c>
      <c r="I120" s="1059">
        <f>IF(I109&gt;0,I109*(Input!$E$15)*Input!$E$184,0)</f>
        <v>624.68815487476309</v>
      </c>
      <c r="J120" s="1059">
        <f>IF(J109&gt;0,J109*(Input!$E$15)*Input!$E$184,0)</f>
        <v>3873.0665602235308</v>
      </c>
      <c r="K120" s="1059">
        <f>IF(K109&gt;0,K109*(Input!$E$15)*Input!$E$184,0)</f>
        <v>124.93763097495261</v>
      </c>
      <c r="L120" s="1059">
        <f>IF(L109&gt;0,L109*(Input!$E$15)*Input!$E$184,0)</f>
        <v>0</v>
      </c>
      <c r="M120" s="1059">
        <f>IF(M109&gt;0,M109*(Input!$E$27)*Input!$E$184,0)</f>
        <v>0</v>
      </c>
      <c r="N120" s="1059">
        <f>IF(N109&gt;0,N109*(Input!$E$27)*Input!$E$184,0)</f>
        <v>0</v>
      </c>
      <c r="O120" s="1059">
        <f>IF(O109&gt;0,O109*(Input!$E$27)*Input!$E$184,0)</f>
        <v>0</v>
      </c>
      <c r="P120" s="1059">
        <f>IF(P109&gt;0,P109*(Input!$E$27)*Input!$E$184,0)</f>
        <v>0</v>
      </c>
      <c r="Q120" s="1060">
        <f>IF(Q109&gt;0,Q109*(Input!$E$27)*Input!$E$184,0)</f>
        <v>0</v>
      </c>
      <c r="R120" s="1062">
        <f t="shared" si="37"/>
        <v>4622.692346073246</v>
      </c>
    </row>
    <row r="121" spans="2:21" x14ac:dyDescent="0.2">
      <c r="B121" s="639"/>
      <c r="C121" s="639"/>
      <c r="D121" s="1057" t="str">
        <f>D111</f>
        <v>Rams</v>
      </c>
      <c r="E121" s="1058"/>
      <c r="F121" s="1059">
        <f>IF(F111&gt;0,F111*(Input!$E$16)*Input!$E$216,0)</f>
        <v>127.41016592428628</v>
      </c>
      <c r="G121" s="1059">
        <f>IF(G111&gt;0,G111*(Input!$E$16)*Input!$E$216,0)</f>
        <v>115.08014986709728</v>
      </c>
      <c r="H121" s="1059">
        <f>IF(H111&gt;0,H111*(Input!$E$16)*Input!$E$216,0)</f>
        <v>127.41016592428628</v>
      </c>
      <c r="I121" s="1059">
        <f>IF(I111&gt;0,I111*(Input!$E$16)*Input!$E$216,0)</f>
        <v>123.30016057188995</v>
      </c>
      <c r="J121" s="1059">
        <f>IF(J111&gt;0,J111*(Input!$E$16)*Input!$E$216,0)</f>
        <v>127.41016592428628</v>
      </c>
      <c r="K121" s="1059">
        <f>IF(K111&gt;0,K111*(Input!$E$16)*Input!$E$216,0)</f>
        <v>0</v>
      </c>
      <c r="L121" s="1059">
        <f>IF(L111&gt;0,L111*(Input!$E$16)*Input!$E$216,0)</f>
        <v>0</v>
      </c>
      <c r="M121" s="1059">
        <f>IF(M111&gt;0,M111*(Input!$E$16)*Input!$E$216,0)</f>
        <v>0</v>
      </c>
      <c r="N121" s="1059">
        <f>IF(N111&gt;0,N111*(Input!$E$16)*Input!$E$216,0)</f>
        <v>0</v>
      </c>
      <c r="O121" s="1059">
        <f>IF(O111&gt;0,O111*(Input!$E$16)*Input!$E$216,0)</f>
        <v>82.200107047926636</v>
      </c>
      <c r="P121" s="1059">
        <f>IF(P111&gt;0,P111*(Input!$E$16)*Input!$E$216,0)</f>
        <v>123.30016057188995</v>
      </c>
      <c r="Q121" s="1060">
        <f>IF(Q111&gt;0,Q111*(Input!$E$16)*Input!$E$216,0)</f>
        <v>127.41016592428628</v>
      </c>
      <c r="R121" s="1063">
        <f t="shared" si="37"/>
        <v>953.52124175594884</v>
      </c>
    </row>
    <row r="122" spans="2:21" ht="13.5" thickBot="1" x14ac:dyDescent="0.25">
      <c r="B122" s="639"/>
      <c r="C122" s="639"/>
      <c r="D122" s="1064" t="s">
        <v>810</v>
      </c>
      <c r="E122" s="1065"/>
      <c r="F122" s="1066">
        <v>0</v>
      </c>
      <c r="G122" s="1066">
        <v>0</v>
      </c>
      <c r="H122" s="1066">
        <v>0</v>
      </c>
      <c r="I122" s="1066">
        <v>0</v>
      </c>
      <c r="J122" s="1066">
        <f>(Input!$E123+Input!$E124)/4</f>
        <v>0</v>
      </c>
      <c r="K122" s="1066">
        <f>(Input!$E123+Input!$E124)/4</f>
        <v>0</v>
      </c>
      <c r="L122" s="1066">
        <f>(Input!$E123+Input!$E124)/4</f>
        <v>0</v>
      </c>
      <c r="M122" s="1066">
        <f>(Input!$E123+Input!$E124)/4</f>
        <v>0</v>
      </c>
      <c r="N122" s="1066">
        <v>0</v>
      </c>
      <c r="O122" s="1066">
        <v>0</v>
      </c>
      <c r="P122" s="1066">
        <v>0</v>
      </c>
      <c r="Q122" s="1067">
        <v>0</v>
      </c>
      <c r="R122" s="1068">
        <f t="shared" si="37"/>
        <v>0</v>
      </c>
    </row>
    <row r="123" spans="2:21" ht="13.5" thickBot="1" x14ac:dyDescent="0.25">
      <c r="B123" s="639"/>
      <c r="C123" s="639"/>
      <c r="D123" s="1069"/>
      <c r="E123" s="1070" t="s">
        <v>313</v>
      </c>
      <c r="F123" s="1071">
        <f t="shared" ref="F123:R123" si="38">SUM(F115:F122)</f>
        <v>5266.000943473251</v>
      </c>
      <c r="G123" s="1071">
        <f t="shared" si="38"/>
        <v>5759.7354646152162</v>
      </c>
      <c r="H123" s="1071">
        <f t="shared" si="38"/>
        <v>6376.8499786811326</v>
      </c>
      <c r="I123" s="1071">
        <f t="shared" si="38"/>
        <v>10751.979933049686</v>
      </c>
      <c r="J123" s="1071">
        <f t="shared" si="38"/>
        <v>12099.8317170306</v>
      </c>
      <c r="K123" s="1071">
        <f t="shared" si="38"/>
        <v>4488.3998149340923</v>
      </c>
      <c r="L123" s="1071">
        <f t="shared" si="38"/>
        <v>7728.0670591757307</v>
      </c>
      <c r="M123" s="1071">
        <f t="shared" si="38"/>
        <v>7728.0670591757307</v>
      </c>
      <c r="N123" s="1071">
        <f t="shared" si="38"/>
        <v>1994.3398862388983</v>
      </c>
      <c r="O123" s="1071">
        <f t="shared" si="38"/>
        <v>3397.4199635311302</v>
      </c>
      <c r="P123" s="1071">
        <f t="shared" si="38"/>
        <v>5096.129945296695</v>
      </c>
      <c r="Q123" s="1072">
        <f t="shared" si="38"/>
        <v>5266.000943473251</v>
      </c>
      <c r="R123" s="1073">
        <f t="shared" si="38"/>
        <v>75952.822708675434</v>
      </c>
      <c r="S123" s="1"/>
    </row>
    <row r="124" spans="2:21" x14ac:dyDescent="0.2">
      <c r="B124" s="639"/>
      <c r="C124" s="645"/>
      <c r="D124" s="1084"/>
      <c r="E124" s="645"/>
      <c r="F124" s="1082"/>
      <c r="G124" s="1082"/>
      <c r="H124" s="1082"/>
      <c r="I124" s="1082"/>
      <c r="J124" s="1082"/>
      <c r="K124" s="1082"/>
      <c r="L124" s="1082"/>
      <c r="M124" s="1082"/>
      <c r="N124" s="1082"/>
      <c r="O124" s="1082"/>
      <c r="P124" s="1082"/>
      <c r="Q124" s="1082"/>
      <c r="R124" s="1083"/>
    </row>
    <row r="125" spans="2:21" ht="13.5" thickBot="1" x14ac:dyDescent="0.25">
      <c r="B125" s="645"/>
      <c r="C125" s="645"/>
      <c r="D125" s="645"/>
      <c r="E125" s="645"/>
      <c r="F125" s="735"/>
      <c r="G125" s="735"/>
      <c r="H125" s="735"/>
      <c r="I125" s="735"/>
      <c r="J125" s="735"/>
      <c r="K125" s="735"/>
      <c r="L125" s="735"/>
      <c r="M125" s="735"/>
      <c r="N125" s="735"/>
      <c r="O125" s="735"/>
      <c r="P125" s="735"/>
      <c r="Q125" s="735"/>
      <c r="R125" s="1"/>
    </row>
    <row r="126" spans="2:21" x14ac:dyDescent="0.2">
      <c r="B126" s="645"/>
      <c r="C126" s="645"/>
      <c r="D126" s="766" t="s">
        <v>830</v>
      </c>
      <c r="E126" s="768"/>
      <c r="F126" s="767" t="str">
        <f t="shared" ref="F126:Q126" si="39">F114</f>
        <v>January</v>
      </c>
      <c r="G126" s="767" t="str">
        <f t="shared" si="39"/>
        <v>February</v>
      </c>
      <c r="H126" s="767" t="str">
        <f t="shared" si="39"/>
        <v>March</v>
      </c>
      <c r="I126" s="767" t="str">
        <f t="shared" si="39"/>
        <v>April</v>
      </c>
      <c r="J126" s="767" t="str">
        <f t="shared" si="39"/>
        <v>May</v>
      </c>
      <c r="K126" s="767" t="str">
        <f t="shared" si="39"/>
        <v>June</v>
      </c>
      <c r="L126" s="767" t="str">
        <f t="shared" si="39"/>
        <v>July</v>
      </c>
      <c r="M126" s="767" t="str">
        <f t="shared" si="39"/>
        <v>August</v>
      </c>
      <c r="N126" s="767" t="str">
        <f t="shared" si="39"/>
        <v>September</v>
      </c>
      <c r="O126" s="767" t="str">
        <f t="shared" si="39"/>
        <v>October</v>
      </c>
      <c r="P126" s="767" t="str">
        <f t="shared" si="39"/>
        <v>November</v>
      </c>
      <c r="Q126" s="767" t="str">
        <f t="shared" si="39"/>
        <v>December</v>
      </c>
      <c r="R126" s="561" t="s">
        <v>187</v>
      </c>
    </row>
    <row r="127" spans="2:21" x14ac:dyDescent="0.2">
      <c r="B127" s="645"/>
      <c r="C127" s="645"/>
      <c r="D127" s="665" t="s">
        <v>473</v>
      </c>
      <c r="E127" s="769"/>
      <c r="F127" s="649">
        <f>IF(F106&gt;0,F106*(Input!$E$273*Input!$E$296),0)</f>
        <v>0</v>
      </c>
      <c r="G127" s="649">
        <f>IF(G106&gt;0,G106*(Input!$E$273*Input!$E$296),0)</f>
        <v>0</v>
      </c>
      <c r="H127" s="649">
        <f>IF(H106&gt;0,H106*(Input!$E$273*Input!$E$296),0)</f>
        <v>0</v>
      </c>
      <c r="I127" s="649">
        <f>IF(I106&gt;0,I106*(Input!$E$273*Input!$E$296),0)</f>
        <v>0</v>
      </c>
      <c r="J127" s="649">
        <f>IF(J106&gt;0,J106*(Input!$E$273*Input!$E$296),0)</f>
        <v>0</v>
      </c>
      <c r="K127" s="649">
        <f>IF(K106&gt;0,K106*(Input!$E$273*Input!$E$302),0)</f>
        <v>0</v>
      </c>
      <c r="L127" s="649">
        <f>IF(L106&gt;0,L106*(Input!$E$273*Input!$E$302),0)</f>
        <v>0</v>
      </c>
      <c r="M127" s="649">
        <f>IF(M106&gt;0,M106*(Input!$E$273*Input!$E$302),0)</f>
        <v>0</v>
      </c>
      <c r="N127" s="649">
        <f>IF(N106&gt;0,N106*(Input!$E$273*Input!$E$302),0)</f>
        <v>0</v>
      </c>
      <c r="O127" s="649">
        <f>IF(O106&gt;0,O106*(Input!$E$273*Input!$E$296),0)</f>
        <v>0</v>
      </c>
      <c r="P127" s="649">
        <f>IF(P106&gt;0,P106*(Input!$E$273*Input!$E$296),0)</f>
        <v>0</v>
      </c>
      <c r="Q127" s="649">
        <f>IF(Q106&gt;0,Q106*(Input!$E$273*Input!$E$296),0)</f>
        <v>0</v>
      </c>
      <c r="R127" s="562">
        <f>SUM(F127:Q127)</f>
        <v>0</v>
      </c>
      <c r="S127" s="1"/>
    </row>
    <row r="128" spans="2:21" x14ac:dyDescent="0.2">
      <c r="B128" s="645"/>
      <c r="C128" s="645"/>
      <c r="D128" s="665" t="s">
        <v>471</v>
      </c>
      <c r="E128" s="769"/>
      <c r="F128" s="649">
        <f>IF(F110&gt;0,F110*(Input!$E$15)*Input!$E$192,0)</f>
        <v>0</v>
      </c>
      <c r="G128" s="649">
        <f>IF(G110&gt;0,G110*(Input!$E$15)*Input!$E$192,0)</f>
        <v>0</v>
      </c>
      <c r="H128" s="649">
        <f>IF(H110&gt;0,H110*(Input!$E$15)*Input!$E$192,0)</f>
        <v>0</v>
      </c>
      <c r="I128" s="649">
        <f>IF(I110&gt;0,I110*(Input!$E$15)*Input!$E$192,0)</f>
        <v>0</v>
      </c>
      <c r="J128" s="649">
        <f>IF(J110&gt;0,J110*(Input!$E$15)*Input!$E$197,0)</f>
        <v>0</v>
      </c>
      <c r="K128" s="649">
        <f>IF(K110&gt;0,K110*(Input!$E$15)*Input!$E$197,0)</f>
        <v>1740</v>
      </c>
      <c r="L128" s="649">
        <f>IF(L110&gt;0,L110*(Input!$E$15)*Input!$E$197,0)</f>
        <v>1860</v>
      </c>
      <c r="M128" s="649">
        <f>IF(M110&gt;0,M110*(Input!$E$15)*Input!$E$197,0)</f>
        <v>1860</v>
      </c>
      <c r="N128" s="649">
        <f>IF(N110&gt;0,N110*(Input!$E$15)*Input!$E$197,0)</f>
        <v>1800</v>
      </c>
      <c r="O128" s="649">
        <f>IF(O110&gt;0,O110*(Input!$E$15)*Input!$E$197,0)</f>
        <v>660</v>
      </c>
      <c r="P128" s="649">
        <f>IF(P110&gt;0,P110*(Input!$E$15)*Input!$E$192,0)</f>
        <v>0</v>
      </c>
      <c r="Q128" s="649">
        <f>IF(Q110&gt;0,Q110*(Input!$E$15)*Input!$E$192,0)</f>
        <v>0</v>
      </c>
      <c r="R128" s="562">
        <f>SUM(F128:Q128)</f>
        <v>7920</v>
      </c>
    </row>
    <row r="129" spans="2:18" ht="13.5" thickBot="1" x14ac:dyDescent="0.25">
      <c r="B129" s="645"/>
      <c r="C129" s="645"/>
      <c r="D129" s="746" t="s">
        <v>472</v>
      </c>
      <c r="E129" s="654"/>
      <c r="F129" s="653">
        <f>IF(F112&gt;0,F112*(Input!$E$16)*Input!$E$227,0)</f>
        <v>0</v>
      </c>
      <c r="G129" s="653">
        <f>IF(G112&gt;0,G112*(Input!$E$16)*Input!$E$227,0)</f>
        <v>0</v>
      </c>
      <c r="H129" s="653">
        <f>IF(H112&gt;0,H112*(Input!$E$16)*Input!$E$227,0)</f>
        <v>0</v>
      </c>
      <c r="I129" s="653">
        <f>IF(I112&gt;0,I112*(Input!$E$16)*Input!$E$227,0)</f>
        <v>0</v>
      </c>
      <c r="J129" s="653">
        <f>IF(J112&gt;0,J112*(Input!$E$16)*Input!$E$227,0)</f>
        <v>0</v>
      </c>
      <c r="K129" s="653">
        <f>IF(K112&gt;0,K112*(Input!$E$16)*Input!$E$227,0)</f>
        <v>45</v>
      </c>
      <c r="L129" s="653">
        <f>IF(L112&gt;0,L112*(Input!$E$16)*Input!$E$227,0)</f>
        <v>46.5</v>
      </c>
      <c r="M129" s="653">
        <f>IF(M112&gt;0,M112*(Input!$E$16)*Input!$E$227,0)</f>
        <v>46.5</v>
      </c>
      <c r="N129" s="653">
        <f>IF(N112&gt;0,N112*(Input!$E$16)*Input!$E$227,0)</f>
        <v>45</v>
      </c>
      <c r="O129" s="653">
        <f>IF(O112&gt;0,O112*(Input!$E$16)*Input!$E$227,0)</f>
        <v>16.5</v>
      </c>
      <c r="P129" s="653">
        <f>IF(P112&gt;0,P112*(Input!$E$16)*Input!$E$227,0)</f>
        <v>0</v>
      </c>
      <c r="Q129" s="653">
        <f>IF(Q112&gt;0,Q112*(Input!$E$16)*Input!$E$227,0)</f>
        <v>0</v>
      </c>
      <c r="R129" s="563">
        <f>SUM(F129:Q129)</f>
        <v>199.5</v>
      </c>
    </row>
    <row r="130" spans="2:18" ht="13.5" thickBot="1" x14ac:dyDescent="0.25">
      <c r="B130" s="645"/>
      <c r="C130" s="645"/>
      <c r="D130" s="770" t="s">
        <v>867</v>
      </c>
      <c r="E130" s="771"/>
      <c r="F130" s="657"/>
      <c r="G130" s="657"/>
      <c r="H130" s="657"/>
      <c r="I130" s="657"/>
      <c r="J130" s="657">
        <f>Input!$E$125</f>
        <v>0</v>
      </c>
      <c r="K130" s="657"/>
      <c r="L130" s="657"/>
      <c r="M130" s="657"/>
      <c r="N130" s="657"/>
      <c r="O130" s="657"/>
      <c r="P130" s="657"/>
      <c r="Q130" s="657"/>
      <c r="R130" s="563">
        <f>SUM(F130:Q130)</f>
        <v>0</v>
      </c>
    </row>
    <row r="131" spans="2:18" ht="13.5" thickBot="1" x14ac:dyDescent="0.25">
      <c r="B131" s="645"/>
      <c r="C131" s="645"/>
      <c r="D131" s="674"/>
      <c r="E131" s="1074"/>
      <c r="F131" s="655">
        <f>SUM(F127:F130)</f>
        <v>0</v>
      </c>
      <c r="G131" s="655">
        <f t="shared" ref="G131:R131" si="40">SUM(G127:G130)</f>
        <v>0</v>
      </c>
      <c r="H131" s="655">
        <f t="shared" si="40"/>
        <v>0</v>
      </c>
      <c r="I131" s="655">
        <f t="shared" si="40"/>
        <v>0</v>
      </c>
      <c r="J131" s="655">
        <f t="shared" si="40"/>
        <v>0</v>
      </c>
      <c r="K131" s="655">
        <f t="shared" si="40"/>
        <v>1785</v>
      </c>
      <c r="L131" s="655">
        <f t="shared" si="40"/>
        <v>1906.5</v>
      </c>
      <c r="M131" s="655">
        <f t="shared" si="40"/>
        <v>1906.5</v>
      </c>
      <c r="N131" s="655">
        <f t="shared" si="40"/>
        <v>1845</v>
      </c>
      <c r="O131" s="655">
        <f t="shared" si="40"/>
        <v>676.5</v>
      </c>
      <c r="P131" s="655">
        <f t="shared" si="40"/>
        <v>0</v>
      </c>
      <c r="Q131" s="655">
        <f t="shared" si="40"/>
        <v>0</v>
      </c>
      <c r="R131" s="72">
        <f t="shared" si="40"/>
        <v>8119.5</v>
      </c>
    </row>
    <row r="132" spans="2:18" x14ac:dyDescent="0.2">
      <c r="B132" s="645"/>
      <c r="C132" s="645"/>
      <c r="D132" s="645"/>
      <c r="E132" s="645"/>
      <c r="F132" s="645"/>
      <c r="G132" s="645"/>
      <c r="H132" s="645"/>
      <c r="I132" s="645"/>
      <c r="J132" s="645"/>
      <c r="K132" s="645"/>
      <c r="L132" s="645"/>
      <c r="M132" s="645"/>
      <c r="N132" s="645"/>
      <c r="O132" s="645"/>
      <c r="P132" s="645"/>
      <c r="Q132" s="645"/>
    </row>
    <row r="133" spans="2:18" x14ac:dyDescent="0.2">
      <c r="B133" s="645"/>
      <c r="C133" s="645"/>
      <c r="D133" s="645"/>
      <c r="E133" s="645"/>
      <c r="F133" s="645"/>
      <c r="G133" s="645"/>
      <c r="H133" s="645"/>
      <c r="I133" s="645"/>
      <c r="J133" s="645"/>
      <c r="K133" s="645"/>
      <c r="L133" s="645"/>
      <c r="M133" s="645"/>
      <c r="N133" s="645"/>
      <c r="O133" s="645"/>
      <c r="P133" s="645"/>
      <c r="Q133" s="645"/>
    </row>
  </sheetData>
  <sheetProtection sheet="1" objects="1" scenarios="1"/>
  <phoneticPr fontId="10" type="noConversion"/>
  <pageMargins left="0.7" right="0.7" top="0.75" bottom="0.75" header="0.3" footer="0.3"/>
  <pageSetup orientation="landscape" cellComments="atEnd" r:id="rId1"/>
  <headerFooter alignWithMargins="0">
    <oddFooter>&amp;CEwePLAN Copyright Government of Saskatchewan, Developed By Brad Marceniuk&amp;RPage 1</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Print2Monthly">
                <anchor moveWithCells="1" sizeWithCells="1">
                  <from>
                    <xdr:col>2</xdr:col>
                    <xdr:colOff>0</xdr:colOff>
                    <xdr:row>3</xdr:row>
                    <xdr:rowOff>104775</xdr:rowOff>
                  </from>
                  <to>
                    <xdr:col>6</xdr:col>
                    <xdr:colOff>600075</xdr:colOff>
                    <xdr:row>7</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pageSetUpPr fitToPage="1"/>
  </sheetPr>
  <dimension ref="A1:X154"/>
  <sheetViews>
    <sheetView showGridLines="0" showRowColHeaders="0" zoomScale="112" zoomScaleNormal="112" workbookViewId="0">
      <selection activeCell="B105" sqref="B105:H153"/>
    </sheetView>
  </sheetViews>
  <sheetFormatPr defaultRowHeight="12.75" x14ac:dyDescent="0.2"/>
  <cols>
    <col min="1" max="1" width="4.7109375" customWidth="1"/>
    <col min="2" max="2" width="2.7109375" customWidth="1"/>
    <col min="3" max="3" width="38.7109375" customWidth="1"/>
    <col min="4" max="8" width="10.7109375" customWidth="1"/>
    <col min="9" max="9" width="2.7109375" customWidth="1"/>
    <col min="10" max="16" width="8.7109375" customWidth="1"/>
    <col min="17" max="17" width="8.85546875" customWidth="1"/>
    <col min="18" max="22" width="8.7109375" customWidth="1"/>
    <col min="25" max="25" width="10.7109375" customWidth="1"/>
    <col min="26" max="26" width="15.7109375" customWidth="1"/>
    <col min="29" max="40" width="10.7109375" customWidth="1"/>
    <col min="41" max="45" width="11.7109375" customWidth="1"/>
  </cols>
  <sheetData>
    <row r="1" spans="1:22" x14ac:dyDescent="0.2">
      <c r="A1" s="29"/>
      <c r="B1" s="29"/>
      <c r="C1" s="29"/>
      <c r="D1" s="29"/>
      <c r="E1" s="29"/>
      <c r="F1" s="29"/>
      <c r="G1" s="29"/>
      <c r="H1" s="29"/>
      <c r="I1" s="29"/>
      <c r="J1" s="29"/>
      <c r="K1" s="29"/>
      <c r="L1" s="29"/>
      <c r="M1" s="29"/>
      <c r="N1" s="29"/>
      <c r="O1" s="29"/>
      <c r="P1" s="29"/>
      <c r="Q1" s="29"/>
      <c r="R1" s="29"/>
      <c r="S1" s="29"/>
      <c r="T1" s="29"/>
      <c r="U1" s="29"/>
      <c r="V1" s="29"/>
    </row>
    <row r="2" spans="1:22" x14ac:dyDescent="0.2">
      <c r="A2" s="29"/>
      <c r="B2" s="29"/>
      <c r="C2" s="29"/>
      <c r="D2" s="29"/>
      <c r="E2" s="29"/>
      <c r="F2" s="29"/>
      <c r="G2" s="29"/>
      <c r="H2" s="29"/>
      <c r="I2" s="29"/>
      <c r="J2" s="29"/>
      <c r="K2" s="29"/>
      <c r="L2" s="29"/>
      <c r="M2" s="29"/>
      <c r="N2" s="29"/>
      <c r="O2" s="29"/>
      <c r="P2" s="29"/>
      <c r="Q2" s="29"/>
      <c r="R2" s="29"/>
      <c r="S2" s="29"/>
      <c r="T2" s="29"/>
      <c r="U2" s="29"/>
      <c r="V2" s="29"/>
    </row>
    <row r="3" spans="1:22" x14ac:dyDescent="0.2">
      <c r="A3" s="29"/>
      <c r="B3" s="29"/>
      <c r="C3" s="29"/>
      <c r="D3" s="29"/>
      <c r="E3" s="29"/>
      <c r="F3" s="29"/>
      <c r="G3" s="29"/>
      <c r="H3" s="29"/>
      <c r="I3" s="29"/>
      <c r="J3" s="29"/>
      <c r="K3" s="29"/>
      <c r="L3" s="29"/>
      <c r="M3" s="29"/>
      <c r="N3" s="29"/>
      <c r="O3" s="29"/>
      <c r="P3" s="29"/>
      <c r="Q3" s="29"/>
      <c r="R3" s="29"/>
      <c r="S3" s="29"/>
      <c r="T3" s="29"/>
      <c r="U3" s="29"/>
      <c r="V3" s="29"/>
    </row>
    <row r="4" spans="1:22" ht="16.5" thickBot="1" x14ac:dyDescent="0.3">
      <c r="M4" s="98"/>
      <c r="T4" s="29"/>
      <c r="U4" s="29"/>
      <c r="V4" s="29"/>
    </row>
    <row r="5" spans="1:22" ht="16.5" thickBot="1" x14ac:dyDescent="0.3">
      <c r="B5" s="427" t="str">
        <f>Input!$C$10</f>
        <v>Base 400 Herd</v>
      </c>
      <c r="C5" s="235"/>
      <c r="D5" s="428" t="s">
        <v>748</v>
      </c>
      <c r="E5" s="428"/>
      <c r="F5" s="428"/>
      <c r="G5" s="428"/>
      <c r="H5" s="429"/>
      <c r="I5" s="98"/>
      <c r="J5" s="98"/>
    </row>
    <row r="6" spans="1:22" ht="13.5" thickBot="1" x14ac:dyDescent="0.25">
      <c r="B6" s="62"/>
      <c r="C6" s="235"/>
      <c r="D6" s="916" t="str">
        <f>Input!E14</f>
        <v>Year 1</v>
      </c>
      <c r="E6" s="865" t="str">
        <f>Input!F14</f>
        <v>Year 2</v>
      </c>
      <c r="F6" s="865" t="str">
        <f>Input!G14</f>
        <v>Year 3</v>
      </c>
      <c r="G6" s="522" t="str">
        <f>Input!H14</f>
        <v>Year 4</v>
      </c>
      <c r="H6" s="866" t="str">
        <f>Input!I14</f>
        <v>Year 5</v>
      </c>
      <c r="I6" s="86"/>
      <c r="J6" s="86"/>
    </row>
    <row r="7" spans="1:22" x14ac:dyDescent="0.2">
      <c r="B7" s="932" t="s">
        <v>81</v>
      </c>
      <c r="C7" s="933"/>
      <c r="D7" s="934" t="s">
        <v>82</v>
      </c>
      <c r="E7" s="935" t="s">
        <v>82</v>
      </c>
      <c r="F7" s="936" t="s">
        <v>82</v>
      </c>
      <c r="G7" s="935" t="s">
        <v>82</v>
      </c>
      <c r="H7" s="937" t="s">
        <v>82</v>
      </c>
      <c r="I7" s="86"/>
      <c r="J7" s="86"/>
    </row>
    <row r="8" spans="1:22" x14ac:dyDescent="0.2">
      <c r="B8" s="50"/>
      <c r="C8" s="51" t="s">
        <v>641</v>
      </c>
      <c r="D8" s="421">
        <f>Monthly!R10</f>
        <v>0</v>
      </c>
      <c r="E8" s="88">
        <f>IF(Input!F$51&gt;0,(Input!F$51*Input!F$53),(0))</f>
        <v>0</v>
      </c>
      <c r="F8" s="88">
        <f>IF(Input!G$51&gt;0,(Input!G$51*Input!G$53),(0))</f>
        <v>0</v>
      </c>
      <c r="G8" s="88">
        <f>IF(Input!H$51&gt;0,(Input!H$51*Input!H$53),(0))</f>
        <v>0</v>
      </c>
      <c r="H8" s="54">
        <f>IF(Input!I$51&gt;0,(Input!I$51*Input!I$53),(0))</f>
        <v>0</v>
      </c>
      <c r="I8" s="67"/>
      <c r="J8" s="67"/>
    </row>
    <row r="9" spans="1:22" x14ac:dyDescent="0.2">
      <c r="B9" s="50"/>
      <c r="C9" s="426" t="s">
        <v>749</v>
      </c>
      <c r="D9" s="421">
        <f>Monthly!R11</f>
        <v>170000</v>
      </c>
      <c r="E9" s="88">
        <f>IF(Input!F$56&gt;0,(Input!F$56*Input!F$58),(0))</f>
        <v>170000</v>
      </c>
      <c r="F9" s="53">
        <f>IF(Input!G$56&gt;0,(Input!G$56*Input!G$58),(0))</f>
        <v>170000</v>
      </c>
      <c r="G9" s="88">
        <f>IF(Input!H$56&gt;0,(Input!H$56*Input!H$58),(0))</f>
        <v>170000</v>
      </c>
      <c r="H9" s="54">
        <f>IF(Input!I$56&gt;0,(Input!I$56*Input!I$58),(0))</f>
        <v>170000</v>
      </c>
      <c r="I9" s="67"/>
      <c r="J9" s="67"/>
    </row>
    <row r="10" spans="1:22" x14ac:dyDescent="0.2">
      <c r="B10" s="30"/>
      <c r="C10" s="46" t="s">
        <v>502</v>
      </c>
      <c r="D10" s="422">
        <f>Monthly!R13</f>
        <v>0</v>
      </c>
      <c r="E10" s="100">
        <f>(Input!F$61*Input!F$62)+(Input!F$63*Input!F$64)+(Input!F$65*Input!F$66)</f>
        <v>0</v>
      </c>
      <c r="F10" s="89">
        <f>(Input!G61*Input!G62)+(Input!G63*Input!G64)+(Input!G65*Input!G66)</f>
        <v>0</v>
      </c>
      <c r="G10" s="100">
        <f>(Input!H61*Input!H62)+(Input!H63*Input!H64)+(Input!H65*Input!H66)</f>
        <v>0</v>
      </c>
      <c r="H10" s="101">
        <f>(Input!I61*Input!I62)+(Input!I63*Input!I64)+(Input!I65*Input!I66)</f>
        <v>0</v>
      </c>
      <c r="I10" s="67"/>
      <c r="J10" s="67"/>
    </row>
    <row r="11" spans="1:22" x14ac:dyDescent="0.2">
      <c r="B11" s="50"/>
      <c r="C11" s="51" t="s">
        <v>468</v>
      </c>
      <c r="D11" s="421">
        <f>Monthly!R12</f>
        <v>17675</v>
      </c>
      <c r="E11" s="88">
        <f>(Input!F$69*Input!F$72)+(Input!F$73*Input!F$76)</f>
        <v>17675</v>
      </c>
      <c r="F11" s="53">
        <f>(Input!G$69*Input!G$72)+(Input!G$73*Input!G$76)</f>
        <v>17675</v>
      </c>
      <c r="G11" s="88">
        <f>(Input!H$69*Input!H$72)+(Input!H$73*Input!H$76)</f>
        <v>17675</v>
      </c>
      <c r="H11" s="54">
        <f>(Input!I$69*Input!I$72)+(Input!I$73*Input!I$76)</f>
        <v>17675</v>
      </c>
      <c r="I11" s="67"/>
      <c r="J11" s="67"/>
    </row>
    <row r="12" spans="1:22" x14ac:dyDescent="0.2">
      <c r="B12" s="50"/>
      <c r="C12" s="51" t="s">
        <v>319</v>
      </c>
      <c r="D12" s="421">
        <f>Monthly!R14</f>
        <v>1640</v>
      </c>
      <c r="E12" s="88">
        <f>Input!F83</f>
        <v>1640</v>
      </c>
      <c r="F12" s="53">
        <f>Input!G83</f>
        <v>1640</v>
      </c>
      <c r="G12" s="88">
        <f>Input!H83</f>
        <v>1640</v>
      </c>
      <c r="H12" s="54">
        <f>Input!I83</f>
        <v>1640</v>
      </c>
      <c r="I12" s="67"/>
      <c r="J12" s="67"/>
    </row>
    <row r="13" spans="1:22" ht="13.5" thickBot="1" x14ac:dyDescent="0.25">
      <c r="B13" s="69"/>
      <c r="C13" s="425" t="s">
        <v>643</v>
      </c>
      <c r="D13" s="422">
        <f>Monthly!R15</f>
        <v>0</v>
      </c>
      <c r="E13" s="100">
        <f>Input!F93+Input!F102</f>
        <v>0</v>
      </c>
      <c r="F13" s="242">
        <f>Input!G93+Input!G102</f>
        <v>0</v>
      </c>
      <c r="G13" s="95">
        <f>Input!H93+Input!H102</f>
        <v>0</v>
      </c>
      <c r="H13" s="96">
        <f>Input!I93+Input!I102</f>
        <v>0</v>
      </c>
      <c r="I13" s="67"/>
      <c r="J13" s="67"/>
    </row>
    <row r="14" spans="1:22" ht="13.5" thickBot="1" x14ac:dyDescent="0.25">
      <c r="B14" s="938"/>
      <c r="C14" s="939" t="s">
        <v>83</v>
      </c>
      <c r="D14" s="940">
        <f>SUM(D8:D13)</f>
        <v>189315</v>
      </c>
      <c r="E14" s="941">
        <f>SUM(E8:E13)</f>
        <v>189315</v>
      </c>
      <c r="F14" s="941">
        <f>SUM(F8:F13)</f>
        <v>189315</v>
      </c>
      <c r="G14" s="941">
        <f>SUM(G8:G13)</f>
        <v>189315</v>
      </c>
      <c r="H14" s="942">
        <f>SUM(H8:H13)</f>
        <v>189315</v>
      </c>
      <c r="I14" s="241"/>
      <c r="J14" s="241"/>
    </row>
    <row r="15" spans="1:22" x14ac:dyDescent="0.2">
      <c r="B15" s="55" t="s">
        <v>233</v>
      </c>
      <c r="C15" s="56"/>
      <c r="D15" s="423"/>
      <c r="E15" s="58"/>
      <c r="F15" s="57"/>
      <c r="G15" s="58"/>
      <c r="H15" s="892"/>
      <c r="I15" s="1"/>
      <c r="J15" s="1"/>
    </row>
    <row r="16" spans="1:22" x14ac:dyDescent="0.2">
      <c r="B16" s="50"/>
      <c r="C16" s="426" t="s">
        <v>805</v>
      </c>
      <c r="D16" s="421">
        <f>Monthly!R18</f>
        <v>75952.822708675405</v>
      </c>
      <c r="E16" s="88">
        <f>(Input!F$15*(Input!F$149+Input!F$167+Input!F$185))+(Input!F$16*(Input!F$217))+(Input!F$233*Input!F$249)+(Input!F$253*Input!F$269)+(Input!F$273*Input!$F$289)+Input!F$123+Input!F$124</f>
        <v>76680.066406001948</v>
      </c>
      <c r="F16" s="88">
        <f>(Input!G$15*(Input!G$149+Input!G$167+Input!G$185))+(Input!G$16*(Input!G$217))+(Input!G$233*Input!G$249)+(Input!G$253*Input!G$269)+(Input!G$273*Input!$F$289)+Input!G$123+Input!G$124</f>
        <v>76680.066406001948</v>
      </c>
      <c r="G16" s="88">
        <f>(Input!H$15*(Input!H$149+Input!H$167+Input!H$185))+(Input!H$16*(Input!H$217))+(Input!H$233*Input!H$249)+(Input!H$253*Input!H$269)+(Input!H$273*Input!$F$289)+Input!H$123+Input!H$124</f>
        <v>76680.066406001948</v>
      </c>
      <c r="H16" s="54">
        <f>(Input!I$15*(Input!I$149+Input!I$167+Input!I$185))+(Input!I$16*(Input!I$217))+(Input!I$233*Input!I$249)+(Input!I$253*Input!I$269)+(Input!I$273*Input!$F$289)+Input!I$123+Input!I$124</f>
        <v>76680.066406001948</v>
      </c>
      <c r="I16" s="67"/>
      <c r="J16" s="67"/>
    </row>
    <row r="17" spans="2:10" x14ac:dyDescent="0.2">
      <c r="B17" s="50"/>
      <c r="C17" s="426" t="s">
        <v>806</v>
      </c>
      <c r="D17" s="421">
        <f>Monthly!R19</f>
        <v>8119.5</v>
      </c>
      <c r="E17" s="88">
        <f>(Input!F$15*Input!F$198)+(Input!F$16*Input!F$228)+(Input!F$273*Input!F$303)+Input!F$125</f>
        <v>8119.5</v>
      </c>
      <c r="F17" s="88">
        <f>(Input!G$15*Input!G$198)+(Input!G$16*Input!G$228)+(Input!G$273*Input!G$303)+Input!G$125</f>
        <v>8119.5</v>
      </c>
      <c r="G17" s="88">
        <f>(Input!H$15*Input!H$198)+(Input!H$16*Input!H$228)+(Input!H$273*Input!H$303)+Input!H$125</f>
        <v>8119.5</v>
      </c>
      <c r="H17" s="54">
        <f>(Input!I$15*Input!I$198)+(Input!I$16*Input!I$228)+(Input!I$273*Input!I$303)+Input!I$125</f>
        <v>8119.5</v>
      </c>
      <c r="J17" s="67"/>
    </row>
    <row r="18" spans="2:10" x14ac:dyDescent="0.2">
      <c r="B18" s="50"/>
      <c r="C18" s="802" t="s">
        <v>553</v>
      </c>
      <c r="D18" s="421">
        <f>Monthly!R20</f>
        <v>4895</v>
      </c>
      <c r="E18" s="88">
        <f>IF(Input!F$25&gt;0,(Input!F$25*Input!F$26)+(Input!F$33*Input!F$34)+Input!F$318,(Input!F$33*Input!F$34)+Input!F$318)</f>
        <v>4963</v>
      </c>
      <c r="F18" s="88">
        <f>IF(Input!G$25&gt;0,(Input!G$25*Input!G$26)+(Input!G$33*Input!G$34)+Input!G$318,(Input!G$33*Input!G$34)+Input!G$318)</f>
        <v>5032.3599999999997</v>
      </c>
      <c r="G18" s="88">
        <f>IF(Input!H$25&gt;0,(Input!H$25*Input!H$26)+(Input!H$33*Input!H$34)+Input!H$318,(Input!H$33*Input!H$34)+Input!H$318)</f>
        <v>5103.1071999999995</v>
      </c>
      <c r="H18" s="54">
        <f>IF(Input!I$25&gt;0,(Input!I$25*Input!I$26)+(Input!I$33*Input!I$34)+Input!I$318,(Input!I$33*Input!I$34)+Input!I$318)</f>
        <v>5175.2693439999994</v>
      </c>
      <c r="I18" s="67"/>
      <c r="J18" s="67"/>
    </row>
    <row r="19" spans="2:10" x14ac:dyDescent="0.2">
      <c r="B19" s="50"/>
      <c r="C19" s="51" t="s">
        <v>84</v>
      </c>
      <c r="D19" s="421">
        <f>Monthly!R21</f>
        <v>5744.2</v>
      </c>
      <c r="E19" s="88">
        <f>Input!F$311</f>
        <v>5859.0840000000007</v>
      </c>
      <c r="F19" s="53">
        <f>Input!G$311</f>
        <v>5976.2656800000004</v>
      </c>
      <c r="G19" s="88">
        <f>Input!H$311</f>
        <v>6095.7909936000005</v>
      </c>
      <c r="H19" s="54">
        <f>Input!I$311</f>
        <v>6217.7068134720012</v>
      </c>
      <c r="I19" s="67"/>
      <c r="J19" s="67"/>
    </row>
    <row r="20" spans="2:10" x14ac:dyDescent="0.2">
      <c r="B20" s="50"/>
      <c r="C20" s="51" t="s">
        <v>318</v>
      </c>
      <c r="D20" s="421">
        <f>Monthly!R22</f>
        <v>2700</v>
      </c>
      <c r="E20" s="88">
        <f>Input!$F$321+Input!$F$322+Input!$F$325+Input!$F$326</f>
        <v>2720</v>
      </c>
      <c r="F20" s="53">
        <f>Input!G$321+Input!G$322+Input!G$325+Input!G$326</f>
        <v>2740.3999999999996</v>
      </c>
      <c r="G20" s="88">
        <f>Input!H$321+Input!H$322+Input!H$325+Input!H$326</f>
        <v>2761.2080000000005</v>
      </c>
      <c r="H20" s="245">
        <f>Input!I$321+Input!I$322+Input!I$325+Input!I$326</f>
        <v>2782.4321600000003</v>
      </c>
      <c r="I20" s="67"/>
      <c r="J20" s="67"/>
    </row>
    <row r="21" spans="2:10" x14ac:dyDescent="0.2">
      <c r="B21" s="50"/>
      <c r="C21" s="51" t="s">
        <v>85</v>
      </c>
      <c r="D21" s="421">
        <f>Monthly!R23</f>
        <v>21720</v>
      </c>
      <c r="E21" s="88">
        <f>Input!F$334</f>
        <v>22154.399999999998</v>
      </c>
      <c r="F21" s="53">
        <f>Input!G$334</f>
        <v>22597.488000000001</v>
      </c>
      <c r="G21" s="88">
        <f>Input!H$334</f>
        <v>23049.437760000001</v>
      </c>
      <c r="H21" s="54">
        <f>Input!I$334</f>
        <v>23510.426515200001</v>
      </c>
      <c r="I21" s="67"/>
      <c r="J21" s="67"/>
    </row>
    <row r="22" spans="2:10" x14ac:dyDescent="0.2">
      <c r="B22" s="50"/>
      <c r="C22" s="51" t="s">
        <v>158</v>
      </c>
      <c r="D22" s="421">
        <f>Monthly!R24</f>
        <v>2400</v>
      </c>
      <c r="E22" s="88">
        <f>Input!F340</f>
        <v>2448</v>
      </c>
      <c r="F22" s="53">
        <f>Input!G340</f>
        <v>2496.96</v>
      </c>
      <c r="G22" s="88">
        <f>Input!H340</f>
        <v>2546.8992000000003</v>
      </c>
      <c r="H22" s="54">
        <f>Input!I340</f>
        <v>2597.8371840000004</v>
      </c>
      <c r="I22" s="67"/>
      <c r="J22" s="67"/>
    </row>
    <row r="23" spans="2:10" x14ac:dyDescent="0.2">
      <c r="B23" s="50"/>
      <c r="C23" s="51" t="s">
        <v>159</v>
      </c>
      <c r="D23" s="421">
        <f>Monthly!R25</f>
        <v>3500</v>
      </c>
      <c r="E23" s="88">
        <f>Input!F$343+Input!F$345</f>
        <v>3570</v>
      </c>
      <c r="F23" s="53">
        <f>Input!G$343+Input!G$345</f>
        <v>3641.4</v>
      </c>
      <c r="G23" s="88">
        <f>Input!H$343+Input!H$345</f>
        <v>3714.2280000000001</v>
      </c>
      <c r="H23" s="54">
        <f>Input!I$343+Input!I$345</f>
        <v>3788.5125600000001</v>
      </c>
      <c r="I23" s="67"/>
      <c r="J23" s="67"/>
    </row>
    <row r="24" spans="2:10" x14ac:dyDescent="0.2">
      <c r="B24" s="50"/>
      <c r="C24" s="51" t="s">
        <v>546</v>
      </c>
      <c r="D24" s="421">
        <f>Monthly!R26</f>
        <v>3500</v>
      </c>
      <c r="E24" s="88">
        <f>Input!F$349+Input!F$351</f>
        <v>3570</v>
      </c>
      <c r="F24" s="53">
        <f>Input!G$349+Input!G$351</f>
        <v>3641.4000000000005</v>
      </c>
      <c r="G24" s="88">
        <f>Input!H$349+Input!H$351</f>
        <v>3714.2280000000001</v>
      </c>
      <c r="H24" s="54">
        <f>Input!I$349+Input!I$351</f>
        <v>3788.5125600000001</v>
      </c>
      <c r="I24" s="67"/>
      <c r="J24" s="67"/>
    </row>
    <row r="25" spans="2:10" x14ac:dyDescent="0.2">
      <c r="B25" s="50"/>
      <c r="C25" s="51" t="s">
        <v>664</v>
      </c>
      <c r="D25" s="421">
        <f>Monthly!R27</f>
        <v>12362.399999999998</v>
      </c>
      <c r="E25" s="88">
        <f>Input!F$358+Input!F$363+Input!F$368</f>
        <v>12507.84</v>
      </c>
      <c r="F25" s="88">
        <f>Input!G$358+Input!G$363+Input!G$368</f>
        <v>12656.1888</v>
      </c>
      <c r="G25" s="88">
        <f>Input!H$358+Input!H$363+Input!H$368</f>
        <v>12807.504575999999</v>
      </c>
      <c r="H25" s="54">
        <f>Input!I$358+Input!I$363+Input!I$368</f>
        <v>12961.84666752</v>
      </c>
      <c r="I25" s="67"/>
      <c r="J25" s="67"/>
    </row>
    <row r="26" spans="2:10" x14ac:dyDescent="0.2">
      <c r="B26" s="50"/>
      <c r="C26" s="51" t="s">
        <v>338</v>
      </c>
      <c r="D26" s="421">
        <f>Monthly!R28</f>
        <v>2665</v>
      </c>
      <c r="E26" s="88">
        <f>Input!F86</f>
        <v>2665</v>
      </c>
      <c r="F26" s="53">
        <f>Input!G86</f>
        <v>2665</v>
      </c>
      <c r="G26" s="88">
        <f>Input!H86</f>
        <v>2665</v>
      </c>
      <c r="H26" s="245">
        <f>Input!I86</f>
        <v>2665</v>
      </c>
      <c r="I26" s="67"/>
      <c r="J26" s="67"/>
    </row>
    <row r="27" spans="2:10" x14ac:dyDescent="0.2">
      <c r="B27" s="50"/>
      <c r="C27" s="51" t="s">
        <v>483</v>
      </c>
      <c r="D27" s="421">
        <f>Monthly!R30</f>
        <v>5100</v>
      </c>
      <c r="E27" s="88">
        <f>Input!F$372+Input!F$373+Input!F$374</f>
        <v>5202</v>
      </c>
      <c r="F27" s="53">
        <f>Input!G$372+Input!G$373+Input!G$374</f>
        <v>5306.04</v>
      </c>
      <c r="G27" s="88">
        <f>Input!H$372+Input!H$373+Input!H$374</f>
        <v>5412.1607999999997</v>
      </c>
      <c r="H27" s="54">
        <f>Input!I$372+Input!I$373+Input!I$374</f>
        <v>5520.4040160000004</v>
      </c>
      <c r="I27" s="67"/>
      <c r="J27" s="67"/>
    </row>
    <row r="28" spans="2:10" x14ac:dyDescent="0.2">
      <c r="B28" s="50"/>
      <c r="C28" s="51" t="s">
        <v>98</v>
      </c>
      <c r="D28" s="421">
        <f>Monthly!R31</f>
        <v>4120.7500000000009</v>
      </c>
      <c r="E28" s="88">
        <f>Input!F$377+Input!F$380</f>
        <v>4183.75</v>
      </c>
      <c r="F28" s="53">
        <f>Input!G$377+Input!G$380</f>
        <v>4248.01</v>
      </c>
      <c r="G28" s="52">
        <f>Input!H$377+Input!H$380</f>
        <v>4313.5552000000007</v>
      </c>
      <c r="H28" s="54">
        <f>Input!I$377+Input!I$380</f>
        <v>4380.4113040000002</v>
      </c>
      <c r="I28" s="67"/>
      <c r="J28" s="67"/>
    </row>
    <row r="29" spans="2:10" ht="13.5" thickBot="1" x14ac:dyDescent="0.25">
      <c r="B29" s="30"/>
      <c r="C29" t="s">
        <v>168</v>
      </c>
      <c r="D29" s="424">
        <f>Monthly!R32</f>
        <v>1686.7379821046827</v>
      </c>
      <c r="E29" s="212">
        <f>Input!F$408</f>
        <v>1062.2867539555589</v>
      </c>
      <c r="F29" s="59">
        <f>Input!G$408</f>
        <v>1070.244415887259</v>
      </c>
      <c r="G29" s="60">
        <f>Input!H$408</f>
        <v>1078.3612310575934</v>
      </c>
      <c r="H29" s="61">
        <f>Input!I$408</f>
        <v>1086.6403825313337</v>
      </c>
      <c r="I29" s="67"/>
      <c r="J29" s="67"/>
    </row>
    <row r="30" spans="2:10" ht="13.5" thickBot="1" x14ac:dyDescent="0.25">
      <c r="B30" s="938"/>
      <c r="C30" s="939" t="s">
        <v>105</v>
      </c>
      <c r="D30" s="940">
        <f>SUM(D16:D29)</f>
        <v>154466.41069078009</v>
      </c>
      <c r="E30" s="941">
        <f>SUM(E16:E29)</f>
        <v>155704.9271599575</v>
      </c>
      <c r="F30" s="943">
        <f>SUM(F16:F29)</f>
        <v>156871.32330188921</v>
      </c>
      <c r="G30" s="941">
        <f>SUM(G16:G29)</f>
        <v>158061.04736665956</v>
      </c>
      <c r="H30" s="942">
        <f>SUM(H16:H29)</f>
        <v>159274.56591272529</v>
      </c>
      <c r="I30" s="241"/>
      <c r="J30" s="241"/>
    </row>
    <row r="31" spans="2:10" x14ac:dyDescent="0.2">
      <c r="B31" s="50"/>
      <c r="C31" s="51" t="s">
        <v>110</v>
      </c>
      <c r="D31" s="421">
        <f>Monthly!R34</f>
        <v>8750.0000000000018</v>
      </c>
      <c r="E31" s="88">
        <f>Depreciation!G$9</f>
        <v>8062.5</v>
      </c>
      <c r="F31" s="53">
        <f>Depreciation!I$9</f>
        <v>7434.375</v>
      </c>
      <c r="G31" s="52">
        <f>Depreciation!K$9</f>
        <v>6860.15625</v>
      </c>
      <c r="H31" s="54">
        <f>Depreciation!M$9</f>
        <v>6334.8984375</v>
      </c>
      <c r="I31" s="67"/>
      <c r="J31" s="67"/>
    </row>
    <row r="32" spans="2:10" ht="13.5" thickBot="1" x14ac:dyDescent="0.25">
      <c r="B32" s="30"/>
      <c r="C32" t="s">
        <v>111</v>
      </c>
      <c r="D32" s="422">
        <f>Monthly!R35</f>
        <v>4975</v>
      </c>
      <c r="E32" s="212">
        <f>Financing!D41</f>
        <v>4663.0162146803477</v>
      </c>
      <c r="F32" s="67">
        <f>Financing!D42</f>
        <v>4333.5452402402943</v>
      </c>
      <c r="G32" s="95">
        <f>Financing!D43</f>
        <v>3985.6055964225479</v>
      </c>
      <c r="H32" s="96">
        <f>Financing!D44</f>
        <v>3618.1606404643258</v>
      </c>
      <c r="I32" s="67"/>
      <c r="J32" s="67"/>
    </row>
    <row r="33" spans="2:10" ht="13.5" thickBot="1" x14ac:dyDescent="0.25">
      <c r="B33" s="938"/>
      <c r="C33" s="939" t="s">
        <v>115</v>
      </c>
      <c r="D33" s="940">
        <f>D31+D32</f>
        <v>13725.000000000002</v>
      </c>
      <c r="E33" s="941">
        <f>E31+E32</f>
        <v>12725.516214680349</v>
      </c>
      <c r="F33" s="944">
        <f>F31+F32</f>
        <v>11767.920240240295</v>
      </c>
      <c r="G33" s="945">
        <f>G31+G32</f>
        <v>10845.761846422549</v>
      </c>
      <c r="H33" s="942">
        <f>H31+H32</f>
        <v>9953.0590779643262</v>
      </c>
      <c r="I33" s="241"/>
      <c r="J33" s="241"/>
    </row>
    <row r="34" spans="2:10" ht="13.5" thickBot="1" x14ac:dyDescent="0.25">
      <c r="B34" s="938"/>
      <c r="C34" s="939" t="s">
        <v>116</v>
      </c>
      <c r="D34" s="940">
        <f>D30+D33</f>
        <v>168191.41069078009</v>
      </c>
      <c r="E34" s="941">
        <f>E30+E33</f>
        <v>168430.44337463786</v>
      </c>
      <c r="F34" s="944">
        <f>F30+F33</f>
        <v>168639.24354212949</v>
      </c>
      <c r="G34" s="945">
        <f>G30+G33</f>
        <v>168906.8092130821</v>
      </c>
      <c r="H34" s="942">
        <f>H30+H33</f>
        <v>169227.62499068963</v>
      </c>
      <c r="I34" s="241"/>
      <c r="J34" s="241"/>
    </row>
    <row r="35" spans="2:10" x14ac:dyDescent="0.2">
      <c r="B35" s="946"/>
      <c r="C35" s="947" t="s">
        <v>117</v>
      </c>
      <c r="D35" s="948">
        <f>D14-D34</f>
        <v>21123.589309219911</v>
      </c>
      <c r="E35" s="949">
        <f>E14-E34</f>
        <v>20884.556625362136</v>
      </c>
      <c r="F35" s="950">
        <f>F14-F34</f>
        <v>20675.756457870506</v>
      </c>
      <c r="G35" s="951">
        <f>G14-G34</f>
        <v>20408.190786917898</v>
      </c>
      <c r="H35" s="952">
        <f>H14-H34</f>
        <v>20087.375009310374</v>
      </c>
      <c r="I35" s="241"/>
      <c r="J35" s="241"/>
    </row>
    <row r="36" spans="2:10" ht="13.5" thickBot="1" x14ac:dyDescent="0.25">
      <c r="B36" s="69"/>
      <c r="C36" s="47" t="s">
        <v>478</v>
      </c>
      <c r="D36" s="859">
        <f>D35+Balance_Sheet!D54</f>
        <v>21123.589309219911</v>
      </c>
      <c r="E36" s="860">
        <f>E35+Balance_Sheet!E54</f>
        <v>20884.556625362136</v>
      </c>
      <c r="F36" s="861">
        <f>F35+Balance_Sheet!F54</f>
        <v>20675.756457870506</v>
      </c>
      <c r="G36" s="862">
        <f>G35+Balance_Sheet!G54</f>
        <v>20408.190786917898</v>
      </c>
      <c r="H36" s="863">
        <f>H35+Balance_Sheet!H54</f>
        <v>20087.375009310374</v>
      </c>
      <c r="I36" s="241"/>
      <c r="J36" s="241"/>
    </row>
    <row r="37" spans="2:10" ht="13.5" thickBot="1" x14ac:dyDescent="0.25">
      <c r="B37" s="4"/>
      <c r="C37" s="44"/>
      <c r="D37" s="334" t="str">
        <f>Input!E14</f>
        <v>Year 1</v>
      </c>
      <c r="E37" s="126" t="str">
        <f>Input!F14</f>
        <v>Year 2</v>
      </c>
      <c r="F37" s="246" t="str">
        <f>Input!G14</f>
        <v>Year 3</v>
      </c>
      <c r="G37" s="128" t="str">
        <f>Input!H14</f>
        <v>Year 4</v>
      </c>
      <c r="H37" s="130" t="str">
        <f>Input!I14</f>
        <v>Year 5</v>
      </c>
      <c r="I37" s="86"/>
      <c r="J37" s="86"/>
    </row>
    <row r="38" spans="2:10" ht="13.5" thickBot="1" x14ac:dyDescent="0.25">
      <c r="B38" s="62"/>
      <c r="C38" s="798" t="s">
        <v>479</v>
      </c>
      <c r="D38" s="864" t="s">
        <v>82</v>
      </c>
      <c r="E38" s="522" t="s">
        <v>82</v>
      </c>
      <c r="F38" s="865" t="s">
        <v>82</v>
      </c>
      <c r="G38" s="522" t="s">
        <v>82</v>
      </c>
      <c r="H38" s="866" t="s">
        <v>82</v>
      </c>
      <c r="I38" s="86"/>
      <c r="J38" s="86"/>
    </row>
    <row r="39" spans="2:10" x14ac:dyDescent="0.2">
      <c r="B39" s="30"/>
      <c r="C39" s="68" t="s">
        <v>117</v>
      </c>
      <c r="D39" s="867">
        <f>D35</f>
        <v>21123.589309219911</v>
      </c>
      <c r="E39" s="868">
        <f>E35</f>
        <v>20884.556625362136</v>
      </c>
      <c r="F39" s="71">
        <f>F35</f>
        <v>20675.756457870506</v>
      </c>
      <c r="G39" s="869">
        <f>G35</f>
        <v>20408.190786917898</v>
      </c>
      <c r="H39" s="870">
        <f>H35</f>
        <v>20087.375009310374</v>
      </c>
      <c r="I39" s="71"/>
      <c r="J39" s="71"/>
    </row>
    <row r="40" spans="2:10" x14ac:dyDescent="0.2">
      <c r="B40" s="50"/>
      <c r="C40" s="51" t="s">
        <v>118</v>
      </c>
      <c r="D40" s="421">
        <f>D31</f>
        <v>8750.0000000000018</v>
      </c>
      <c r="E40" s="88">
        <f>E31</f>
        <v>8062.5</v>
      </c>
      <c r="F40" s="53">
        <f>F31</f>
        <v>7434.375</v>
      </c>
      <c r="G40" s="52">
        <f>G31</f>
        <v>6860.15625</v>
      </c>
      <c r="H40" s="54">
        <f>H31</f>
        <v>6334.8984375</v>
      </c>
      <c r="I40" s="67"/>
      <c r="J40" s="67"/>
    </row>
    <row r="41" spans="2:10" x14ac:dyDescent="0.2">
      <c r="B41" s="30"/>
      <c r="C41" t="s">
        <v>349</v>
      </c>
      <c r="D41" s="421">
        <f>Input!E424</f>
        <v>0</v>
      </c>
      <c r="E41" s="212">
        <f>Input!E430</f>
        <v>0</v>
      </c>
      <c r="F41" s="67">
        <v>0</v>
      </c>
      <c r="G41" s="871">
        <f>Input!E442</f>
        <v>0</v>
      </c>
      <c r="H41" s="872">
        <f>Input!E448</f>
        <v>0</v>
      </c>
      <c r="I41" s="67"/>
      <c r="J41" s="67"/>
    </row>
    <row r="42" spans="2:10" ht="13.5" thickBot="1" x14ac:dyDescent="0.25">
      <c r="B42" s="50"/>
      <c r="C42" s="51" t="s">
        <v>119</v>
      </c>
      <c r="D42" s="422">
        <f>Monthly!R43</f>
        <v>5573.0139973812647</v>
      </c>
      <c r="E42" s="88">
        <f>Financing!E41</f>
        <v>5884.997782700917</v>
      </c>
      <c r="F42" s="53">
        <f>Financing!E42</f>
        <v>6214.4687571409704</v>
      </c>
      <c r="G42" s="95">
        <f>Financing!E43</f>
        <v>6562.4084009587168</v>
      </c>
      <c r="H42" s="96">
        <f>Financing!E44</f>
        <v>6929.8533569169385</v>
      </c>
      <c r="I42" s="67"/>
      <c r="J42" s="67"/>
    </row>
    <row r="43" spans="2:10" ht="13.5" thickBot="1" x14ac:dyDescent="0.25">
      <c r="B43" s="938"/>
      <c r="C43" s="1111" t="s">
        <v>120</v>
      </c>
      <c r="D43" s="940">
        <f>D39+D40+D41-D42</f>
        <v>24300.575311838646</v>
      </c>
      <c r="E43" s="941">
        <f>E39+E40+E41-E42</f>
        <v>23062.058842661219</v>
      </c>
      <c r="F43" s="944">
        <f>F39+F40+F41-F42</f>
        <v>21895.662700729536</v>
      </c>
      <c r="G43" s="945">
        <f>G39+G40+G41-G42</f>
        <v>20705.938635959181</v>
      </c>
      <c r="H43" s="942">
        <f>H39+H40+H41-H42</f>
        <v>19492.420089893436</v>
      </c>
      <c r="I43" s="241"/>
      <c r="J43" s="241"/>
    </row>
    <row r="44" spans="2:10" x14ac:dyDescent="0.2">
      <c r="D44" s="31"/>
      <c r="E44" s="31"/>
      <c r="F44" s="31"/>
      <c r="G44" s="31"/>
      <c r="H44" s="31"/>
      <c r="I44" s="31"/>
      <c r="J44" s="31"/>
    </row>
    <row r="45" spans="2:10" x14ac:dyDescent="0.2">
      <c r="C45" s="156" t="s">
        <v>677</v>
      </c>
      <c r="D45" s="159">
        <f>Input!E$15-Input!$G$17</f>
        <v>400</v>
      </c>
      <c r="E45" s="159">
        <f>Input!F$15-Input!$G$17</f>
        <v>400</v>
      </c>
      <c r="F45" s="159">
        <f>Input!G$15-Input!$G$17</f>
        <v>400</v>
      </c>
      <c r="G45" s="159">
        <f>Input!H$15-Input!$H$17</f>
        <v>400</v>
      </c>
      <c r="H45" s="159">
        <f>Input!I$15-Input!$I$17</f>
        <v>400</v>
      </c>
      <c r="I45" s="159"/>
    </row>
    <row r="46" spans="2:10" x14ac:dyDescent="0.2">
      <c r="C46" s="156" t="str">
        <f>C8</f>
        <v>Feeder Lamb Sales (under 90lbs)</v>
      </c>
      <c r="D46" s="159">
        <f>Input!$E$51</f>
        <v>0</v>
      </c>
      <c r="E46" s="159">
        <f>Input!$F$51</f>
        <v>0</v>
      </c>
      <c r="F46" s="159">
        <f>Input!$G$51</f>
        <v>0</v>
      </c>
      <c r="G46" s="159">
        <f>Input!$H$51</f>
        <v>0</v>
      </c>
      <c r="H46" s="159">
        <f>Input!$I$51</f>
        <v>0</v>
      </c>
      <c r="I46" s="159"/>
      <c r="J46" s="159"/>
    </row>
    <row r="47" spans="2:10" x14ac:dyDescent="0.2">
      <c r="C47" s="156" t="str">
        <f>C9</f>
        <v>Slaughter Lamb Sales (90lbs+)</v>
      </c>
      <c r="D47" s="159">
        <f>Input!$E$56</f>
        <v>544</v>
      </c>
      <c r="E47" s="159">
        <f>Input!$F$56</f>
        <v>544</v>
      </c>
      <c r="F47" s="159">
        <f>Input!$G$56</f>
        <v>544</v>
      </c>
      <c r="G47" s="159">
        <f>Input!$H$56</f>
        <v>544</v>
      </c>
      <c r="H47" s="159">
        <f>Input!$I$56</f>
        <v>544</v>
      </c>
      <c r="I47" s="159"/>
      <c r="J47" s="159"/>
    </row>
    <row r="48" spans="2:10" x14ac:dyDescent="0.2">
      <c r="C48" s="156" t="s">
        <v>857</v>
      </c>
      <c r="D48" s="159">
        <f>Input!E$24</f>
        <v>72</v>
      </c>
      <c r="E48" s="159">
        <f>Input!F$24</f>
        <v>72</v>
      </c>
      <c r="F48" s="159">
        <f>Input!G$24</f>
        <v>72</v>
      </c>
      <c r="G48" s="159">
        <f>Input!H$24</f>
        <v>72</v>
      </c>
      <c r="H48" s="159">
        <f>Input!I$24</f>
        <v>72</v>
      </c>
    </row>
    <row r="49" spans="3:24" x14ac:dyDescent="0.2">
      <c r="C49" s="156" t="s">
        <v>502</v>
      </c>
      <c r="D49" s="159">
        <f>Input!E$61+Input!$F63+Input!E$65</f>
        <v>0</v>
      </c>
      <c r="E49" s="159">
        <f>Input!F$61+Input!$F63+Input!F$65</f>
        <v>0</v>
      </c>
      <c r="F49" s="159">
        <f>Input!G$61+Input!$F63+Input!G$65</f>
        <v>0</v>
      </c>
      <c r="G49" s="159">
        <f>Input!H$61+Input!$F63+Input!H$65</f>
        <v>0</v>
      </c>
      <c r="H49" s="159">
        <f>Input!I$61+Input!$F63+Input!I$65</f>
        <v>0</v>
      </c>
    </row>
    <row r="50" spans="3:24" x14ac:dyDescent="0.2">
      <c r="C50" s="156" t="str">
        <f>C13</f>
        <v>Other Sales</v>
      </c>
      <c r="D50" s="159">
        <f>Input!E$89+Input!E$98</f>
        <v>0</v>
      </c>
      <c r="E50" s="159">
        <f>Input!F$89+Input!F$98</f>
        <v>0</v>
      </c>
      <c r="F50" s="159">
        <f>Input!G$89+Input!G$98</f>
        <v>0</v>
      </c>
      <c r="G50" s="159">
        <f>Input!H$89+Input!H$98</f>
        <v>0</v>
      </c>
      <c r="H50" s="159">
        <f>Input!I$89+Input!I$98</f>
        <v>0</v>
      </c>
      <c r="I50" s="159"/>
      <c r="J50" s="159"/>
    </row>
    <row r="51" spans="3:24" x14ac:dyDescent="0.2">
      <c r="C51" s="156" t="s">
        <v>811</v>
      </c>
      <c r="D51" s="159">
        <f>Input!E$22+Input!E$32</f>
        <v>62</v>
      </c>
      <c r="E51" s="159">
        <f>Input!F$22+Input!F$32</f>
        <v>62</v>
      </c>
      <c r="F51" s="159">
        <f>Input!G$22+Input!G$32</f>
        <v>62</v>
      </c>
      <c r="G51" s="159">
        <f>Input!H$22+Input!H$32</f>
        <v>62</v>
      </c>
      <c r="H51" s="159">
        <f>Input!I$22+Input!I$32</f>
        <v>62</v>
      </c>
      <c r="I51" s="159"/>
      <c r="J51" s="159"/>
    </row>
    <row r="52" spans="3:24" x14ac:dyDescent="0.2">
      <c r="C52" s="332" t="s">
        <v>684</v>
      </c>
      <c r="D52" s="159">
        <f>Input!E$45</f>
        <v>616</v>
      </c>
      <c r="E52" s="159">
        <f>Input!F$45</f>
        <v>616</v>
      </c>
      <c r="F52" s="159">
        <f>Input!G$45</f>
        <v>616</v>
      </c>
      <c r="G52" s="159">
        <f>Input!H$45</f>
        <v>616</v>
      </c>
      <c r="H52" s="159">
        <f>Input!I$45</f>
        <v>616</v>
      </c>
      <c r="I52" s="159"/>
      <c r="J52" s="159"/>
    </row>
    <row r="53" spans="3:24" x14ac:dyDescent="0.2">
      <c r="C53" s="119" t="s">
        <v>477</v>
      </c>
      <c r="D53" s="501" t="str">
        <f>D6</f>
        <v>Year 1</v>
      </c>
      <c r="E53" s="501" t="str">
        <f>E6</f>
        <v>Year 2</v>
      </c>
      <c r="F53" s="501" t="str">
        <f>F6</f>
        <v>Year 3</v>
      </c>
      <c r="G53" s="501" t="str">
        <f>G6</f>
        <v>Year 4</v>
      </c>
      <c r="H53" s="501" t="str">
        <f>H6</f>
        <v>Year 5</v>
      </c>
      <c r="I53" s="31"/>
      <c r="J53" s="31"/>
      <c r="K53" s="31"/>
      <c r="L53" s="31"/>
      <c r="M53" s="1"/>
      <c r="N53" s="1"/>
      <c r="O53" s="1"/>
      <c r="P53" s="1"/>
      <c r="R53" s="1"/>
      <c r="S53" s="1"/>
    </row>
    <row r="54" spans="3:24" x14ac:dyDescent="0.2">
      <c r="C54" s="1075" t="s">
        <v>476</v>
      </c>
      <c r="D54" s="1076">
        <f>Monthly!R45</f>
        <v>24300.57531183862</v>
      </c>
      <c r="E54" s="1076">
        <f>D54+E43</f>
        <v>47362.634154499843</v>
      </c>
      <c r="F54" s="1077">
        <f>E54+F43</f>
        <v>69258.296855229375</v>
      </c>
      <c r="G54" s="1077">
        <f>F54+G43</f>
        <v>89964.235491188563</v>
      </c>
      <c r="H54" s="1078">
        <f>G54+H43</f>
        <v>109456.655581082</v>
      </c>
      <c r="I54" s="31"/>
      <c r="J54" s="31"/>
      <c r="K54" s="31"/>
      <c r="L54" s="31"/>
      <c r="M54" s="31"/>
      <c r="N54" s="31"/>
      <c r="O54" s="31"/>
      <c r="P54" s="31"/>
      <c r="R54" s="31"/>
      <c r="S54" s="31"/>
      <c r="T54" s="359"/>
      <c r="U54" s="359"/>
      <c r="V54" s="359"/>
      <c r="W54" s="31"/>
      <c r="X54" s="31"/>
    </row>
    <row r="55" spans="3:24" x14ac:dyDescent="0.2">
      <c r="C55" s="185"/>
      <c r="D55" s="359"/>
      <c r="E55" s="359"/>
      <c r="F55" s="359"/>
      <c r="G55" s="359"/>
      <c r="H55" s="359"/>
      <c r="I55" s="31"/>
      <c r="J55" s="31"/>
      <c r="K55" s="31"/>
      <c r="L55" s="31"/>
      <c r="M55" s="31"/>
      <c r="N55" s="31"/>
      <c r="O55" s="31"/>
      <c r="P55" s="31"/>
      <c r="R55" s="31"/>
      <c r="S55" s="31"/>
      <c r="T55" s="359"/>
      <c r="U55" s="359"/>
      <c r="V55" s="359"/>
      <c r="W55" s="31"/>
      <c r="X55" s="31"/>
    </row>
    <row r="56" spans="3:24" x14ac:dyDescent="0.2">
      <c r="C56" s="185"/>
      <c r="D56" s="359"/>
      <c r="E56" s="359"/>
      <c r="F56" s="359"/>
      <c r="G56" s="359"/>
      <c r="H56" s="359"/>
      <c r="I56" s="31"/>
      <c r="J56" s="31"/>
      <c r="K56" s="31"/>
      <c r="L56" s="31"/>
      <c r="M56" s="31"/>
      <c r="N56" s="31"/>
      <c r="O56" s="31"/>
      <c r="P56" s="31"/>
      <c r="R56" s="31"/>
      <c r="S56" s="31"/>
      <c r="T56" s="359"/>
      <c r="U56" s="359"/>
      <c r="V56" s="359"/>
      <c r="W56" s="31"/>
      <c r="X56" s="31"/>
    </row>
    <row r="58" spans="3:24" ht="13.5" thickBot="1" x14ac:dyDescent="0.25"/>
    <row r="59" spans="3:24" ht="16.5" thickBot="1" x14ac:dyDescent="0.3">
      <c r="C59" s="427" t="str">
        <f>Input!$C$10</f>
        <v>Base 400 Herd</v>
      </c>
      <c r="D59" s="428" t="s">
        <v>862</v>
      </c>
      <c r="E59" s="480"/>
      <c r="F59" s="480"/>
      <c r="G59" s="235"/>
      <c r="H59" s="481"/>
    </row>
    <row r="60" spans="3:24" ht="13.5" thickBot="1" x14ac:dyDescent="0.25">
      <c r="C60" s="62"/>
      <c r="D60" s="873" t="str">
        <f>D6</f>
        <v>Year 1</v>
      </c>
      <c r="E60" s="874" t="str">
        <f>E6</f>
        <v>Year 2</v>
      </c>
      <c r="F60" s="875" t="str">
        <f>F6</f>
        <v>Year 3</v>
      </c>
      <c r="G60" s="874" t="str">
        <f>G6</f>
        <v>Year 4</v>
      </c>
      <c r="H60" s="876" t="str">
        <f>H6</f>
        <v>Year 5</v>
      </c>
    </row>
    <row r="61" spans="3:24" x14ac:dyDescent="0.2">
      <c r="C61" s="909" t="s">
        <v>81</v>
      </c>
      <c r="D61" s="910" t="s">
        <v>542</v>
      </c>
      <c r="E61" s="911" t="s">
        <v>542</v>
      </c>
      <c r="F61" s="912" t="s">
        <v>542</v>
      </c>
      <c r="G61" s="911" t="s">
        <v>542</v>
      </c>
      <c r="H61" s="913" t="s">
        <v>542</v>
      </c>
    </row>
    <row r="62" spans="3:24" x14ac:dyDescent="0.2">
      <c r="C62" s="50" t="s">
        <v>641</v>
      </c>
      <c r="D62" s="877">
        <f t="shared" ref="D62:D68" si="0">IF(D8&gt;0,D8/$D$99,0)</f>
        <v>0</v>
      </c>
      <c r="E62" s="878">
        <f>IF(E8&gt;0,E8/$E$99,0)</f>
        <v>0</v>
      </c>
      <c r="F62" s="879">
        <f>IF(F8&gt;0,F8/$F$99,0)</f>
        <v>0</v>
      </c>
      <c r="G62" s="878">
        <f>IF(G8&gt;0,G8/$G$99,0)</f>
        <v>0</v>
      </c>
      <c r="H62" s="880">
        <f>IF(H8&gt;0,H8/$H$99,0)</f>
        <v>0</v>
      </c>
    </row>
    <row r="63" spans="3:24" x14ac:dyDescent="0.2">
      <c r="C63" s="620" t="s">
        <v>749</v>
      </c>
      <c r="D63" s="877">
        <f t="shared" si="0"/>
        <v>425</v>
      </c>
      <c r="E63" s="878">
        <f>E9/$E$99</f>
        <v>425</v>
      </c>
      <c r="F63" s="879">
        <f>F9/$F$99</f>
        <v>425</v>
      </c>
      <c r="G63" s="878">
        <f>G9/$G$99</f>
        <v>425</v>
      </c>
      <c r="H63" s="880">
        <f>H9/$H$99</f>
        <v>425</v>
      </c>
    </row>
    <row r="64" spans="3:24" x14ac:dyDescent="0.2">
      <c r="C64" s="252" t="s">
        <v>502</v>
      </c>
      <c r="D64" s="877">
        <f t="shared" si="0"/>
        <v>0</v>
      </c>
      <c r="E64" s="878">
        <f>IF(E10&gt;0,E10/$E$99,0)</f>
        <v>0</v>
      </c>
      <c r="F64" s="879">
        <f>F10/$F$99</f>
        <v>0</v>
      </c>
      <c r="G64" s="878">
        <f>G10/$G$99</f>
        <v>0</v>
      </c>
      <c r="H64" s="880">
        <f>H10/$G$99</f>
        <v>0</v>
      </c>
    </row>
    <row r="65" spans="3:8" x14ac:dyDescent="0.2">
      <c r="C65" s="50" t="s">
        <v>468</v>
      </c>
      <c r="D65" s="877">
        <f t="shared" si="0"/>
        <v>44.1875</v>
      </c>
      <c r="E65" s="878">
        <f>IF(E11&gt;0,E11/$E$99,0)</f>
        <v>44.1875</v>
      </c>
      <c r="F65" s="879">
        <f>F11/$F$99</f>
        <v>44.1875</v>
      </c>
      <c r="G65" s="878">
        <f>G11/$G$99</f>
        <v>44.1875</v>
      </c>
      <c r="H65" s="880">
        <f>H11/$G$99</f>
        <v>44.1875</v>
      </c>
    </row>
    <row r="66" spans="3:8" x14ac:dyDescent="0.2">
      <c r="C66" s="50" t="s">
        <v>319</v>
      </c>
      <c r="D66" s="877">
        <f t="shared" si="0"/>
        <v>4.0999999999999996</v>
      </c>
      <c r="E66" s="878">
        <f>IF(E12&gt;0,E12/$E$99,0)</f>
        <v>4.0999999999999996</v>
      </c>
      <c r="F66" s="879">
        <f>F12/$F$99</f>
        <v>4.0999999999999996</v>
      </c>
      <c r="G66" s="878">
        <f>G12/$G$99</f>
        <v>4.0999999999999996</v>
      </c>
      <c r="H66" s="880">
        <f>H12/$G$99</f>
        <v>4.0999999999999996</v>
      </c>
    </row>
    <row r="67" spans="3:8" ht="13.5" thickBot="1" x14ac:dyDescent="0.25">
      <c r="C67" s="621" t="s">
        <v>643</v>
      </c>
      <c r="D67" s="881">
        <f t="shared" si="0"/>
        <v>0</v>
      </c>
      <c r="E67" s="882">
        <f>IF(E13&gt;0,E13/$E$99,0)</f>
        <v>0</v>
      </c>
      <c r="F67" s="883">
        <f>F13/$F$99</f>
        <v>0</v>
      </c>
      <c r="G67" s="882">
        <f>G13/$G$99</f>
        <v>0</v>
      </c>
      <c r="H67" s="884">
        <f>H13/$G$99</f>
        <v>0</v>
      </c>
    </row>
    <row r="68" spans="3:8" ht="13.5" thickBot="1" x14ac:dyDescent="0.25">
      <c r="C68" s="959" t="s">
        <v>83</v>
      </c>
      <c r="D68" s="960">
        <f t="shared" si="0"/>
        <v>473.28750000000002</v>
      </c>
      <c r="E68" s="961">
        <f>IF(E14&gt;0,E14/$E$99,0)</f>
        <v>473.28750000000002</v>
      </c>
      <c r="F68" s="962">
        <f>IF(F14&gt;0,F14/$F$99,0)</f>
        <v>473.28750000000002</v>
      </c>
      <c r="G68" s="961">
        <f>IF(G14&gt;0,G14/$G$99,0)</f>
        <v>473.28750000000002</v>
      </c>
      <c r="H68" s="963">
        <f>IF(H14&gt;0,H14/$H$99,0)</f>
        <v>473.28750000000002</v>
      </c>
    </row>
    <row r="69" spans="3:8" ht="13.5" thickBot="1" x14ac:dyDescent="0.25">
      <c r="C69" s="4" t="s">
        <v>233</v>
      </c>
      <c r="D69" s="575"/>
      <c r="E69" s="886"/>
      <c r="F69" s="886"/>
      <c r="G69" s="887"/>
      <c r="H69" s="888"/>
    </row>
    <row r="70" spans="3:8" x14ac:dyDescent="0.2">
      <c r="C70" s="622" t="s">
        <v>805</v>
      </c>
      <c r="D70" s="889">
        <f t="shared" ref="D70:D83" si="1">D16/$D$99</f>
        <v>189.88205677168853</v>
      </c>
      <c r="E70" s="890">
        <f t="shared" ref="E70:E83" si="2">E16/$E$99</f>
        <v>191.70016601500487</v>
      </c>
      <c r="F70" s="891">
        <f t="shared" ref="F70:F83" si="3">F16/$F$99</f>
        <v>191.70016601500487</v>
      </c>
      <c r="G70" s="891">
        <f t="shared" ref="G70:G83" si="4">G16/$G$99</f>
        <v>191.70016601500487</v>
      </c>
      <c r="H70" s="892">
        <f t="shared" ref="H70:H83" si="5">H16/$H$99</f>
        <v>191.70016601500487</v>
      </c>
    </row>
    <row r="71" spans="3:8" x14ac:dyDescent="0.2">
      <c r="C71" s="620" t="s">
        <v>806</v>
      </c>
      <c r="D71" s="877">
        <f t="shared" si="1"/>
        <v>20.298749999999998</v>
      </c>
      <c r="E71" s="878">
        <f t="shared" si="2"/>
        <v>20.298749999999998</v>
      </c>
      <c r="F71" s="879">
        <f t="shared" si="3"/>
        <v>20.298749999999998</v>
      </c>
      <c r="G71" s="879">
        <f t="shared" si="4"/>
        <v>20.298749999999998</v>
      </c>
      <c r="H71" s="893">
        <f t="shared" si="5"/>
        <v>20.298749999999998</v>
      </c>
    </row>
    <row r="72" spans="3:8" x14ac:dyDescent="0.2">
      <c r="C72" s="30" t="s">
        <v>553</v>
      </c>
      <c r="D72" s="877">
        <f t="shared" si="1"/>
        <v>12.237500000000001</v>
      </c>
      <c r="E72" s="878">
        <f t="shared" si="2"/>
        <v>12.407500000000001</v>
      </c>
      <c r="F72" s="879">
        <f t="shared" si="3"/>
        <v>12.5809</v>
      </c>
      <c r="G72" s="879">
        <f t="shared" si="4"/>
        <v>12.757767999999999</v>
      </c>
      <c r="H72" s="893">
        <f t="shared" si="5"/>
        <v>12.938173359999999</v>
      </c>
    </row>
    <row r="73" spans="3:8" x14ac:dyDescent="0.2">
      <c r="C73" s="50" t="s">
        <v>84</v>
      </c>
      <c r="D73" s="877">
        <f t="shared" si="1"/>
        <v>14.3605</v>
      </c>
      <c r="E73" s="878">
        <f t="shared" si="2"/>
        <v>14.647710000000002</v>
      </c>
      <c r="F73" s="879">
        <f t="shared" si="3"/>
        <v>14.940664200000001</v>
      </c>
      <c r="G73" s="879">
        <f t="shared" si="4"/>
        <v>15.239477484000002</v>
      </c>
      <c r="H73" s="893">
        <f t="shared" si="5"/>
        <v>15.544267033680002</v>
      </c>
    </row>
    <row r="74" spans="3:8" x14ac:dyDescent="0.2">
      <c r="C74" s="50" t="s">
        <v>318</v>
      </c>
      <c r="D74" s="877">
        <f t="shared" si="1"/>
        <v>6.75</v>
      </c>
      <c r="E74" s="878">
        <f t="shared" si="2"/>
        <v>6.8</v>
      </c>
      <c r="F74" s="879">
        <f t="shared" si="3"/>
        <v>6.8509999999999991</v>
      </c>
      <c r="G74" s="879">
        <f t="shared" si="4"/>
        <v>6.9030200000000015</v>
      </c>
      <c r="H74" s="893">
        <f t="shared" si="5"/>
        <v>6.9560804000000012</v>
      </c>
    </row>
    <row r="75" spans="3:8" x14ac:dyDescent="0.2">
      <c r="C75" s="50" t="s">
        <v>85</v>
      </c>
      <c r="D75" s="877">
        <f t="shared" si="1"/>
        <v>54.3</v>
      </c>
      <c r="E75" s="878">
        <f t="shared" si="2"/>
        <v>55.385999999999996</v>
      </c>
      <c r="F75" s="879">
        <f t="shared" si="3"/>
        <v>56.493720000000003</v>
      </c>
      <c r="G75" s="879">
        <f t="shared" si="4"/>
        <v>57.623594400000002</v>
      </c>
      <c r="H75" s="893">
        <f t="shared" si="5"/>
        <v>58.776066288000003</v>
      </c>
    </row>
    <row r="76" spans="3:8" x14ac:dyDescent="0.2">
      <c r="C76" s="50" t="s">
        <v>158</v>
      </c>
      <c r="D76" s="877">
        <f t="shared" si="1"/>
        <v>6</v>
      </c>
      <c r="E76" s="878">
        <f t="shared" si="2"/>
        <v>6.12</v>
      </c>
      <c r="F76" s="879">
        <f t="shared" si="3"/>
        <v>6.2423999999999999</v>
      </c>
      <c r="G76" s="879">
        <f t="shared" si="4"/>
        <v>6.3672480000000009</v>
      </c>
      <c r="H76" s="893">
        <f t="shared" si="5"/>
        <v>6.4945929600000012</v>
      </c>
    </row>
    <row r="77" spans="3:8" x14ac:dyDescent="0.2">
      <c r="C77" s="50" t="s">
        <v>159</v>
      </c>
      <c r="D77" s="877">
        <f t="shared" si="1"/>
        <v>8.75</v>
      </c>
      <c r="E77" s="878">
        <f t="shared" si="2"/>
        <v>8.9250000000000007</v>
      </c>
      <c r="F77" s="879">
        <f t="shared" si="3"/>
        <v>9.1035000000000004</v>
      </c>
      <c r="G77" s="879">
        <f t="shared" si="4"/>
        <v>9.2855699999999999</v>
      </c>
      <c r="H77" s="893">
        <f t="shared" si="5"/>
        <v>9.4712814000000005</v>
      </c>
    </row>
    <row r="78" spans="3:8" x14ac:dyDescent="0.2">
      <c r="C78" s="50" t="s">
        <v>546</v>
      </c>
      <c r="D78" s="877">
        <f t="shared" si="1"/>
        <v>8.75</v>
      </c>
      <c r="E78" s="878">
        <f t="shared" si="2"/>
        <v>8.9250000000000007</v>
      </c>
      <c r="F78" s="879">
        <f t="shared" si="3"/>
        <v>9.1035000000000021</v>
      </c>
      <c r="G78" s="879">
        <f t="shared" si="4"/>
        <v>9.2855699999999999</v>
      </c>
      <c r="H78" s="893">
        <f t="shared" si="5"/>
        <v>9.4712814000000005</v>
      </c>
    </row>
    <row r="79" spans="3:8" x14ac:dyDescent="0.2">
      <c r="C79" s="50" t="s">
        <v>664</v>
      </c>
      <c r="D79" s="877">
        <f t="shared" si="1"/>
        <v>30.905999999999995</v>
      </c>
      <c r="E79" s="878">
        <f t="shared" si="2"/>
        <v>31.269600000000001</v>
      </c>
      <c r="F79" s="879">
        <f t="shared" si="3"/>
        <v>31.640471999999999</v>
      </c>
      <c r="G79" s="879">
        <f t="shared" si="4"/>
        <v>32.018761439999999</v>
      </c>
      <c r="H79" s="893">
        <f t="shared" si="5"/>
        <v>32.404616668800003</v>
      </c>
    </row>
    <row r="80" spans="3:8" x14ac:dyDescent="0.2">
      <c r="C80" s="50" t="s">
        <v>338</v>
      </c>
      <c r="D80" s="877">
        <f t="shared" si="1"/>
        <v>6.6624999999999996</v>
      </c>
      <c r="E80" s="878">
        <f t="shared" si="2"/>
        <v>6.6624999999999996</v>
      </c>
      <c r="F80" s="879">
        <f t="shared" si="3"/>
        <v>6.6624999999999996</v>
      </c>
      <c r="G80" s="879">
        <f t="shared" si="4"/>
        <v>6.6624999999999996</v>
      </c>
      <c r="H80" s="893">
        <f t="shared" si="5"/>
        <v>6.6624999999999996</v>
      </c>
    </row>
    <row r="81" spans="3:8" x14ac:dyDescent="0.2">
      <c r="C81" s="50" t="s">
        <v>483</v>
      </c>
      <c r="D81" s="877">
        <f t="shared" si="1"/>
        <v>12.75</v>
      </c>
      <c r="E81" s="878">
        <f t="shared" si="2"/>
        <v>13.005000000000001</v>
      </c>
      <c r="F81" s="879">
        <f t="shared" si="3"/>
        <v>13.2651</v>
      </c>
      <c r="G81" s="879">
        <f t="shared" si="4"/>
        <v>13.530401999999999</v>
      </c>
      <c r="H81" s="893">
        <f t="shared" si="5"/>
        <v>13.801010040000001</v>
      </c>
    </row>
    <row r="82" spans="3:8" x14ac:dyDescent="0.2">
      <c r="C82" s="50" t="s">
        <v>98</v>
      </c>
      <c r="D82" s="877">
        <f t="shared" si="1"/>
        <v>10.301875000000003</v>
      </c>
      <c r="E82" s="878">
        <f t="shared" si="2"/>
        <v>10.459375</v>
      </c>
      <c r="F82" s="879">
        <f t="shared" si="3"/>
        <v>10.620025</v>
      </c>
      <c r="G82" s="879">
        <f t="shared" si="4"/>
        <v>10.783888000000001</v>
      </c>
      <c r="H82" s="893">
        <f t="shared" si="5"/>
        <v>10.951028260000001</v>
      </c>
    </row>
    <row r="83" spans="3:8" ht="13.5" thickBot="1" x14ac:dyDescent="0.25">
      <c r="C83" s="30" t="s">
        <v>168</v>
      </c>
      <c r="D83" s="894">
        <f t="shared" si="1"/>
        <v>4.2168449552617071</v>
      </c>
      <c r="E83" s="895">
        <f t="shared" si="2"/>
        <v>2.6557168848888972</v>
      </c>
      <c r="F83" s="883">
        <f t="shared" si="3"/>
        <v>2.6756110397181474</v>
      </c>
      <c r="G83" s="883">
        <f t="shared" si="4"/>
        <v>2.6959030776439836</v>
      </c>
      <c r="H83" s="896">
        <f t="shared" si="5"/>
        <v>2.716600956328334</v>
      </c>
    </row>
    <row r="84" spans="3:8" ht="13.5" thickBot="1" x14ac:dyDescent="0.25">
      <c r="C84" s="959" t="s">
        <v>105</v>
      </c>
      <c r="D84" s="960">
        <f>SUM(D70:D83)</f>
        <v>386.16602672695029</v>
      </c>
      <c r="E84" s="961">
        <f>SUM(E70:E83)</f>
        <v>389.26231789989384</v>
      </c>
      <c r="F84" s="962">
        <f>SUM(F70:F83)</f>
        <v>392.17830825472299</v>
      </c>
      <c r="G84" s="962">
        <f>SUM(G70:G83)</f>
        <v>395.15261841664886</v>
      </c>
      <c r="H84" s="964">
        <f>SUM(H70:H83)</f>
        <v>398.18641478181314</v>
      </c>
    </row>
    <row r="85" spans="3:8" x14ac:dyDescent="0.2">
      <c r="C85" s="50" t="s">
        <v>110</v>
      </c>
      <c r="D85" s="877">
        <f>D31/$D$99</f>
        <v>21.875000000000004</v>
      </c>
      <c r="E85" s="878">
        <f>E31/$E$99</f>
        <v>20.15625</v>
      </c>
      <c r="F85" s="879">
        <f>F31/$F$99</f>
        <v>18.5859375</v>
      </c>
      <c r="G85" s="879">
        <f>G31/$G$99</f>
        <v>17.150390625</v>
      </c>
      <c r="H85" s="893">
        <f>H31/$H$99</f>
        <v>15.83724609375</v>
      </c>
    </row>
    <row r="86" spans="3:8" ht="13.5" thickBot="1" x14ac:dyDescent="0.25">
      <c r="C86" s="30" t="s">
        <v>111</v>
      </c>
      <c r="D86" s="881">
        <f>D32/$D$99</f>
        <v>12.4375</v>
      </c>
      <c r="E86" s="882">
        <f>E32/$E$99</f>
        <v>11.65754053670087</v>
      </c>
      <c r="F86" s="883">
        <f>F32/$F$99</f>
        <v>10.833863100600736</v>
      </c>
      <c r="G86" s="883">
        <f>G32/$G$99</f>
        <v>9.964013991056369</v>
      </c>
      <c r="H86" s="896">
        <f>H32/$H$99</f>
        <v>9.0454016011608136</v>
      </c>
    </row>
    <row r="87" spans="3:8" ht="13.5" thickBot="1" x14ac:dyDescent="0.25">
      <c r="C87" s="959" t="s">
        <v>115</v>
      </c>
      <c r="D87" s="960">
        <f>D85+D86</f>
        <v>34.3125</v>
      </c>
      <c r="E87" s="961">
        <f>E85+E86</f>
        <v>31.813790536700871</v>
      </c>
      <c r="F87" s="962">
        <f>F85+F86</f>
        <v>29.419800600600738</v>
      </c>
      <c r="G87" s="962">
        <f>G85+G86</f>
        <v>27.114404616056369</v>
      </c>
      <c r="H87" s="964">
        <f>H85+H86</f>
        <v>24.882647694910816</v>
      </c>
    </row>
    <row r="88" spans="3:8" ht="13.5" thickBot="1" x14ac:dyDescent="0.25">
      <c r="C88" s="959" t="s">
        <v>116</v>
      </c>
      <c r="D88" s="960">
        <f>D84+D87</f>
        <v>420.47852672695029</v>
      </c>
      <c r="E88" s="961">
        <f>E84+E87</f>
        <v>421.07610843659472</v>
      </c>
      <c r="F88" s="962">
        <f>F84+F87</f>
        <v>421.59810885532374</v>
      </c>
      <c r="G88" s="962">
        <f>G84+G87</f>
        <v>422.26702303270525</v>
      </c>
      <c r="H88" s="964">
        <f>H84+H87</f>
        <v>423.06906247672396</v>
      </c>
    </row>
    <row r="89" spans="3:8" x14ac:dyDescent="0.2">
      <c r="C89" s="965" t="s">
        <v>117</v>
      </c>
      <c r="D89" s="966">
        <f>D68-D88</f>
        <v>52.80897327304973</v>
      </c>
      <c r="E89" s="967">
        <f>E68-E88</f>
        <v>52.2113915634053</v>
      </c>
      <c r="F89" s="968">
        <f>F68-F88</f>
        <v>51.689391144676279</v>
      </c>
      <c r="G89" s="968">
        <f>G68-G88</f>
        <v>51.020476967294769</v>
      </c>
      <c r="H89" s="969">
        <f>H68-H88</f>
        <v>50.218437523276066</v>
      </c>
    </row>
    <row r="90" spans="3:8" ht="13.5" thickBot="1" x14ac:dyDescent="0.25">
      <c r="C90" s="341" t="s">
        <v>478</v>
      </c>
      <c r="D90" s="898">
        <f>D36/$D$99</f>
        <v>52.80897327304978</v>
      </c>
      <c r="E90" s="899">
        <f>E36/$E$99</f>
        <v>52.211391563405343</v>
      </c>
      <c r="F90" s="900">
        <f>F36/$F$99</f>
        <v>51.689391144676264</v>
      </c>
      <c r="G90" s="900">
        <f>G36/$F$99</f>
        <v>51.020476967294741</v>
      </c>
      <c r="H90" s="901">
        <f>H36/$F$99</f>
        <v>50.218437523275931</v>
      </c>
    </row>
    <row r="91" spans="3:8" ht="13.5" thickBot="1" x14ac:dyDescent="0.25">
      <c r="C91" s="4"/>
      <c r="D91" s="915" t="str">
        <f t="shared" ref="D91:F92" si="6">D60</f>
        <v>Year 1</v>
      </c>
      <c r="E91" s="902" t="str">
        <f t="shared" si="6"/>
        <v>Year 2</v>
      </c>
      <c r="F91" s="903" t="str">
        <f t="shared" si="6"/>
        <v>Year 3</v>
      </c>
      <c r="G91" s="903" t="str">
        <f>G60</f>
        <v>Year 4</v>
      </c>
      <c r="H91" s="904" t="str">
        <f>H60</f>
        <v>Year 5</v>
      </c>
    </row>
    <row r="92" spans="3:8" ht="13.5" thickBot="1" x14ac:dyDescent="0.25">
      <c r="C92" s="914" t="s">
        <v>479</v>
      </c>
      <c r="D92" s="916" t="str">
        <f t="shared" si="6"/>
        <v>$/Ewe</v>
      </c>
      <c r="E92" s="522" t="str">
        <f t="shared" si="6"/>
        <v>$/Ewe</v>
      </c>
      <c r="F92" s="917" t="str">
        <f t="shared" si="6"/>
        <v>$/Ewe</v>
      </c>
      <c r="G92" s="917" t="str">
        <f>G61</f>
        <v>$/Ewe</v>
      </c>
      <c r="H92" s="866" t="str">
        <f>H61</f>
        <v>$/Ewe</v>
      </c>
    </row>
    <row r="93" spans="3:8" x14ac:dyDescent="0.2">
      <c r="C93" s="4" t="s">
        <v>117</v>
      </c>
      <c r="D93" s="905">
        <f>D39/$D$99</f>
        <v>52.80897327304978</v>
      </c>
      <c r="E93" s="906">
        <f>E39/$E$99</f>
        <v>52.211391563405343</v>
      </c>
      <c r="F93" s="907">
        <f>F39/$F$99</f>
        <v>51.689391144676264</v>
      </c>
      <c r="G93" s="907">
        <f>G39/$G$99</f>
        <v>51.020476967294741</v>
      </c>
      <c r="H93" s="908">
        <f>H39/$H$99</f>
        <v>50.218437523275931</v>
      </c>
    </row>
    <row r="94" spans="3:8" x14ac:dyDescent="0.2">
      <c r="C94" s="50" t="s">
        <v>118</v>
      </c>
      <c r="D94" s="877">
        <f>D40/$D$99</f>
        <v>21.875000000000004</v>
      </c>
      <c r="E94" s="878">
        <f>E40/$E$99</f>
        <v>20.15625</v>
      </c>
      <c r="F94" s="879">
        <f>F40/$F$99</f>
        <v>18.5859375</v>
      </c>
      <c r="G94" s="879">
        <f>G40/$G$99</f>
        <v>17.150390625</v>
      </c>
      <c r="H94" s="893">
        <f>H40/$H$99</f>
        <v>15.83724609375</v>
      </c>
    </row>
    <row r="95" spans="3:8" x14ac:dyDescent="0.2">
      <c r="C95" s="30" t="s">
        <v>349</v>
      </c>
      <c r="D95" s="877">
        <f>D41/$D$99</f>
        <v>0</v>
      </c>
      <c r="E95" s="878">
        <f>E41/$E$99</f>
        <v>0</v>
      </c>
      <c r="F95" s="879">
        <f>F41/$F$99</f>
        <v>0</v>
      </c>
      <c r="G95" s="879">
        <f>G41/$G$99</f>
        <v>0</v>
      </c>
      <c r="H95" s="893">
        <f>H41/$H$99</f>
        <v>0</v>
      </c>
    </row>
    <row r="96" spans="3:8" ht="13.5" thickBot="1" x14ac:dyDescent="0.25">
      <c r="C96" s="50" t="s">
        <v>119</v>
      </c>
      <c r="D96" s="881">
        <f>D42/$D$99</f>
        <v>13.932534993453162</v>
      </c>
      <c r="E96" s="878">
        <f>E42/$E$99</f>
        <v>14.712494456752292</v>
      </c>
      <c r="F96" s="879">
        <f>F42/$F$99</f>
        <v>15.536171892852426</v>
      </c>
      <c r="G96" s="879">
        <f>G42/$G$99</f>
        <v>16.406021002396791</v>
      </c>
      <c r="H96" s="893">
        <f>H42/$H$99</f>
        <v>17.324633392292345</v>
      </c>
    </row>
    <row r="97" spans="3:8" ht="13.5" thickBot="1" x14ac:dyDescent="0.25">
      <c r="C97" s="1112" t="s">
        <v>120</v>
      </c>
      <c r="D97" s="960">
        <f>D93+D94+D95-D96</f>
        <v>60.751438279596627</v>
      </c>
      <c r="E97" s="961">
        <f>E93+E94+E95-E96</f>
        <v>57.655147106653047</v>
      </c>
      <c r="F97" s="962">
        <f>F93+F94+F95-F96</f>
        <v>54.739156751823842</v>
      </c>
      <c r="G97" s="962">
        <f>G93+G94+G95-G96</f>
        <v>51.76484658989795</v>
      </c>
      <c r="H97" s="964">
        <f>H93+H94+H95-H96</f>
        <v>48.731050224733593</v>
      </c>
    </row>
    <row r="98" spans="3:8" x14ac:dyDescent="0.2">
      <c r="C98" s="31"/>
      <c r="D98" s="31"/>
      <c r="E98" s="31"/>
      <c r="F98" s="31"/>
      <c r="G98" s="31"/>
    </row>
    <row r="99" spans="3:8" x14ac:dyDescent="0.2">
      <c r="C99" s="156" t="s">
        <v>677</v>
      </c>
      <c r="D99" s="159">
        <f>Input!E$15-Input!$E$17</f>
        <v>400</v>
      </c>
      <c r="E99" s="159">
        <f>Input!F$15-Input!$F$17</f>
        <v>400</v>
      </c>
      <c r="F99" s="159">
        <f>Input!G$15-Input!$F$17</f>
        <v>400</v>
      </c>
      <c r="G99" s="159">
        <f>Input!H$15-Input!$F$17</f>
        <v>400</v>
      </c>
      <c r="H99" s="159">
        <f>Input!I$15-Input!$F$17</f>
        <v>400</v>
      </c>
    </row>
    <row r="100" spans="3:8" x14ac:dyDescent="0.2">
      <c r="C100" s="156" t="s">
        <v>811</v>
      </c>
      <c r="D100" s="159">
        <f>Input!E$22+Input!E$32</f>
        <v>62</v>
      </c>
      <c r="E100" s="159">
        <f>Input!F$22+Input!F$32</f>
        <v>62</v>
      </c>
      <c r="F100" s="159">
        <f>Input!G$22+Input!G$32</f>
        <v>62</v>
      </c>
      <c r="G100" s="159">
        <f>Input!H$22+Input!H$32</f>
        <v>62</v>
      </c>
      <c r="H100" s="159">
        <f>Input!I$22+Input!I$32</f>
        <v>62</v>
      </c>
    </row>
    <row r="101" spans="3:8" x14ac:dyDescent="0.2">
      <c r="C101" s="156"/>
      <c r="D101" s="159"/>
      <c r="E101" s="159"/>
      <c r="F101" s="159"/>
      <c r="G101" s="159"/>
      <c r="H101" s="159"/>
    </row>
    <row r="102" spans="3:8" x14ac:dyDescent="0.2">
      <c r="C102" s="332"/>
      <c r="E102" s="159"/>
      <c r="F102" s="159"/>
    </row>
    <row r="103" spans="3:8" x14ac:dyDescent="0.2">
      <c r="C103" s="159"/>
      <c r="D103" s="159"/>
    </row>
    <row r="104" spans="3:8" ht="13.5" thickBot="1" x14ac:dyDescent="0.25"/>
    <row r="105" spans="3:8" ht="16.5" thickBot="1" x14ac:dyDescent="0.3">
      <c r="C105" s="427" t="str">
        <f>Input!$C$10</f>
        <v>Base 400 Herd</v>
      </c>
      <c r="D105" s="428" t="s">
        <v>863</v>
      </c>
      <c r="E105" s="235"/>
      <c r="F105" s="481"/>
      <c r="G105" s="235"/>
      <c r="H105" s="481"/>
    </row>
    <row r="106" spans="3:8" ht="13.5" thickBot="1" x14ac:dyDescent="0.25">
      <c r="C106" s="62"/>
      <c r="D106" s="927" t="str">
        <f>D6</f>
        <v>Year 1</v>
      </c>
      <c r="E106" s="874" t="str">
        <f>E6</f>
        <v>Year 2</v>
      </c>
      <c r="F106" s="874" t="str">
        <f>F6</f>
        <v>Year 3</v>
      </c>
      <c r="G106" s="874" t="str">
        <f>G6</f>
        <v>Year 4</v>
      </c>
      <c r="H106" s="928" t="str">
        <f>H6</f>
        <v>Year 5</v>
      </c>
    </row>
    <row r="107" spans="3:8" x14ac:dyDescent="0.2">
      <c r="C107" s="918" t="s">
        <v>81</v>
      </c>
      <c r="D107" s="919" t="s">
        <v>543</v>
      </c>
      <c r="E107" s="920" t="s">
        <v>543</v>
      </c>
      <c r="F107" s="920" t="s">
        <v>543</v>
      </c>
      <c r="G107" s="920" t="s">
        <v>543</v>
      </c>
      <c r="H107" s="921" t="s">
        <v>543</v>
      </c>
    </row>
    <row r="108" spans="3:8" x14ac:dyDescent="0.2">
      <c r="C108" s="50" t="s">
        <v>641</v>
      </c>
      <c r="D108" s="570">
        <f>IF(D8&gt;0,D8/D$147,0)</f>
        <v>0</v>
      </c>
      <c r="E108" s="878">
        <f>IF(E8&gt;0,E8/E$147,0)</f>
        <v>0</v>
      </c>
      <c r="F108" s="878">
        <f>IF(F8&gt;0,F8/F$147,0)</f>
        <v>0</v>
      </c>
      <c r="G108" s="878">
        <f>IF(G8&gt;0,G8/G$147,0)</f>
        <v>0</v>
      </c>
      <c r="H108" s="893">
        <f>IF(H8&gt;0,H8/H$147,0)</f>
        <v>0</v>
      </c>
    </row>
    <row r="109" spans="3:8" x14ac:dyDescent="0.2">
      <c r="C109" s="620" t="s">
        <v>749</v>
      </c>
      <c r="D109" s="570">
        <f>IF(D9&gt;0,D9/D$148,0)</f>
        <v>312.5</v>
      </c>
      <c r="E109" s="878">
        <f>IF(E9&gt;0,E9/E$148,0)</f>
        <v>312.5</v>
      </c>
      <c r="F109" s="878">
        <f>IF(F9&gt;0,F9/F$148,0)</f>
        <v>312.5</v>
      </c>
      <c r="G109" s="878">
        <f>IF(G9&gt;0,G9/G$148,0)</f>
        <v>312.5</v>
      </c>
      <c r="H109" s="893">
        <f>IF(H9&gt;0,H9/H$148,0)</f>
        <v>312.5</v>
      </c>
    </row>
    <row r="110" spans="3:8" x14ac:dyDescent="0.2">
      <c r="C110" s="252" t="s">
        <v>502</v>
      </c>
      <c r="D110" s="570">
        <f>IF(D10&gt;0,D10/D$150,0)</f>
        <v>0</v>
      </c>
      <c r="E110" s="878">
        <f>IF(E10&gt;0,E10/E$150,0)</f>
        <v>0</v>
      </c>
      <c r="F110" s="878">
        <f>IF(F10&gt;0,F10/F$150,0)</f>
        <v>0</v>
      </c>
      <c r="G110" s="878">
        <f>IF(G10&gt;0,G10/G$150,0)</f>
        <v>0</v>
      </c>
      <c r="H110" s="893">
        <f>IF(H10&gt;0,H10/H$150,0)</f>
        <v>0</v>
      </c>
    </row>
    <row r="111" spans="3:8" x14ac:dyDescent="0.2">
      <c r="C111" s="50" t="s">
        <v>468</v>
      </c>
      <c r="D111" s="570">
        <f>IF(D11&gt;0,D11/D$153,0)</f>
        <v>28.693181818181817</v>
      </c>
      <c r="E111" s="878">
        <f>IF(E11&gt;0,E11/E$153,0)</f>
        <v>28.693181818181817</v>
      </c>
      <c r="F111" s="878">
        <f>IF(F11&gt;0,F11/F$153,0)</f>
        <v>28.693181818181817</v>
      </c>
      <c r="G111" s="878">
        <f>IF(G11&gt;0,G11/G$153,0)</f>
        <v>28.693181818181817</v>
      </c>
      <c r="H111" s="893">
        <f>IF(H11&gt;0,H11/H$153,0)</f>
        <v>28.693181818181817</v>
      </c>
    </row>
    <row r="112" spans="3:8" x14ac:dyDescent="0.2">
      <c r="C112" s="50" t="s">
        <v>319</v>
      </c>
      <c r="D112" s="570">
        <f t="shared" ref="D112:H113" si="7">IF(D12&gt;0,D12/D$153,0)</f>
        <v>2.6623376623376624</v>
      </c>
      <c r="E112" s="878">
        <f t="shared" si="7"/>
        <v>2.6623376623376624</v>
      </c>
      <c r="F112" s="878">
        <f t="shared" si="7"/>
        <v>2.6623376623376624</v>
      </c>
      <c r="G112" s="878">
        <f t="shared" si="7"/>
        <v>2.6623376623376624</v>
      </c>
      <c r="H112" s="893">
        <f t="shared" si="7"/>
        <v>2.6623376623376624</v>
      </c>
    </row>
    <row r="113" spans="3:10" ht="13.5" thickBot="1" x14ac:dyDescent="0.25">
      <c r="C113" s="621" t="s">
        <v>643</v>
      </c>
      <c r="D113" s="572">
        <f t="shared" si="7"/>
        <v>0</v>
      </c>
      <c r="E113" s="882">
        <f t="shared" si="7"/>
        <v>0</v>
      </c>
      <c r="F113" s="882">
        <f t="shared" si="7"/>
        <v>0</v>
      </c>
      <c r="G113" s="882">
        <f t="shared" si="7"/>
        <v>0</v>
      </c>
      <c r="H113" s="896">
        <f t="shared" si="7"/>
        <v>0</v>
      </c>
    </row>
    <row r="114" spans="3:10" ht="13.5" thickBot="1" x14ac:dyDescent="0.25">
      <c r="C114" s="953" t="s">
        <v>83</v>
      </c>
      <c r="D114" s="954">
        <f>D14/D$153</f>
        <v>307.32954545454544</v>
      </c>
      <c r="E114" s="955">
        <f>E14/E$153</f>
        <v>307.32954545454544</v>
      </c>
      <c r="F114" s="955">
        <f>F14/F$153</f>
        <v>307.32954545454544</v>
      </c>
      <c r="G114" s="955">
        <f>G14/G$153</f>
        <v>307.32954545454544</v>
      </c>
      <c r="H114" s="956">
        <f>H14/H$153</f>
        <v>307.32954545454544</v>
      </c>
      <c r="J114" s="68" t="s">
        <v>902</v>
      </c>
    </row>
    <row r="115" spans="3:10" ht="13.5" thickBot="1" x14ac:dyDescent="0.25">
      <c r="C115" s="4" t="s">
        <v>233</v>
      </c>
      <c r="D115" s="922"/>
      <c r="E115" s="923"/>
      <c r="F115" s="923"/>
      <c r="G115" s="923"/>
      <c r="H115" s="924"/>
    </row>
    <row r="116" spans="3:10" x14ac:dyDescent="0.2">
      <c r="C116" s="622" t="s">
        <v>805</v>
      </c>
      <c r="D116" s="925">
        <f>D16/D$153</f>
        <v>123.3000368647328</v>
      </c>
      <c r="E116" s="890">
        <f>E16/E$153</f>
        <v>124.48062728247069</v>
      </c>
      <c r="F116" s="890">
        <f>F16/F$153</f>
        <v>124.48062728247069</v>
      </c>
      <c r="G116" s="890">
        <f>G16/G$153</f>
        <v>124.48062728247069</v>
      </c>
      <c r="H116" s="926">
        <f>H16/H$153</f>
        <v>124.48062728247069</v>
      </c>
    </row>
    <row r="117" spans="3:10" x14ac:dyDescent="0.2">
      <c r="C117" s="620" t="s">
        <v>806</v>
      </c>
      <c r="D117" s="570">
        <f t="shared" ref="D117:H125" si="8">D17/D$153</f>
        <v>13.181006493506494</v>
      </c>
      <c r="E117" s="878">
        <f t="shared" si="8"/>
        <v>13.181006493506494</v>
      </c>
      <c r="F117" s="878">
        <f t="shared" si="8"/>
        <v>13.181006493506494</v>
      </c>
      <c r="G117" s="878">
        <f t="shared" si="8"/>
        <v>13.181006493506494</v>
      </c>
      <c r="H117" s="880">
        <f t="shared" si="8"/>
        <v>13.181006493506494</v>
      </c>
    </row>
    <row r="118" spans="3:10" x14ac:dyDescent="0.2">
      <c r="C118" s="30" t="s">
        <v>553</v>
      </c>
      <c r="D118" s="570">
        <f t="shared" si="8"/>
        <v>7.9464285714285712</v>
      </c>
      <c r="E118" s="878">
        <f t="shared" si="8"/>
        <v>8.0568181818181817</v>
      </c>
      <c r="F118" s="878">
        <f t="shared" si="8"/>
        <v>8.1694155844155834</v>
      </c>
      <c r="G118" s="878">
        <f t="shared" si="8"/>
        <v>8.2842649350649342</v>
      </c>
      <c r="H118" s="880">
        <f t="shared" si="8"/>
        <v>8.4014112727272714</v>
      </c>
    </row>
    <row r="119" spans="3:10" x14ac:dyDescent="0.2">
      <c r="C119" s="50" t="s">
        <v>84</v>
      </c>
      <c r="D119" s="570">
        <f t="shared" si="8"/>
        <v>9.3249999999999993</v>
      </c>
      <c r="E119" s="878">
        <f t="shared" si="8"/>
        <v>9.5115000000000016</v>
      </c>
      <c r="F119" s="878">
        <f t="shared" si="8"/>
        <v>9.7017300000000013</v>
      </c>
      <c r="G119" s="878">
        <f t="shared" si="8"/>
        <v>9.8957646000000015</v>
      </c>
      <c r="H119" s="880">
        <f t="shared" si="8"/>
        <v>10.093679892000003</v>
      </c>
    </row>
    <row r="120" spans="3:10" x14ac:dyDescent="0.2">
      <c r="C120" s="50" t="s">
        <v>318</v>
      </c>
      <c r="D120" s="570">
        <f t="shared" si="8"/>
        <v>4.383116883116883</v>
      </c>
      <c r="E120" s="878">
        <f t="shared" si="8"/>
        <v>4.4155844155844157</v>
      </c>
      <c r="F120" s="878">
        <f t="shared" si="8"/>
        <v>4.4487012987012982</v>
      </c>
      <c r="G120" s="878">
        <f t="shared" si="8"/>
        <v>4.4824805194805206</v>
      </c>
      <c r="H120" s="880">
        <f t="shared" si="8"/>
        <v>4.516935324675325</v>
      </c>
    </row>
    <row r="121" spans="3:10" x14ac:dyDescent="0.2">
      <c r="C121" s="50" t="s">
        <v>85</v>
      </c>
      <c r="D121" s="570">
        <f t="shared" si="8"/>
        <v>35.259740259740262</v>
      </c>
      <c r="E121" s="878">
        <f t="shared" si="8"/>
        <v>35.964935064935062</v>
      </c>
      <c r="F121" s="878">
        <f t="shared" si="8"/>
        <v>36.684233766233767</v>
      </c>
      <c r="G121" s="878">
        <f t="shared" si="8"/>
        <v>37.417918441558442</v>
      </c>
      <c r="H121" s="880">
        <f t="shared" si="8"/>
        <v>38.166276810389611</v>
      </c>
    </row>
    <row r="122" spans="3:10" x14ac:dyDescent="0.2">
      <c r="C122" s="50" t="s">
        <v>158</v>
      </c>
      <c r="D122" s="570">
        <f t="shared" si="8"/>
        <v>3.8961038961038961</v>
      </c>
      <c r="E122" s="878">
        <f t="shared" si="8"/>
        <v>3.9740259740259742</v>
      </c>
      <c r="F122" s="878">
        <f t="shared" si="8"/>
        <v>4.0535064935064939</v>
      </c>
      <c r="G122" s="878">
        <f t="shared" si="8"/>
        <v>4.1345766233766241</v>
      </c>
      <c r="H122" s="880">
        <f t="shared" si="8"/>
        <v>4.2172681558441569</v>
      </c>
    </row>
    <row r="123" spans="3:10" x14ac:dyDescent="0.2">
      <c r="C123" s="50" t="s">
        <v>159</v>
      </c>
      <c r="D123" s="570">
        <f t="shared" si="8"/>
        <v>5.6818181818181817</v>
      </c>
      <c r="E123" s="878">
        <f t="shared" si="8"/>
        <v>5.7954545454545459</v>
      </c>
      <c r="F123" s="878">
        <f t="shared" si="8"/>
        <v>5.9113636363636362</v>
      </c>
      <c r="G123" s="878">
        <f t="shared" si="8"/>
        <v>6.029590909090909</v>
      </c>
      <c r="H123" s="880">
        <f t="shared" si="8"/>
        <v>6.1501827272727274</v>
      </c>
    </row>
    <row r="124" spans="3:10" x14ac:dyDescent="0.2">
      <c r="C124" s="50" t="s">
        <v>546</v>
      </c>
      <c r="D124" s="570">
        <f t="shared" si="8"/>
        <v>5.6818181818181817</v>
      </c>
      <c r="E124" s="878">
        <f t="shared" si="8"/>
        <v>5.7954545454545459</v>
      </c>
      <c r="F124" s="878">
        <f t="shared" si="8"/>
        <v>5.911363636363637</v>
      </c>
      <c r="G124" s="878">
        <f t="shared" si="8"/>
        <v>6.029590909090909</v>
      </c>
      <c r="H124" s="880">
        <f t="shared" si="8"/>
        <v>6.1501827272727274</v>
      </c>
    </row>
    <row r="125" spans="3:10" x14ac:dyDescent="0.2">
      <c r="C125" s="50" t="s">
        <v>664</v>
      </c>
      <c r="D125" s="570">
        <f t="shared" si="8"/>
        <v>20.068831168831164</v>
      </c>
      <c r="E125" s="878">
        <f t="shared" si="8"/>
        <v>20.304935064935066</v>
      </c>
      <c r="F125" s="878">
        <f t="shared" si="8"/>
        <v>20.545761038961039</v>
      </c>
      <c r="G125" s="878">
        <f t="shared" si="8"/>
        <v>20.79140353246753</v>
      </c>
      <c r="H125" s="880">
        <f t="shared" si="8"/>
        <v>21.041958875844156</v>
      </c>
    </row>
    <row r="126" spans="3:10" x14ac:dyDescent="0.2">
      <c r="C126" s="50" t="s">
        <v>338</v>
      </c>
      <c r="D126" s="570">
        <f t="shared" ref="D126:H132" si="9">D26/D$153</f>
        <v>4.3262987012987013</v>
      </c>
      <c r="E126" s="878">
        <f t="shared" si="9"/>
        <v>4.3262987012987013</v>
      </c>
      <c r="F126" s="878">
        <f t="shared" si="9"/>
        <v>4.3262987012987013</v>
      </c>
      <c r="G126" s="878">
        <f t="shared" si="9"/>
        <v>4.3262987012987013</v>
      </c>
      <c r="H126" s="880">
        <f t="shared" si="9"/>
        <v>4.3262987012987013</v>
      </c>
    </row>
    <row r="127" spans="3:10" x14ac:dyDescent="0.2">
      <c r="C127" s="50" t="s">
        <v>483</v>
      </c>
      <c r="D127" s="570">
        <f t="shared" si="9"/>
        <v>8.279220779220779</v>
      </c>
      <c r="E127" s="878">
        <f t="shared" si="9"/>
        <v>8.4448051948051948</v>
      </c>
      <c r="F127" s="878">
        <f t="shared" si="9"/>
        <v>8.6137012987012991</v>
      </c>
      <c r="G127" s="878">
        <f t="shared" si="9"/>
        <v>8.7859753246753236</v>
      </c>
      <c r="H127" s="880">
        <f t="shared" si="9"/>
        <v>8.9616948311688311</v>
      </c>
    </row>
    <row r="128" spans="3:10" x14ac:dyDescent="0.2">
      <c r="C128" s="50" t="s">
        <v>98</v>
      </c>
      <c r="D128" s="570">
        <f t="shared" si="9"/>
        <v>6.6895292207792219</v>
      </c>
      <c r="E128" s="878">
        <f t="shared" si="9"/>
        <v>6.7918019480519485</v>
      </c>
      <c r="F128" s="878">
        <f t="shared" si="9"/>
        <v>6.8961201298701305</v>
      </c>
      <c r="G128" s="878">
        <f t="shared" si="9"/>
        <v>7.0025246753246764</v>
      </c>
      <c r="H128" s="880">
        <f t="shared" si="9"/>
        <v>7.1110573116883122</v>
      </c>
    </row>
    <row r="129" spans="3:10" ht="13.5" thickBot="1" x14ac:dyDescent="0.25">
      <c r="C129" s="30" t="s">
        <v>168</v>
      </c>
      <c r="D129" s="572">
        <f t="shared" si="9"/>
        <v>2.7382110099101991</v>
      </c>
      <c r="E129" s="882">
        <f t="shared" si="9"/>
        <v>1.724491483694089</v>
      </c>
      <c r="F129" s="882">
        <f t="shared" si="9"/>
        <v>1.7374097660507453</v>
      </c>
      <c r="G129" s="882">
        <f t="shared" si="9"/>
        <v>1.7505864140545346</v>
      </c>
      <c r="H129" s="884">
        <f t="shared" si="9"/>
        <v>1.7640265950183989</v>
      </c>
    </row>
    <row r="130" spans="3:10" ht="13.5" thickBot="1" x14ac:dyDescent="0.25">
      <c r="C130" s="953" t="s">
        <v>105</v>
      </c>
      <c r="D130" s="954">
        <f t="shared" si="9"/>
        <v>250.75716021230534</v>
      </c>
      <c r="E130" s="955">
        <f t="shared" si="9"/>
        <v>252.7677388960349</v>
      </c>
      <c r="F130" s="955">
        <f t="shared" si="9"/>
        <v>254.66123912644352</v>
      </c>
      <c r="G130" s="955">
        <f t="shared" si="9"/>
        <v>256.59260936146035</v>
      </c>
      <c r="H130" s="957">
        <f t="shared" si="9"/>
        <v>258.56260700117741</v>
      </c>
      <c r="J130" s="68" t="s">
        <v>902</v>
      </c>
    </row>
    <row r="131" spans="3:10" x14ac:dyDescent="0.2">
      <c r="C131" s="50" t="s">
        <v>110</v>
      </c>
      <c r="D131" s="570">
        <f t="shared" si="9"/>
        <v>14.204545454545457</v>
      </c>
      <c r="E131" s="890">
        <f t="shared" si="9"/>
        <v>13.088474025974026</v>
      </c>
      <c r="F131" s="890">
        <f t="shared" si="9"/>
        <v>12.068790584415584</v>
      </c>
      <c r="G131" s="890">
        <f t="shared" si="9"/>
        <v>11.136617288961039</v>
      </c>
      <c r="H131" s="926">
        <f t="shared" si="9"/>
        <v>10.283926034902597</v>
      </c>
    </row>
    <row r="132" spans="3:10" ht="13.5" thickBot="1" x14ac:dyDescent="0.25">
      <c r="C132" s="30" t="s">
        <v>111</v>
      </c>
      <c r="D132" s="572">
        <f t="shared" si="9"/>
        <v>8.0762987012987004</v>
      </c>
      <c r="E132" s="882">
        <f t="shared" si="9"/>
        <v>7.5698315173382271</v>
      </c>
      <c r="F132" s="882">
        <f t="shared" si="9"/>
        <v>7.0349760393511271</v>
      </c>
      <c r="G132" s="882">
        <f t="shared" si="9"/>
        <v>6.470138955231409</v>
      </c>
      <c r="H132" s="884">
        <f t="shared" si="9"/>
        <v>5.8736374033511778</v>
      </c>
    </row>
    <row r="133" spans="3:10" ht="13.5" thickBot="1" x14ac:dyDescent="0.25">
      <c r="C133" s="953" t="s">
        <v>115</v>
      </c>
      <c r="D133" s="954">
        <f>D131+D132</f>
        <v>22.280844155844157</v>
      </c>
      <c r="E133" s="955">
        <f>E131+E132</f>
        <v>20.658305543312252</v>
      </c>
      <c r="F133" s="955">
        <f>F131+F132</f>
        <v>19.10376662376671</v>
      </c>
      <c r="G133" s="955">
        <f>G131+G132</f>
        <v>17.606756244192447</v>
      </c>
      <c r="H133" s="957">
        <f>H131+H132</f>
        <v>16.157563438253774</v>
      </c>
    </row>
    <row r="134" spans="3:10" ht="13.5" thickBot="1" x14ac:dyDescent="0.25">
      <c r="C134" s="953" t="s">
        <v>116</v>
      </c>
      <c r="D134" s="954">
        <f>D130+D133</f>
        <v>273.03800436814947</v>
      </c>
      <c r="E134" s="955">
        <f>E130+E133</f>
        <v>273.42604443934715</v>
      </c>
      <c r="F134" s="955">
        <f>F130+F133</f>
        <v>273.76500575021021</v>
      </c>
      <c r="G134" s="955">
        <f>G130+G133</f>
        <v>274.19936560565282</v>
      </c>
      <c r="H134" s="956">
        <f>H130+H133</f>
        <v>274.72017043943117</v>
      </c>
      <c r="J134" s="68" t="s">
        <v>902</v>
      </c>
    </row>
    <row r="135" spans="3:10" ht="13.5" thickBot="1" x14ac:dyDescent="0.25">
      <c r="C135" s="958" t="s">
        <v>117</v>
      </c>
      <c r="D135" s="954">
        <f t="shared" ref="D135:H136" si="10">D35/D$153</f>
        <v>34.291541086395959</v>
      </c>
      <c r="E135" s="955">
        <f t="shared" si="10"/>
        <v>33.903501015198273</v>
      </c>
      <c r="F135" s="955">
        <f t="shared" si="10"/>
        <v>33.564539704335239</v>
      </c>
      <c r="G135" s="955">
        <f t="shared" si="10"/>
        <v>33.130179848892688</v>
      </c>
      <c r="H135" s="956">
        <f t="shared" si="10"/>
        <v>32.609375015114246</v>
      </c>
      <c r="J135" s="68" t="s">
        <v>902</v>
      </c>
    </row>
    <row r="136" spans="3:10" ht="13.5" thickBot="1" x14ac:dyDescent="0.25">
      <c r="C136" s="864" t="s">
        <v>478</v>
      </c>
      <c r="D136" s="258">
        <f t="shared" si="10"/>
        <v>34.291541086395959</v>
      </c>
      <c r="E136" s="885">
        <f t="shared" si="10"/>
        <v>33.903501015198273</v>
      </c>
      <c r="F136" s="885">
        <f t="shared" si="10"/>
        <v>33.564539704335239</v>
      </c>
      <c r="G136" s="885">
        <f t="shared" si="10"/>
        <v>33.130179848892688</v>
      </c>
      <c r="H136" s="897">
        <f t="shared" si="10"/>
        <v>32.609375015114246</v>
      </c>
    </row>
    <row r="137" spans="3:10" ht="13.5" thickBot="1" x14ac:dyDescent="0.25">
      <c r="C137" s="4"/>
      <c r="D137" s="929" t="s">
        <v>4</v>
      </c>
      <c r="E137" s="902" t="s">
        <v>5</v>
      </c>
      <c r="F137" s="902" t="s">
        <v>6</v>
      </c>
      <c r="G137" s="902" t="s">
        <v>7</v>
      </c>
      <c r="H137" s="930" t="s">
        <v>8</v>
      </c>
    </row>
    <row r="138" spans="3:10" ht="13.5" thickBot="1" x14ac:dyDescent="0.25">
      <c r="C138" s="914" t="s">
        <v>479</v>
      </c>
      <c r="D138" s="864" t="str">
        <f>D107</f>
        <v>$/Lamb</v>
      </c>
      <c r="E138" s="522" t="str">
        <f>E107</f>
        <v>$/Lamb</v>
      </c>
      <c r="F138" s="522" t="str">
        <f>F107</f>
        <v>$/Lamb</v>
      </c>
      <c r="G138" s="522" t="str">
        <f>G107</f>
        <v>$/Lamb</v>
      </c>
      <c r="H138" s="523" t="str">
        <f>H107</f>
        <v>$/Lamb</v>
      </c>
    </row>
    <row r="139" spans="3:10" x14ac:dyDescent="0.2">
      <c r="C139" s="4" t="s">
        <v>117</v>
      </c>
      <c r="D139" s="423">
        <f>D39/D$153</f>
        <v>34.291541086395959</v>
      </c>
      <c r="E139" s="890">
        <f>E39/E$153</f>
        <v>33.903501015198273</v>
      </c>
      <c r="F139" s="890">
        <f>F39/F$153</f>
        <v>33.564539704335239</v>
      </c>
      <c r="G139" s="890">
        <f>G39/G$153</f>
        <v>33.130179848892688</v>
      </c>
      <c r="H139" s="926">
        <f>H39/H$153</f>
        <v>32.609375015114246</v>
      </c>
    </row>
    <row r="140" spans="3:10" x14ac:dyDescent="0.2">
      <c r="C140" s="50" t="s">
        <v>118</v>
      </c>
      <c r="D140" s="570">
        <f t="shared" ref="D140:H142" si="11">D40/D$153</f>
        <v>14.204545454545457</v>
      </c>
      <c r="E140" s="878">
        <f t="shared" si="11"/>
        <v>13.088474025974026</v>
      </c>
      <c r="F140" s="878">
        <f t="shared" si="11"/>
        <v>12.068790584415584</v>
      </c>
      <c r="G140" s="878">
        <f t="shared" si="11"/>
        <v>11.136617288961039</v>
      </c>
      <c r="H140" s="880">
        <f t="shared" si="11"/>
        <v>10.283926034902597</v>
      </c>
    </row>
    <row r="141" spans="3:10" x14ac:dyDescent="0.2">
      <c r="C141" s="30" t="s">
        <v>349</v>
      </c>
      <c r="D141" s="570">
        <f t="shared" si="11"/>
        <v>0</v>
      </c>
      <c r="E141" s="878">
        <f t="shared" si="11"/>
        <v>0</v>
      </c>
      <c r="F141" s="878">
        <f t="shared" si="11"/>
        <v>0</v>
      </c>
      <c r="G141" s="878">
        <f t="shared" si="11"/>
        <v>0</v>
      </c>
      <c r="H141" s="880">
        <f t="shared" si="11"/>
        <v>0</v>
      </c>
    </row>
    <row r="142" spans="3:10" ht="13.5" thickBot="1" x14ac:dyDescent="0.25">
      <c r="C142" s="50" t="s">
        <v>119</v>
      </c>
      <c r="D142" s="572">
        <f t="shared" si="11"/>
        <v>9.0471006450994551</v>
      </c>
      <c r="E142" s="882">
        <f t="shared" si="11"/>
        <v>9.5535678290599311</v>
      </c>
      <c r="F142" s="882">
        <f t="shared" si="11"/>
        <v>10.08842330704703</v>
      </c>
      <c r="G142" s="882">
        <f t="shared" si="11"/>
        <v>10.653260391166748</v>
      </c>
      <c r="H142" s="884">
        <f t="shared" si="11"/>
        <v>11.249761943046979</v>
      </c>
    </row>
    <row r="143" spans="3:10" ht="13.5" thickBot="1" x14ac:dyDescent="0.25">
      <c r="C143" s="958" t="s">
        <v>120</v>
      </c>
      <c r="D143" s="954">
        <f>D139+D140-D141-D142</f>
        <v>39.448985895841965</v>
      </c>
      <c r="E143" s="955">
        <f>E139+E140-E141-E142</f>
        <v>37.438407212112367</v>
      </c>
      <c r="F143" s="955">
        <f>F139+F140-F141-F142</f>
        <v>35.544906981703797</v>
      </c>
      <c r="G143" s="955">
        <f>G139+G140-G141-G142</f>
        <v>33.613536746686982</v>
      </c>
      <c r="H143" s="956">
        <f>H139+H140-H141-H142</f>
        <v>31.643539106969868</v>
      </c>
      <c r="J143" s="68" t="s">
        <v>902</v>
      </c>
    </row>
    <row r="144" spans="3:10" x14ac:dyDescent="0.2">
      <c r="D144" s="31"/>
      <c r="G144" s="31"/>
    </row>
    <row r="145" spans="3:8" x14ac:dyDescent="0.2">
      <c r="D145" s="159"/>
      <c r="G145" s="159"/>
    </row>
    <row r="146" spans="3:8" x14ac:dyDescent="0.2">
      <c r="C146" s="156" t="s">
        <v>677</v>
      </c>
      <c r="D146" s="159">
        <f>Input!E$15-Input!$G$17</f>
        <v>400</v>
      </c>
      <c r="E146" s="159">
        <f>Input!F$15-Input!$G$17</f>
        <v>400</v>
      </c>
      <c r="F146" s="159">
        <f>Input!G$15-Input!$G$17</f>
        <v>400</v>
      </c>
      <c r="G146" s="159">
        <f>Input!H$15-Input!$G$17</f>
        <v>400</v>
      </c>
      <c r="H146" s="159">
        <f>Input!I$15-Input!$G$17</f>
        <v>400</v>
      </c>
    </row>
    <row r="147" spans="3:8" x14ac:dyDescent="0.2">
      <c r="C147" s="156" t="str">
        <f>C8</f>
        <v>Feeder Lamb Sales (under 90lbs)</v>
      </c>
      <c r="D147" s="159">
        <f>Input!$E$51</f>
        <v>0</v>
      </c>
      <c r="E147" s="159">
        <f>Input!$F$51</f>
        <v>0</v>
      </c>
      <c r="F147" s="159">
        <f>Input!$G$51</f>
        <v>0</v>
      </c>
      <c r="G147" s="159">
        <f>Input!$H$51</f>
        <v>0</v>
      </c>
      <c r="H147" s="159">
        <f>Input!$I$51</f>
        <v>0</v>
      </c>
    </row>
    <row r="148" spans="3:8" x14ac:dyDescent="0.2">
      <c r="C148" s="156" t="str">
        <f>C9</f>
        <v>Slaughter Lamb Sales (90lbs+)</v>
      </c>
      <c r="D148" s="159">
        <f>Input!E$56</f>
        <v>544</v>
      </c>
      <c r="E148" s="159">
        <f>Input!F$56</f>
        <v>544</v>
      </c>
      <c r="F148" s="159">
        <f>Input!G$56</f>
        <v>544</v>
      </c>
      <c r="G148" s="159">
        <f>Input!H$56</f>
        <v>544</v>
      </c>
      <c r="H148" s="159">
        <f>Input!I$56</f>
        <v>544</v>
      </c>
    </row>
    <row r="149" spans="3:8" x14ac:dyDescent="0.2">
      <c r="C149" s="156" t="s">
        <v>857</v>
      </c>
      <c r="D149" s="159">
        <f>Input!E$24</f>
        <v>72</v>
      </c>
      <c r="E149" s="159">
        <f>Input!F$24</f>
        <v>72</v>
      </c>
      <c r="F149" s="159">
        <f>Input!G$24</f>
        <v>72</v>
      </c>
      <c r="G149" s="159">
        <f>Input!H$24</f>
        <v>72</v>
      </c>
      <c r="H149" s="159">
        <f>Input!I$24</f>
        <v>72</v>
      </c>
    </row>
    <row r="150" spans="3:8" x14ac:dyDescent="0.2">
      <c r="C150" s="156" t="s">
        <v>502</v>
      </c>
      <c r="D150" s="159">
        <f>Input!E$61+Input!E$63+Input!E$65</f>
        <v>0</v>
      </c>
      <c r="E150" s="159">
        <f>Input!F$61+Input!F$63+Input!F$65</f>
        <v>0</v>
      </c>
      <c r="F150" s="159">
        <f>Input!G$61+Input!G$63+Input!G$65</f>
        <v>0</v>
      </c>
      <c r="G150" s="159">
        <f>Input!H$61+Input!H$63+Input!H$65</f>
        <v>0</v>
      </c>
      <c r="H150" s="159">
        <f>Input!I$61+Input!I$63+Input!I$65</f>
        <v>0</v>
      </c>
    </row>
    <row r="151" spans="3:8" x14ac:dyDescent="0.2">
      <c r="C151" s="156" t="str">
        <f>C13</f>
        <v>Other Sales</v>
      </c>
      <c r="D151" s="159">
        <f>Input!E$89+Input!E$98</f>
        <v>0</v>
      </c>
      <c r="E151" s="159">
        <f>Input!F$89+Input!F$98</f>
        <v>0</v>
      </c>
      <c r="F151" s="159">
        <f>Input!G$89+Input!G$98</f>
        <v>0</v>
      </c>
      <c r="G151" s="159">
        <f>Input!H$89+Input!H$98</f>
        <v>0</v>
      </c>
      <c r="H151" s="159">
        <f>Input!I$89+Input!I$98</f>
        <v>0</v>
      </c>
    </row>
    <row r="152" spans="3:8" x14ac:dyDescent="0.2">
      <c r="C152" s="156" t="s">
        <v>811</v>
      </c>
      <c r="D152" s="159">
        <f>Input!E$22+Input!E$32</f>
        <v>62</v>
      </c>
      <c r="E152" s="159">
        <f>Input!F$22+Input!F$32</f>
        <v>62</v>
      </c>
      <c r="F152" s="159">
        <f>Input!G$22+Input!G$32</f>
        <v>62</v>
      </c>
      <c r="G152" s="159">
        <f>Input!H$22+Input!H$32</f>
        <v>62</v>
      </c>
      <c r="H152" s="159">
        <f>Input!I$22+Input!I$32</f>
        <v>62</v>
      </c>
    </row>
    <row r="153" spans="3:8" x14ac:dyDescent="0.2">
      <c r="C153" s="332" t="s">
        <v>684</v>
      </c>
      <c r="D153" s="338">
        <f>Input!E$45</f>
        <v>616</v>
      </c>
      <c r="E153" s="338">
        <f>Input!F$45</f>
        <v>616</v>
      </c>
      <c r="F153" s="338">
        <f>Input!G$45</f>
        <v>616</v>
      </c>
      <c r="G153" s="338">
        <f>Input!H$45</f>
        <v>616</v>
      </c>
      <c r="H153" s="338">
        <f>Input!I$45</f>
        <v>616</v>
      </c>
    </row>
    <row r="154" spans="3:8" x14ac:dyDescent="0.2">
      <c r="C154" s="119" t="s">
        <v>886</v>
      </c>
      <c r="D154" s="338">
        <f>D147+D148+D150+D151</f>
        <v>544</v>
      </c>
      <c r="E154" s="338">
        <f>E147+E148+E150+E151</f>
        <v>544</v>
      </c>
      <c r="F154" s="338">
        <f>F147+F148+F150+F151</f>
        <v>544</v>
      </c>
      <c r="G154" s="338">
        <f>G147+G148+G150+G151</f>
        <v>544</v>
      </c>
      <c r="H154" s="338">
        <f>H147+H148+H150+H151</f>
        <v>544</v>
      </c>
    </row>
  </sheetData>
  <sheetProtection sheet="1" objects="1" scenarios="1"/>
  <phoneticPr fontId="10" type="noConversion"/>
  <pageMargins left="0.75" right="0.75" top="1" bottom="1" header="0.5" footer="0.5"/>
  <pageSetup scale="33" orientation="portrait" r:id="rId1"/>
  <headerFooter alignWithMargins="0">
    <oddFooter>&amp;CEwePLAN Copyright Government of Saskatchewan, Developed By Brad  &amp;RPage 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PrintIncomeExpense">
                <anchor moveWithCells="1">
                  <from>
                    <xdr:col>1</xdr:col>
                    <xdr:colOff>0</xdr:colOff>
                    <xdr:row>0</xdr:row>
                    <xdr:rowOff>57150</xdr:rowOff>
                  </from>
                  <to>
                    <xdr:col>4</xdr:col>
                    <xdr:colOff>676275</xdr:colOff>
                    <xdr:row>2</xdr:row>
                    <xdr:rowOff>95250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pageSetUpPr fitToPage="1"/>
  </sheetPr>
  <dimension ref="A1:AW116"/>
  <sheetViews>
    <sheetView showGridLines="0" showRowColHeaders="0" topLeftCell="A33" zoomScale="106" zoomScaleNormal="106" workbookViewId="0">
      <selection activeCell="U49" sqref="U49"/>
    </sheetView>
  </sheetViews>
  <sheetFormatPr defaultRowHeight="12.75" x14ac:dyDescent="0.2"/>
  <cols>
    <col min="2" max="2" width="13.7109375" customWidth="1"/>
    <col min="3" max="3" width="12.7109375" customWidth="1"/>
    <col min="4" max="5" width="11.7109375" customWidth="1"/>
    <col min="6" max="6" width="12.7109375" customWidth="1"/>
    <col min="7" max="14" width="10.7109375" customWidth="1"/>
    <col min="15" max="19" width="8.7109375" customWidth="1"/>
    <col min="20" max="25" width="10.7109375" customWidth="1"/>
    <col min="26" max="31" width="12.7109375" customWidth="1"/>
    <col min="32" max="33" width="10.7109375" customWidth="1"/>
    <col min="34" max="44" width="12.7109375" customWidth="1"/>
    <col min="45" max="46" width="11.7109375" customWidth="1"/>
    <col min="47" max="47" width="10.7109375" customWidth="1"/>
    <col min="48" max="50" width="11.7109375" customWidth="1"/>
  </cols>
  <sheetData>
    <row r="1" spans="1:38" x14ac:dyDescent="0.2">
      <c r="A1" s="29"/>
      <c r="B1" s="29"/>
      <c r="C1" s="29"/>
      <c r="D1" s="29"/>
      <c r="E1" s="29"/>
      <c r="F1" s="29"/>
      <c r="G1" s="29"/>
      <c r="H1" s="29"/>
      <c r="I1" s="29"/>
      <c r="J1" s="29"/>
    </row>
    <row r="2" spans="1:38" x14ac:dyDescent="0.2">
      <c r="A2" s="29"/>
      <c r="B2" s="29"/>
      <c r="C2" s="29"/>
      <c r="D2" s="29"/>
      <c r="E2" s="29"/>
      <c r="F2" s="29"/>
      <c r="G2" s="29"/>
      <c r="H2" s="29"/>
      <c r="I2" s="29"/>
      <c r="J2" s="29"/>
    </row>
    <row r="3" spans="1:38" x14ac:dyDescent="0.2">
      <c r="A3" s="29"/>
      <c r="B3" s="29"/>
      <c r="C3" s="29"/>
      <c r="D3" s="29"/>
      <c r="E3" s="29"/>
      <c r="F3" s="29"/>
      <c r="G3" s="29"/>
      <c r="H3" s="29"/>
      <c r="I3" s="29"/>
      <c r="J3" s="29"/>
    </row>
    <row r="4" spans="1:38" x14ac:dyDescent="0.2">
      <c r="A4" s="29"/>
      <c r="B4" s="29"/>
      <c r="C4" s="29"/>
      <c r="D4" s="29"/>
      <c r="E4" s="29"/>
      <c r="F4" s="29"/>
      <c r="G4" s="29"/>
      <c r="H4" s="29"/>
      <c r="I4" s="29"/>
      <c r="J4" s="29"/>
    </row>
    <row r="5" spans="1:38" x14ac:dyDescent="0.2">
      <c r="A5" s="29"/>
      <c r="B5" s="29"/>
      <c r="C5" s="29"/>
      <c r="D5" s="29"/>
      <c r="E5" s="29"/>
      <c r="F5" s="29"/>
      <c r="G5" s="29"/>
      <c r="H5" s="29"/>
      <c r="I5" s="29"/>
      <c r="J5" s="29"/>
      <c r="AK5" s="86" t="s">
        <v>889</v>
      </c>
    </row>
    <row r="6" spans="1:38" ht="15.75" thickBot="1" x14ac:dyDescent="0.3">
      <c r="A6" s="29"/>
      <c r="B6" s="124" t="s">
        <v>865</v>
      </c>
      <c r="AK6" s="439">
        <f>Income_Expense!$F$42-Income_Expense!$F$40</f>
        <v>-1219.9062428590296</v>
      </c>
    </row>
    <row r="7" spans="1:38" x14ac:dyDescent="0.2">
      <c r="A7" s="29"/>
      <c r="B7" s="333" t="s">
        <v>687</v>
      </c>
      <c r="C7" s="334"/>
      <c r="D7" s="335" t="s">
        <v>685</v>
      </c>
      <c r="E7" s="144"/>
      <c r="F7" s="401" t="s">
        <v>894</v>
      </c>
      <c r="V7" s="68" t="s">
        <v>701</v>
      </c>
      <c r="Z7" s="87"/>
      <c r="AA7" s="44"/>
      <c r="AB7" s="44"/>
      <c r="AC7" s="357"/>
      <c r="AD7" s="209" t="s">
        <v>187</v>
      </c>
      <c r="AE7" s="2"/>
      <c r="AF7" s="234" t="s">
        <v>719</v>
      </c>
      <c r="AG7" s="209" t="s">
        <v>720</v>
      </c>
      <c r="AH7" s="334"/>
      <c r="AI7" s="335" t="s">
        <v>685</v>
      </c>
      <c r="AJ7" s="366"/>
      <c r="AK7" s="333" t="s">
        <v>891</v>
      </c>
      <c r="AL7" s="333" t="s">
        <v>893</v>
      </c>
    </row>
    <row r="8" spans="1:38" ht="13.5" thickBot="1" x14ac:dyDescent="0.25">
      <c r="A8" s="29"/>
      <c r="B8" s="336" t="s">
        <v>688</v>
      </c>
      <c r="C8" s="494" t="s">
        <v>187</v>
      </c>
      <c r="D8" s="343" t="s">
        <v>686</v>
      </c>
      <c r="E8" s="342" t="s">
        <v>904</v>
      </c>
      <c r="F8" s="402" t="s">
        <v>890</v>
      </c>
      <c r="V8" s="28" t="s">
        <v>694</v>
      </c>
      <c r="W8" s="28" t="s">
        <v>693</v>
      </c>
      <c r="X8" s="28" t="s">
        <v>722</v>
      </c>
      <c r="Y8" s="28"/>
      <c r="Z8" s="430"/>
      <c r="AA8" s="362" t="s">
        <v>712</v>
      </c>
      <c r="AB8" s="362" t="s">
        <v>812</v>
      </c>
      <c r="AC8" s="362" t="s">
        <v>25</v>
      </c>
      <c r="AD8" s="353" t="s">
        <v>692</v>
      </c>
      <c r="AE8" s="363" t="s">
        <v>697</v>
      </c>
      <c r="AF8" s="364" t="s">
        <v>698</v>
      </c>
      <c r="AG8" s="353" t="s">
        <v>721</v>
      </c>
      <c r="AH8" s="351" t="s">
        <v>187</v>
      </c>
      <c r="AI8" s="352" t="s">
        <v>699</v>
      </c>
      <c r="AJ8" s="353" t="s">
        <v>700</v>
      </c>
      <c r="AK8" s="493" t="s">
        <v>700</v>
      </c>
      <c r="AL8" s="493" t="s">
        <v>892</v>
      </c>
    </row>
    <row r="9" spans="1:38" x14ac:dyDescent="0.2">
      <c r="A9" s="29"/>
      <c r="B9" s="482">
        <f t="shared" ref="B9:B18" si="0">B10+0.05</f>
        <v>3.4999999999999982</v>
      </c>
      <c r="C9" s="846">
        <f>IF(Input!$E$51&lt;1,0,AH9)</f>
        <v>0</v>
      </c>
      <c r="D9" s="497">
        <f>IF(Input!$E$51&lt;1,0,AI9)</f>
        <v>0</v>
      </c>
      <c r="E9" s="628">
        <f>IF(Input!$E$51&lt;1,0,AJ9)</f>
        <v>0</v>
      </c>
      <c r="F9" s="626">
        <f>AL9</f>
        <v>0</v>
      </c>
      <c r="V9" s="337">
        <f>Input!$E$51</f>
        <v>0</v>
      </c>
      <c r="W9" s="337">
        <f>Input!$E$56</f>
        <v>544</v>
      </c>
      <c r="X9" s="92">
        <f>Input!$E$24</f>
        <v>72</v>
      </c>
      <c r="Y9" s="28"/>
      <c r="Z9" s="360"/>
      <c r="AA9" s="837">
        <f>IF(V9&gt;1,B9/$B$19*$V$31*$V$32*V9,0)</f>
        <v>0</v>
      </c>
      <c r="AB9" s="837">
        <f>IF(W9&gt;1,C9/$B$19*$W$31*$W$32*W9,0)</f>
        <v>0</v>
      </c>
      <c r="AC9" s="373">
        <f>Income_Expense!$F$9+Income_Expense!$F$10+Income_Expense!$F$11+Income_Expense!$F$12+Income_Expense!$F$13</f>
        <v>189315</v>
      </c>
      <c r="AD9" s="361">
        <f>AA9+AB9+AC9</f>
        <v>189315</v>
      </c>
      <c r="AE9" s="358">
        <f>Income_Expense!$F$30</f>
        <v>156871.32330188921</v>
      </c>
      <c r="AF9" s="359">
        <f>Income_Expense!$F$33</f>
        <v>11767.920240240295</v>
      </c>
      <c r="AG9" s="365">
        <f>AE9+AF9</f>
        <v>168639.24354212949</v>
      </c>
      <c r="AH9" s="367">
        <f>AD9-AG9</f>
        <v>20675.756457870506</v>
      </c>
      <c r="AI9" s="842">
        <f>IF(AA9&lt;1,0,AH9/$AI$30)</f>
        <v>0</v>
      </c>
      <c r="AJ9" s="498">
        <f>IF(AA9&lt;1,0,AH9/$AJ$30)</f>
        <v>0</v>
      </c>
      <c r="AK9" s="1090">
        <f>IF(V9&gt;0,$AK$35/$AJ$31,0)</f>
        <v>0</v>
      </c>
      <c r="AL9" s="1088">
        <f>AJ9-AK9</f>
        <v>0</v>
      </c>
    </row>
    <row r="10" spans="1:38" x14ac:dyDescent="0.2">
      <c r="A10" s="29"/>
      <c r="B10" s="484">
        <f t="shared" si="0"/>
        <v>3.4499999999999984</v>
      </c>
      <c r="C10" s="847">
        <f>IF(Input!$E$51&lt;1,0,AH10)</f>
        <v>0</v>
      </c>
      <c r="D10" s="346">
        <f>IF(Input!$E$51&lt;1,0,AI10)</f>
        <v>0</v>
      </c>
      <c r="E10" s="629">
        <f>IF(Input!$E$51&lt;1,0,AJ10)</f>
        <v>0</v>
      </c>
      <c r="F10" s="627">
        <f t="shared" ref="F10:F29" si="1">AL10</f>
        <v>0</v>
      </c>
      <c r="V10" s="337">
        <f>Input!$E$51</f>
        <v>0</v>
      </c>
      <c r="W10" s="337">
        <f>Input!$E$56</f>
        <v>544</v>
      </c>
      <c r="X10" s="92">
        <f>Input!$E$24</f>
        <v>72</v>
      </c>
      <c r="Y10" s="28"/>
      <c r="Z10" s="360"/>
      <c r="AA10" s="784">
        <f t="shared" ref="AA10:AA15" si="2">IF(V10&gt;1,B10/$B$19*$V$31*$V$32*V10,0)</f>
        <v>0</v>
      </c>
      <c r="AB10" s="838">
        <f t="shared" ref="AB10:AB15" si="3">IF(W10&gt;1,C10/$B$19*$W$31*$W$32*W10,0)</f>
        <v>0</v>
      </c>
      <c r="AC10" s="373">
        <f>Income_Expense!$F$9+Income_Expense!$F$10+Income_Expense!$F$11+Income_Expense!$F$12+Income_Expense!$F$13</f>
        <v>189315</v>
      </c>
      <c r="AD10" s="374">
        <f t="shared" ref="AD10:AD29" si="4">AA10+AB10+AC10</f>
        <v>189315</v>
      </c>
      <c r="AE10" s="372">
        <f>Income_Expense!$F$30</f>
        <v>156871.32330188921</v>
      </c>
      <c r="AF10" s="373">
        <f>Income_Expense!$F$33</f>
        <v>11767.920240240295</v>
      </c>
      <c r="AG10" s="374">
        <f t="shared" ref="AG10:AG29" si="5">AE10+AF10</f>
        <v>168639.24354212949</v>
      </c>
      <c r="AH10" s="375">
        <f t="shared" ref="AH10:AH29" si="6">AD10-AG10</f>
        <v>20675.756457870506</v>
      </c>
      <c r="AI10" s="843">
        <f>IF(AA9&lt;1,0,AH10/$AI$30)</f>
        <v>0</v>
      </c>
      <c r="AJ10" s="347">
        <f t="shared" ref="AJ10:AJ29" si="7">IF(AA10&lt;1,0,AH10/$AJ$30)</f>
        <v>0</v>
      </c>
      <c r="AK10" s="484">
        <f t="shared" ref="AK10:AK29" si="8">IF(V10&gt;0,$AK$35/$AJ$31,0)</f>
        <v>0</v>
      </c>
      <c r="AL10" s="484">
        <f t="shared" ref="AL10:AL29" si="9">AJ10-AK10</f>
        <v>0</v>
      </c>
    </row>
    <row r="11" spans="1:38" x14ac:dyDescent="0.2">
      <c r="A11" s="29"/>
      <c r="B11" s="484">
        <f t="shared" si="0"/>
        <v>3.3999999999999986</v>
      </c>
      <c r="C11" s="847">
        <f>IF(Input!$E$51&lt;1,0,AH11)</f>
        <v>0</v>
      </c>
      <c r="D11" s="346">
        <f>IF(Input!$E$51&lt;1,0,AI11)</f>
        <v>0</v>
      </c>
      <c r="E11" s="629">
        <f>IF(Input!$E$51&lt;1,0,AJ11)</f>
        <v>0</v>
      </c>
      <c r="F11" s="627">
        <f t="shared" si="1"/>
        <v>0</v>
      </c>
      <c r="V11" s="337">
        <f>Input!$E$51</f>
        <v>0</v>
      </c>
      <c r="W11" s="337">
        <f>Input!$E$56</f>
        <v>544</v>
      </c>
      <c r="X11" s="92">
        <f>Input!$E$24</f>
        <v>72</v>
      </c>
      <c r="Y11" s="28"/>
      <c r="Z11" s="360"/>
      <c r="AA11" s="784">
        <f t="shared" si="2"/>
        <v>0</v>
      </c>
      <c r="AB11" s="838">
        <f t="shared" si="3"/>
        <v>0</v>
      </c>
      <c r="AC11" s="373">
        <f>Income_Expense!$F$9+Income_Expense!$F$10+Income_Expense!$F$11+Income_Expense!$F$12+Income_Expense!$F$13</f>
        <v>189315</v>
      </c>
      <c r="AD11" s="374">
        <f t="shared" si="4"/>
        <v>189315</v>
      </c>
      <c r="AE11" s="372">
        <f>Income_Expense!$F$30</f>
        <v>156871.32330188921</v>
      </c>
      <c r="AF11" s="373">
        <f>Income_Expense!$F$33</f>
        <v>11767.920240240295</v>
      </c>
      <c r="AG11" s="374">
        <f t="shared" si="5"/>
        <v>168639.24354212949</v>
      </c>
      <c r="AH11" s="375">
        <f t="shared" si="6"/>
        <v>20675.756457870506</v>
      </c>
      <c r="AI11" s="843">
        <f>IF(AA9&lt;1,0,AH11/$AI$30)</f>
        <v>0</v>
      </c>
      <c r="AJ11" s="347">
        <f t="shared" si="7"/>
        <v>0</v>
      </c>
      <c r="AK11" s="484">
        <f t="shared" si="8"/>
        <v>0</v>
      </c>
      <c r="AL11" s="484">
        <f t="shared" si="9"/>
        <v>0</v>
      </c>
    </row>
    <row r="12" spans="1:38" x14ac:dyDescent="0.2">
      <c r="A12" s="29"/>
      <c r="B12" s="484">
        <f t="shared" si="0"/>
        <v>3.3499999999999988</v>
      </c>
      <c r="C12" s="847">
        <f>IF(Input!$E$51&lt;1,0,AH12)</f>
        <v>0</v>
      </c>
      <c r="D12" s="346">
        <f>IF(Input!$E$51&lt;1,0,AI12)</f>
        <v>0</v>
      </c>
      <c r="E12" s="629">
        <f>IF(Input!$E$51&lt;1,0,AJ12)</f>
        <v>0</v>
      </c>
      <c r="F12" s="627">
        <f t="shared" si="1"/>
        <v>0</v>
      </c>
      <c r="V12" s="337">
        <f>Input!$E$51</f>
        <v>0</v>
      </c>
      <c r="W12" s="337">
        <f>Input!$E$56</f>
        <v>544</v>
      </c>
      <c r="X12" s="92">
        <f>Input!$E$24</f>
        <v>72</v>
      </c>
      <c r="Y12" s="337"/>
      <c r="Z12" s="360"/>
      <c r="AA12" s="784">
        <f t="shared" si="2"/>
        <v>0</v>
      </c>
      <c r="AB12" s="838">
        <f t="shared" si="3"/>
        <v>0</v>
      </c>
      <c r="AC12" s="373">
        <f>Income_Expense!$F$9+Income_Expense!$F$10+Income_Expense!$F$11+Income_Expense!$F$12+Income_Expense!$F$13</f>
        <v>189315</v>
      </c>
      <c r="AD12" s="374">
        <f t="shared" si="4"/>
        <v>189315</v>
      </c>
      <c r="AE12" s="372">
        <f>Income_Expense!$F$30</f>
        <v>156871.32330188921</v>
      </c>
      <c r="AF12" s="373">
        <f>Income_Expense!$F$33</f>
        <v>11767.920240240295</v>
      </c>
      <c r="AG12" s="374">
        <f t="shared" si="5"/>
        <v>168639.24354212949</v>
      </c>
      <c r="AH12" s="375">
        <f t="shared" si="6"/>
        <v>20675.756457870506</v>
      </c>
      <c r="AI12" s="843">
        <f t="shared" ref="AI12:AI29" si="10">IF(AA10&lt;1,0,AH12/$AI$30)</f>
        <v>0</v>
      </c>
      <c r="AJ12" s="347">
        <f t="shared" si="7"/>
        <v>0</v>
      </c>
      <c r="AK12" s="484">
        <f t="shared" si="8"/>
        <v>0</v>
      </c>
      <c r="AL12" s="484">
        <f t="shared" si="9"/>
        <v>0</v>
      </c>
    </row>
    <row r="13" spans="1:38" x14ac:dyDescent="0.2">
      <c r="A13" s="29"/>
      <c r="B13" s="484">
        <f t="shared" si="0"/>
        <v>3.2999999999999989</v>
      </c>
      <c r="C13" s="847">
        <f>IF(Input!$E$51&lt;1,0,AH13)</f>
        <v>0</v>
      </c>
      <c r="D13" s="346">
        <f>IF(Input!$E$51&lt;1,0,AI13)</f>
        <v>0</v>
      </c>
      <c r="E13" s="629">
        <f>IF(Input!$E$51&lt;1,0,AJ13)</f>
        <v>0</v>
      </c>
      <c r="F13" s="627">
        <f t="shared" si="1"/>
        <v>0</v>
      </c>
      <c r="V13" s="337">
        <f>Input!$E$51</f>
        <v>0</v>
      </c>
      <c r="W13" s="337">
        <f>Input!$E$56</f>
        <v>544</v>
      </c>
      <c r="X13" s="92">
        <f>Input!$E$24</f>
        <v>72</v>
      </c>
      <c r="Y13" s="337"/>
      <c r="Z13" s="360"/>
      <c r="AA13" s="784">
        <f t="shared" si="2"/>
        <v>0</v>
      </c>
      <c r="AB13" s="838">
        <f t="shared" si="3"/>
        <v>0</v>
      </c>
      <c r="AC13" s="373">
        <f>Income_Expense!$F$9+Income_Expense!$F$10+Income_Expense!$F$11+Income_Expense!$F$12+Income_Expense!$F$13</f>
        <v>189315</v>
      </c>
      <c r="AD13" s="374">
        <f t="shared" si="4"/>
        <v>189315</v>
      </c>
      <c r="AE13" s="372">
        <f>Income_Expense!$F$30</f>
        <v>156871.32330188921</v>
      </c>
      <c r="AF13" s="373">
        <f>Income_Expense!$F$33</f>
        <v>11767.920240240295</v>
      </c>
      <c r="AG13" s="374">
        <f t="shared" si="5"/>
        <v>168639.24354212949</v>
      </c>
      <c r="AH13" s="375">
        <f t="shared" si="6"/>
        <v>20675.756457870506</v>
      </c>
      <c r="AI13" s="843">
        <f t="shared" si="10"/>
        <v>0</v>
      </c>
      <c r="AJ13" s="347">
        <f t="shared" si="7"/>
        <v>0</v>
      </c>
      <c r="AK13" s="484">
        <f t="shared" si="8"/>
        <v>0</v>
      </c>
      <c r="AL13" s="484">
        <f t="shared" si="9"/>
        <v>0</v>
      </c>
    </row>
    <row r="14" spans="1:38" x14ac:dyDescent="0.2">
      <c r="A14" s="29"/>
      <c r="B14" s="484">
        <f t="shared" si="0"/>
        <v>3.2499999999999991</v>
      </c>
      <c r="C14" s="847">
        <f>IF(Input!$E$51&lt;1,0,AH14)</f>
        <v>0</v>
      </c>
      <c r="D14" s="346">
        <f>IF(Input!$E$51&lt;1,0,AI14)</f>
        <v>0</v>
      </c>
      <c r="E14" s="629">
        <f>IF(Input!$E$51&lt;1,0,AJ14)</f>
        <v>0</v>
      </c>
      <c r="F14" s="627">
        <f t="shared" si="1"/>
        <v>0</v>
      </c>
      <c r="V14" s="337">
        <f>Input!$E$51</f>
        <v>0</v>
      </c>
      <c r="W14" s="337">
        <f>Input!$E$56</f>
        <v>544</v>
      </c>
      <c r="X14" s="92">
        <f>Input!$E$24</f>
        <v>72</v>
      </c>
      <c r="Y14" s="337"/>
      <c r="Z14" s="360"/>
      <c r="AA14" s="784">
        <f t="shared" si="2"/>
        <v>0</v>
      </c>
      <c r="AB14" s="838">
        <f t="shared" si="3"/>
        <v>0</v>
      </c>
      <c r="AC14" s="373">
        <f>Income_Expense!$F$9+Income_Expense!$F$10+Income_Expense!$F$11+Income_Expense!$F$12+Income_Expense!$F$13</f>
        <v>189315</v>
      </c>
      <c r="AD14" s="374">
        <f t="shared" si="4"/>
        <v>189315</v>
      </c>
      <c r="AE14" s="372">
        <f>Income_Expense!$F$30</f>
        <v>156871.32330188921</v>
      </c>
      <c r="AF14" s="373">
        <f>Income_Expense!$F$33</f>
        <v>11767.920240240295</v>
      </c>
      <c r="AG14" s="374">
        <f t="shared" si="5"/>
        <v>168639.24354212949</v>
      </c>
      <c r="AH14" s="375">
        <f t="shared" si="6"/>
        <v>20675.756457870506</v>
      </c>
      <c r="AI14" s="843">
        <f t="shared" si="10"/>
        <v>0</v>
      </c>
      <c r="AJ14" s="347">
        <f t="shared" si="7"/>
        <v>0</v>
      </c>
      <c r="AK14" s="484">
        <f t="shared" si="8"/>
        <v>0</v>
      </c>
      <c r="AL14" s="484">
        <f t="shared" si="9"/>
        <v>0</v>
      </c>
    </row>
    <row r="15" spans="1:38" x14ac:dyDescent="0.2">
      <c r="A15" s="29"/>
      <c r="B15" s="484">
        <f t="shared" si="0"/>
        <v>3.1999999999999993</v>
      </c>
      <c r="C15" s="847">
        <f>IF(Input!$E$51&lt;1,0,AH15)</f>
        <v>0</v>
      </c>
      <c r="D15" s="346">
        <f>IF(Input!$E$51&lt;1,0,AI15)</f>
        <v>0</v>
      </c>
      <c r="E15" s="629">
        <f>IF(Input!$E$51&lt;1,0,AJ15)</f>
        <v>0</v>
      </c>
      <c r="F15" s="627">
        <f t="shared" si="1"/>
        <v>0</v>
      </c>
      <c r="V15" s="337">
        <f>Input!$E$51</f>
        <v>0</v>
      </c>
      <c r="W15" s="337">
        <f>Input!$E$56</f>
        <v>544</v>
      </c>
      <c r="X15" s="92">
        <f>Input!$E$24</f>
        <v>72</v>
      </c>
      <c r="Y15" s="337"/>
      <c r="Z15" s="360"/>
      <c r="AA15" s="784">
        <f t="shared" si="2"/>
        <v>0</v>
      </c>
      <c r="AB15" s="838">
        <f t="shared" si="3"/>
        <v>0</v>
      </c>
      <c r="AC15" s="373">
        <f>Income_Expense!$F$9+Income_Expense!$F$10+Income_Expense!$F$11+Income_Expense!$F$12+Income_Expense!$F$13</f>
        <v>189315</v>
      </c>
      <c r="AD15" s="374">
        <f t="shared" si="4"/>
        <v>189315</v>
      </c>
      <c r="AE15" s="372">
        <f>Income_Expense!$F$30</f>
        <v>156871.32330188921</v>
      </c>
      <c r="AF15" s="373">
        <f>Income_Expense!$F$33</f>
        <v>11767.920240240295</v>
      </c>
      <c r="AG15" s="374">
        <f t="shared" si="5"/>
        <v>168639.24354212949</v>
      </c>
      <c r="AH15" s="375">
        <f t="shared" si="6"/>
        <v>20675.756457870506</v>
      </c>
      <c r="AI15" s="843">
        <f t="shared" si="10"/>
        <v>0</v>
      </c>
      <c r="AJ15" s="347">
        <f t="shared" si="7"/>
        <v>0</v>
      </c>
      <c r="AK15" s="484">
        <f t="shared" si="8"/>
        <v>0</v>
      </c>
      <c r="AL15" s="484">
        <f t="shared" si="9"/>
        <v>0</v>
      </c>
    </row>
    <row r="16" spans="1:38" x14ac:dyDescent="0.2">
      <c r="A16" s="29"/>
      <c r="B16" s="484">
        <f t="shared" si="0"/>
        <v>3.1499999999999995</v>
      </c>
      <c r="C16" s="847">
        <f>IF(Input!$E$51&lt;1,0,AH16)</f>
        <v>0</v>
      </c>
      <c r="D16" s="346">
        <f>IF(Input!$E$51&lt;1,0,AI16)</f>
        <v>0</v>
      </c>
      <c r="E16" s="629">
        <f>IF(Input!$E$51&lt;1,0,AJ16)</f>
        <v>0</v>
      </c>
      <c r="F16" s="627">
        <f t="shared" si="1"/>
        <v>0</v>
      </c>
      <c r="V16" s="337">
        <f>Input!$E$51</f>
        <v>0</v>
      </c>
      <c r="W16" s="337">
        <f>Input!$E$56</f>
        <v>544</v>
      </c>
      <c r="X16" s="92">
        <f>Input!$E$24</f>
        <v>72</v>
      </c>
      <c r="Y16" s="337"/>
      <c r="Z16" s="360"/>
      <c r="AA16" s="784">
        <f>IF(V16&gt;1,B16/$B$19*$V$31*$V$32*V16,0)</f>
        <v>0</v>
      </c>
      <c r="AB16" s="838">
        <f>IF(W16&gt;1,C16/$B$19*$W$31*$W$32*W16,0)</f>
        <v>0</v>
      </c>
      <c r="AC16" s="373">
        <f>Income_Expense!$F$9+Income_Expense!$F$10+Income_Expense!$F$11+Income_Expense!$F$12+Income_Expense!$F$13</f>
        <v>189315</v>
      </c>
      <c r="AD16" s="374">
        <f t="shared" si="4"/>
        <v>189315</v>
      </c>
      <c r="AE16" s="372">
        <f>Income_Expense!$F$30</f>
        <v>156871.32330188921</v>
      </c>
      <c r="AF16" s="373">
        <f>Income_Expense!$F$33</f>
        <v>11767.920240240295</v>
      </c>
      <c r="AG16" s="374">
        <f t="shared" si="5"/>
        <v>168639.24354212949</v>
      </c>
      <c r="AH16" s="375">
        <f t="shared" si="6"/>
        <v>20675.756457870506</v>
      </c>
      <c r="AI16" s="843">
        <f t="shared" si="10"/>
        <v>0</v>
      </c>
      <c r="AJ16" s="347">
        <f t="shared" si="7"/>
        <v>0</v>
      </c>
      <c r="AK16" s="484">
        <f t="shared" si="8"/>
        <v>0</v>
      </c>
      <c r="AL16" s="484">
        <f t="shared" si="9"/>
        <v>0</v>
      </c>
    </row>
    <row r="17" spans="1:38" x14ac:dyDescent="0.2">
      <c r="A17" s="29"/>
      <c r="B17" s="484">
        <f t="shared" si="0"/>
        <v>3.0999999999999996</v>
      </c>
      <c r="C17" s="847">
        <f>IF(Input!$E$51&lt;1,0,AH17)</f>
        <v>0</v>
      </c>
      <c r="D17" s="346">
        <f>IF(Input!$E$51&lt;1,0,AI17)</f>
        <v>0</v>
      </c>
      <c r="E17" s="629">
        <f>IF(Input!$E$51&lt;1,0,AJ17)</f>
        <v>0</v>
      </c>
      <c r="F17" s="627">
        <f t="shared" si="1"/>
        <v>0</v>
      </c>
      <c r="V17" s="337">
        <f>Input!$E$51</f>
        <v>0</v>
      </c>
      <c r="W17" s="337">
        <f>Input!$E$56</f>
        <v>544</v>
      </c>
      <c r="X17" s="92">
        <f>Input!$E$24</f>
        <v>72</v>
      </c>
      <c r="Y17" s="337"/>
      <c r="Z17" s="360"/>
      <c r="AA17" s="784">
        <f>IF(V17&gt;1,B17/$B$19*$V$31*$V$32*V17,0)</f>
        <v>0</v>
      </c>
      <c r="AB17" s="838">
        <f>IF(W17&gt;1,C17/$B$19*$W$31*$W$32*W17,0)</f>
        <v>0</v>
      </c>
      <c r="AC17" s="373">
        <f>Income_Expense!$F$9+Income_Expense!$F$10+Income_Expense!$F$11+Income_Expense!$F$12+Income_Expense!$F$13</f>
        <v>189315</v>
      </c>
      <c r="AD17" s="374">
        <f t="shared" si="4"/>
        <v>189315</v>
      </c>
      <c r="AE17" s="372">
        <f>Income_Expense!$F$30</f>
        <v>156871.32330188921</v>
      </c>
      <c r="AF17" s="373">
        <f>Income_Expense!$F$33</f>
        <v>11767.920240240295</v>
      </c>
      <c r="AG17" s="374">
        <f t="shared" si="5"/>
        <v>168639.24354212949</v>
      </c>
      <c r="AH17" s="375">
        <f t="shared" si="6"/>
        <v>20675.756457870506</v>
      </c>
      <c r="AI17" s="843">
        <f t="shared" si="10"/>
        <v>0</v>
      </c>
      <c r="AJ17" s="347">
        <f t="shared" si="7"/>
        <v>0</v>
      </c>
      <c r="AK17" s="484">
        <f t="shared" si="8"/>
        <v>0</v>
      </c>
      <c r="AL17" s="484">
        <f t="shared" si="9"/>
        <v>0</v>
      </c>
    </row>
    <row r="18" spans="1:38" x14ac:dyDescent="0.2">
      <c r="A18" s="1204" t="s">
        <v>955</v>
      </c>
      <c r="B18" s="484">
        <f t="shared" si="0"/>
        <v>3.05</v>
      </c>
      <c r="C18" s="847">
        <f>IF(Input!$E$51&lt;1,0,AH18)</f>
        <v>0</v>
      </c>
      <c r="D18" s="346">
        <f>IF(Input!$E$51&lt;1,0,AI18)</f>
        <v>0</v>
      </c>
      <c r="E18" s="629">
        <f>IF(Input!$E$51&lt;1,0,AJ18)</f>
        <v>0</v>
      </c>
      <c r="F18" s="627">
        <f t="shared" si="1"/>
        <v>0</v>
      </c>
      <c r="V18" s="337">
        <f>Input!$E$51</f>
        <v>0</v>
      </c>
      <c r="W18" s="337">
        <f>Input!$E$56</f>
        <v>544</v>
      </c>
      <c r="X18" s="92">
        <f>Input!$E$24</f>
        <v>72</v>
      </c>
      <c r="Y18" s="337"/>
      <c r="Z18" s="360"/>
      <c r="AA18" s="784">
        <f>IF(V18&gt;1,B18/$B$19*$V$31*$V$32*V18,0)</f>
        <v>0</v>
      </c>
      <c r="AB18" s="838">
        <f>IF(W18&gt;1,C18/$B$19*$W$31*$W$32*W18,0)</f>
        <v>0</v>
      </c>
      <c r="AC18" s="373">
        <f>Income_Expense!$F$9+Income_Expense!$F$10+Income_Expense!$F$11+Income_Expense!$F$12+Income_Expense!$F$13</f>
        <v>189315</v>
      </c>
      <c r="AD18" s="374">
        <f t="shared" si="4"/>
        <v>189315</v>
      </c>
      <c r="AE18" s="372">
        <f>Income_Expense!$F$30</f>
        <v>156871.32330188921</v>
      </c>
      <c r="AF18" s="373">
        <f>Income_Expense!$F$33</f>
        <v>11767.920240240295</v>
      </c>
      <c r="AG18" s="374">
        <f t="shared" si="5"/>
        <v>168639.24354212949</v>
      </c>
      <c r="AH18" s="375">
        <f t="shared" si="6"/>
        <v>20675.756457870506</v>
      </c>
      <c r="AI18" s="843">
        <f t="shared" si="10"/>
        <v>0</v>
      </c>
      <c r="AJ18" s="347">
        <f t="shared" si="7"/>
        <v>0</v>
      </c>
      <c r="AK18" s="484">
        <f t="shared" si="8"/>
        <v>0</v>
      </c>
      <c r="AL18" s="484">
        <f t="shared" si="9"/>
        <v>0</v>
      </c>
    </row>
    <row r="19" spans="1:38" x14ac:dyDescent="0.2">
      <c r="A19" s="1204" t="s">
        <v>718</v>
      </c>
      <c r="B19" s="485">
        <f>Input!$E$52</f>
        <v>3</v>
      </c>
      <c r="C19" s="794">
        <f>IF(Input!$E$51&lt;1,0,AH19)</f>
        <v>0</v>
      </c>
      <c r="D19" s="344">
        <f>IF(Input!$E$51&lt;1,0,AI19)</f>
        <v>0</v>
      </c>
      <c r="E19" s="631">
        <f>IF(Input!$E$51&lt;1,0,AJ19)</f>
        <v>0</v>
      </c>
      <c r="F19" s="485">
        <f t="shared" si="1"/>
        <v>0</v>
      </c>
      <c r="U19" s="86" t="s">
        <v>955</v>
      </c>
      <c r="V19" s="350">
        <f>Input!$E$51</f>
        <v>0</v>
      </c>
      <c r="W19" s="350">
        <f>Input!$E$56</f>
        <v>544</v>
      </c>
      <c r="X19" s="350">
        <f>Input!$E$24</f>
        <v>72</v>
      </c>
      <c r="Y19" s="350"/>
      <c r="Z19" s="361"/>
      <c r="AA19" s="339">
        <f>IF(V19&gt;1,B19/$B$19*$V$31*$V$32*V19,0)</f>
        <v>0</v>
      </c>
      <c r="AB19" s="836">
        <f>IF(W19&gt;1,C19/$B$19*$W$31*$W$32*W19,0)</f>
        <v>0</v>
      </c>
      <c r="AC19" s="373">
        <f>Income_Expense!$F$9+Income_Expense!$F$10+Income_Expense!$F$11+Income_Expense!$F$12+Income_Expense!$F$13</f>
        <v>189315</v>
      </c>
      <c r="AD19" s="374">
        <f t="shared" si="4"/>
        <v>189315</v>
      </c>
      <c r="AE19" s="339">
        <f>Income_Expense!$F$30</f>
        <v>156871.32330188921</v>
      </c>
      <c r="AF19" s="376">
        <f>Income_Expense!$F$33</f>
        <v>11767.920240240295</v>
      </c>
      <c r="AG19" s="374">
        <f t="shared" si="5"/>
        <v>168639.24354212949</v>
      </c>
      <c r="AH19" s="377">
        <f t="shared" si="6"/>
        <v>20675.756457870506</v>
      </c>
      <c r="AI19" s="844">
        <f t="shared" si="10"/>
        <v>0</v>
      </c>
      <c r="AJ19" s="340">
        <f t="shared" si="7"/>
        <v>0</v>
      </c>
      <c r="AK19" s="485">
        <f t="shared" si="8"/>
        <v>0</v>
      </c>
      <c r="AL19" s="485">
        <f t="shared" si="9"/>
        <v>0</v>
      </c>
    </row>
    <row r="20" spans="1:38" x14ac:dyDescent="0.2">
      <c r="A20" s="29"/>
      <c r="B20" s="484">
        <f>B19-0.1</f>
        <v>2.9</v>
      </c>
      <c r="C20" s="847">
        <f>IF(Input!$E$51&lt;1,0,AH20)</f>
        <v>0</v>
      </c>
      <c r="D20" s="346">
        <f>IF(Input!$E$51&lt;1,0,AI20)</f>
        <v>0</v>
      </c>
      <c r="E20" s="629">
        <f>IF(Input!$E$51&lt;1,0,AJ20)</f>
        <v>0</v>
      </c>
      <c r="F20" s="627">
        <f>AL20</f>
        <v>0</v>
      </c>
      <c r="V20" s="337">
        <f>Input!$E$51</f>
        <v>0</v>
      </c>
      <c r="W20" s="337">
        <f>Input!$E$56</f>
        <v>544</v>
      </c>
      <c r="X20" s="92">
        <f>Input!$E$24</f>
        <v>72</v>
      </c>
      <c r="Y20" s="337"/>
      <c r="Z20" s="360"/>
      <c r="AA20" s="784">
        <f>IF(V20&gt;1,B20/$B$19*$V$31*$V$32*V20,0)</f>
        <v>0</v>
      </c>
      <c r="AB20" s="838">
        <f>IF(W20&gt;1,C20/$B$19*$W$31*$W$32*W20,0)</f>
        <v>0</v>
      </c>
      <c r="AC20" s="373">
        <f>Income_Expense!$F$9+Income_Expense!$F$10+Income_Expense!$F$11+Income_Expense!$F$12+Income_Expense!$F$13</f>
        <v>189315</v>
      </c>
      <c r="AD20" s="374">
        <f t="shared" si="4"/>
        <v>189315</v>
      </c>
      <c r="AE20" s="372">
        <f>Income_Expense!$F$30</f>
        <v>156871.32330188921</v>
      </c>
      <c r="AF20" s="373">
        <f>Income_Expense!$F$33</f>
        <v>11767.920240240295</v>
      </c>
      <c r="AG20" s="374">
        <f t="shared" si="5"/>
        <v>168639.24354212949</v>
      </c>
      <c r="AH20" s="375">
        <f t="shared" si="6"/>
        <v>20675.756457870506</v>
      </c>
      <c r="AI20" s="843">
        <f t="shared" si="10"/>
        <v>0</v>
      </c>
      <c r="AJ20" s="347">
        <f t="shared" si="7"/>
        <v>0</v>
      </c>
      <c r="AK20" s="484">
        <f t="shared" si="8"/>
        <v>0</v>
      </c>
      <c r="AL20" s="484">
        <f t="shared" si="9"/>
        <v>0</v>
      </c>
    </row>
    <row r="21" spans="1:38" x14ac:dyDescent="0.2">
      <c r="A21" s="29"/>
      <c r="B21" s="484">
        <f t="shared" ref="B21:B29" si="11">B20-0.05</f>
        <v>2.85</v>
      </c>
      <c r="C21" s="847">
        <f>IF(Input!$E$51&lt;1,0,AH21)</f>
        <v>0</v>
      </c>
      <c r="D21" s="346">
        <f>IF(Input!$E$51&lt;1,0,AI21)</f>
        <v>0</v>
      </c>
      <c r="E21" s="629">
        <f>IF(Input!$E$51&lt;1,0,AJ21)</f>
        <v>0</v>
      </c>
      <c r="F21" s="627">
        <f t="shared" si="1"/>
        <v>0</v>
      </c>
      <c r="V21" s="337">
        <f>Input!$E$51</f>
        <v>0</v>
      </c>
      <c r="W21" s="337">
        <f>Input!$E$56</f>
        <v>544</v>
      </c>
      <c r="X21" s="92">
        <f>Input!$E$24</f>
        <v>72</v>
      </c>
      <c r="Y21" s="337"/>
      <c r="Z21" s="360"/>
      <c r="AA21" s="784">
        <f t="shared" ref="AA21:AA26" si="12">IF(V21&gt;1,B21/$B$19*$V$31*$V$32*V21,0)</f>
        <v>0</v>
      </c>
      <c r="AB21" s="838">
        <f t="shared" ref="AB21:AB26" si="13">IF(W21&gt;1,C21/$B$19*$W$31*$W$32*W21,0)</f>
        <v>0</v>
      </c>
      <c r="AC21" s="373">
        <f>Income_Expense!$F$9+Income_Expense!$F$10+Income_Expense!$F$11+Income_Expense!$F$12+Income_Expense!$F$13</f>
        <v>189315</v>
      </c>
      <c r="AD21" s="374">
        <f t="shared" si="4"/>
        <v>189315</v>
      </c>
      <c r="AE21" s="372">
        <f>Income_Expense!$F$30</f>
        <v>156871.32330188921</v>
      </c>
      <c r="AF21" s="373">
        <f>Income_Expense!$F$33</f>
        <v>11767.920240240295</v>
      </c>
      <c r="AG21" s="374">
        <f t="shared" si="5"/>
        <v>168639.24354212949</v>
      </c>
      <c r="AH21" s="375">
        <f t="shared" si="6"/>
        <v>20675.756457870506</v>
      </c>
      <c r="AI21" s="843">
        <f t="shared" si="10"/>
        <v>0</v>
      </c>
      <c r="AJ21" s="347">
        <f t="shared" si="7"/>
        <v>0</v>
      </c>
      <c r="AK21" s="484">
        <f t="shared" si="8"/>
        <v>0</v>
      </c>
      <c r="AL21" s="484">
        <f t="shared" si="9"/>
        <v>0</v>
      </c>
    </row>
    <row r="22" spans="1:38" x14ac:dyDescent="0.2">
      <c r="A22" s="29"/>
      <c r="B22" s="484">
        <f t="shared" si="11"/>
        <v>2.8000000000000003</v>
      </c>
      <c r="C22" s="847">
        <f>IF(Input!$E$51&lt;1,0,AH22)</f>
        <v>0</v>
      </c>
      <c r="D22" s="346">
        <f>IF(Input!$E$51&lt;1,0,AI22)</f>
        <v>0</v>
      </c>
      <c r="E22" s="629">
        <f>IF(Input!$E$51&lt;1,0,AJ22)</f>
        <v>0</v>
      </c>
      <c r="F22" s="627">
        <f t="shared" si="1"/>
        <v>0</v>
      </c>
      <c r="V22" s="337">
        <f>Input!$E$51</f>
        <v>0</v>
      </c>
      <c r="W22" s="337">
        <f>Input!$E$56</f>
        <v>544</v>
      </c>
      <c r="X22" s="92">
        <f>Input!$E$24</f>
        <v>72</v>
      </c>
      <c r="Y22" s="337"/>
      <c r="Z22" s="360"/>
      <c r="AA22" s="784">
        <f t="shared" si="12"/>
        <v>0</v>
      </c>
      <c r="AB22" s="838">
        <f t="shared" si="13"/>
        <v>0</v>
      </c>
      <c r="AC22" s="373">
        <f>Income_Expense!$F$9+Income_Expense!$F$10+Income_Expense!$F$11+Income_Expense!$F$12+Income_Expense!$F$13</f>
        <v>189315</v>
      </c>
      <c r="AD22" s="374">
        <f t="shared" si="4"/>
        <v>189315</v>
      </c>
      <c r="AE22" s="372">
        <f>Income_Expense!$F$30</f>
        <v>156871.32330188921</v>
      </c>
      <c r="AF22" s="373">
        <f>Income_Expense!$F$33</f>
        <v>11767.920240240295</v>
      </c>
      <c r="AG22" s="374">
        <f t="shared" si="5"/>
        <v>168639.24354212949</v>
      </c>
      <c r="AH22" s="375">
        <f t="shared" si="6"/>
        <v>20675.756457870506</v>
      </c>
      <c r="AI22" s="843">
        <f t="shared" si="10"/>
        <v>0</v>
      </c>
      <c r="AJ22" s="347">
        <f t="shared" si="7"/>
        <v>0</v>
      </c>
      <c r="AK22" s="484">
        <f t="shared" si="8"/>
        <v>0</v>
      </c>
      <c r="AL22" s="484">
        <f t="shared" si="9"/>
        <v>0</v>
      </c>
    </row>
    <row r="23" spans="1:38" x14ac:dyDescent="0.2">
      <c r="A23" s="29"/>
      <c r="B23" s="484">
        <f t="shared" si="11"/>
        <v>2.7500000000000004</v>
      </c>
      <c r="C23" s="847">
        <f>IF(Input!$E$51&lt;1,0,AH23)</f>
        <v>0</v>
      </c>
      <c r="D23" s="346">
        <f>IF(Input!$E$51&lt;1,0,AI23)</f>
        <v>0</v>
      </c>
      <c r="E23" s="629">
        <f>IF(Input!$E$51&lt;1,0,AJ23)</f>
        <v>0</v>
      </c>
      <c r="F23" s="627">
        <f t="shared" si="1"/>
        <v>0</v>
      </c>
      <c r="V23" s="337">
        <f>Input!$E$51</f>
        <v>0</v>
      </c>
      <c r="W23" s="337">
        <f>Input!$E$56</f>
        <v>544</v>
      </c>
      <c r="X23" s="92">
        <f>Input!$E$24</f>
        <v>72</v>
      </c>
      <c r="Y23" s="337"/>
      <c r="Z23" s="360"/>
      <c r="AA23" s="784">
        <f t="shared" si="12"/>
        <v>0</v>
      </c>
      <c r="AB23" s="838">
        <f t="shared" si="13"/>
        <v>0</v>
      </c>
      <c r="AC23" s="373">
        <f>Income_Expense!$F$9+Income_Expense!$F$10+Income_Expense!$F$11+Income_Expense!$F$12+Income_Expense!$F$13</f>
        <v>189315</v>
      </c>
      <c r="AD23" s="374">
        <f t="shared" si="4"/>
        <v>189315</v>
      </c>
      <c r="AE23" s="372">
        <f>Income_Expense!$F$30</f>
        <v>156871.32330188921</v>
      </c>
      <c r="AF23" s="373">
        <f>Income_Expense!$F$33</f>
        <v>11767.920240240295</v>
      </c>
      <c r="AG23" s="374">
        <f t="shared" si="5"/>
        <v>168639.24354212949</v>
      </c>
      <c r="AH23" s="375">
        <f t="shared" si="6"/>
        <v>20675.756457870506</v>
      </c>
      <c r="AI23" s="843">
        <f t="shared" si="10"/>
        <v>0</v>
      </c>
      <c r="AJ23" s="347">
        <f t="shared" si="7"/>
        <v>0</v>
      </c>
      <c r="AK23" s="484">
        <f t="shared" si="8"/>
        <v>0</v>
      </c>
      <c r="AL23" s="484">
        <f t="shared" si="9"/>
        <v>0</v>
      </c>
    </row>
    <row r="24" spans="1:38" x14ac:dyDescent="0.2">
      <c r="A24" s="29"/>
      <c r="B24" s="484">
        <f t="shared" si="11"/>
        <v>2.7000000000000006</v>
      </c>
      <c r="C24" s="847">
        <f>IF(Input!$E$51&lt;1,0,AH24)</f>
        <v>0</v>
      </c>
      <c r="D24" s="346">
        <f>IF(Input!$E$51&lt;1,0,AI24)</f>
        <v>0</v>
      </c>
      <c r="E24" s="629">
        <f>IF(Input!$E$51&lt;1,0,AJ24)</f>
        <v>0</v>
      </c>
      <c r="F24" s="627">
        <f t="shared" si="1"/>
        <v>0</v>
      </c>
      <c r="V24" s="337">
        <f>Input!$E$51</f>
        <v>0</v>
      </c>
      <c r="W24" s="337">
        <f>Input!$E$56</f>
        <v>544</v>
      </c>
      <c r="X24" s="92">
        <f>Input!$E$24</f>
        <v>72</v>
      </c>
      <c r="Y24" s="337"/>
      <c r="Z24" s="360"/>
      <c r="AA24" s="784">
        <f t="shared" si="12"/>
        <v>0</v>
      </c>
      <c r="AB24" s="838">
        <f t="shared" si="13"/>
        <v>0</v>
      </c>
      <c r="AC24" s="373">
        <f>Income_Expense!$F$9+Income_Expense!$F$10+Income_Expense!$F$11+Income_Expense!$F$12+Income_Expense!$F$13</f>
        <v>189315</v>
      </c>
      <c r="AD24" s="374">
        <f t="shared" si="4"/>
        <v>189315</v>
      </c>
      <c r="AE24" s="372">
        <f>Income_Expense!$F$30</f>
        <v>156871.32330188921</v>
      </c>
      <c r="AF24" s="373">
        <f>Income_Expense!$F$33</f>
        <v>11767.920240240295</v>
      </c>
      <c r="AG24" s="374">
        <f t="shared" si="5"/>
        <v>168639.24354212949</v>
      </c>
      <c r="AH24" s="375">
        <f t="shared" si="6"/>
        <v>20675.756457870506</v>
      </c>
      <c r="AI24" s="843">
        <f t="shared" si="10"/>
        <v>0</v>
      </c>
      <c r="AJ24" s="347">
        <f t="shared" si="7"/>
        <v>0</v>
      </c>
      <c r="AK24" s="484">
        <f t="shared" si="8"/>
        <v>0</v>
      </c>
      <c r="AL24" s="484">
        <f t="shared" si="9"/>
        <v>0</v>
      </c>
    </row>
    <row r="25" spans="1:38" x14ac:dyDescent="0.2">
      <c r="A25" s="29"/>
      <c r="B25" s="484">
        <f t="shared" si="11"/>
        <v>2.6500000000000008</v>
      </c>
      <c r="C25" s="847">
        <f>IF(Input!$E$51&lt;1,0,AH25)</f>
        <v>0</v>
      </c>
      <c r="D25" s="346">
        <f>IF(Input!$E$51&lt;1,0,AI25)</f>
        <v>0</v>
      </c>
      <c r="E25" s="629">
        <f>IF(Input!$E$51&lt;1,0,AJ25)</f>
        <v>0</v>
      </c>
      <c r="F25" s="627">
        <f t="shared" si="1"/>
        <v>0</v>
      </c>
      <c r="V25" s="337">
        <f>Input!$E$51</f>
        <v>0</v>
      </c>
      <c r="W25" s="337">
        <f>Input!$E$56</f>
        <v>544</v>
      </c>
      <c r="X25" s="92">
        <f>Input!$E$24</f>
        <v>72</v>
      </c>
      <c r="Y25" s="337"/>
      <c r="Z25" s="360"/>
      <c r="AA25" s="784">
        <f t="shared" si="12"/>
        <v>0</v>
      </c>
      <c r="AB25" s="838">
        <f t="shared" si="13"/>
        <v>0</v>
      </c>
      <c r="AC25" s="373">
        <f>Income_Expense!$F$9+Income_Expense!$F$10+Income_Expense!$F$11+Income_Expense!$F$12+Income_Expense!$F$13</f>
        <v>189315</v>
      </c>
      <c r="AD25" s="374">
        <f t="shared" si="4"/>
        <v>189315</v>
      </c>
      <c r="AE25" s="372">
        <f>Income_Expense!$F$30</f>
        <v>156871.32330188921</v>
      </c>
      <c r="AF25" s="373">
        <f>Income_Expense!$F$33</f>
        <v>11767.920240240295</v>
      </c>
      <c r="AG25" s="374">
        <f t="shared" si="5"/>
        <v>168639.24354212949</v>
      </c>
      <c r="AH25" s="375">
        <f t="shared" si="6"/>
        <v>20675.756457870506</v>
      </c>
      <c r="AI25" s="843">
        <f t="shared" si="10"/>
        <v>0</v>
      </c>
      <c r="AJ25" s="347">
        <f t="shared" si="7"/>
        <v>0</v>
      </c>
      <c r="AK25" s="484">
        <f t="shared" si="8"/>
        <v>0</v>
      </c>
      <c r="AL25" s="484">
        <f t="shared" si="9"/>
        <v>0</v>
      </c>
    </row>
    <row r="26" spans="1:38" x14ac:dyDescent="0.2">
      <c r="A26" s="29"/>
      <c r="B26" s="484">
        <f t="shared" si="11"/>
        <v>2.600000000000001</v>
      </c>
      <c r="C26" s="847">
        <f>IF(Input!$E$51&lt;1,0,AH26)</f>
        <v>0</v>
      </c>
      <c r="D26" s="346">
        <f>IF(Input!$E$51&lt;1,0,AI26)</f>
        <v>0</v>
      </c>
      <c r="E26" s="629">
        <f>IF(Input!$E$51&lt;1,0,AJ26)</f>
        <v>0</v>
      </c>
      <c r="F26" s="627">
        <f t="shared" si="1"/>
        <v>0</v>
      </c>
      <c r="V26" s="337">
        <f>Input!$E$51</f>
        <v>0</v>
      </c>
      <c r="W26" s="337">
        <f>Input!$E$56</f>
        <v>544</v>
      </c>
      <c r="X26" s="92">
        <f>Input!$E$24</f>
        <v>72</v>
      </c>
      <c r="Y26" s="337"/>
      <c r="Z26" s="360"/>
      <c r="AA26" s="784">
        <f t="shared" si="12"/>
        <v>0</v>
      </c>
      <c r="AB26" s="838">
        <f t="shared" si="13"/>
        <v>0</v>
      </c>
      <c r="AC26" s="373">
        <f>Income_Expense!$F$9+Income_Expense!$F$10+Income_Expense!$F$11+Income_Expense!$F$12+Income_Expense!$F$13</f>
        <v>189315</v>
      </c>
      <c r="AD26" s="374">
        <f t="shared" si="4"/>
        <v>189315</v>
      </c>
      <c r="AE26" s="372">
        <f>Income_Expense!$F$30</f>
        <v>156871.32330188921</v>
      </c>
      <c r="AF26" s="373">
        <f>Income_Expense!$F$33</f>
        <v>11767.920240240295</v>
      </c>
      <c r="AG26" s="374">
        <f t="shared" si="5"/>
        <v>168639.24354212949</v>
      </c>
      <c r="AH26" s="375">
        <f t="shared" si="6"/>
        <v>20675.756457870506</v>
      </c>
      <c r="AI26" s="843">
        <f t="shared" si="10"/>
        <v>0</v>
      </c>
      <c r="AJ26" s="347">
        <f t="shared" si="7"/>
        <v>0</v>
      </c>
      <c r="AK26" s="484">
        <f t="shared" si="8"/>
        <v>0</v>
      </c>
      <c r="AL26" s="484">
        <f t="shared" si="9"/>
        <v>0</v>
      </c>
    </row>
    <row r="27" spans="1:38" x14ac:dyDescent="0.2">
      <c r="A27" s="29"/>
      <c r="B27" s="484">
        <f t="shared" si="11"/>
        <v>2.5500000000000012</v>
      </c>
      <c r="C27" s="847">
        <f>IF(Input!$E$51&lt;1,0,AH27)</f>
        <v>0</v>
      </c>
      <c r="D27" s="346">
        <f>IF(Input!$E$51&lt;1,0,AI27)</f>
        <v>0</v>
      </c>
      <c r="E27" s="629">
        <f>IF(Input!$E$51&lt;1,0,AJ27)</f>
        <v>0</v>
      </c>
      <c r="F27" s="627">
        <f t="shared" si="1"/>
        <v>0</v>
      </c>
      <c r="V27" s="337">
        <f>Input!$E$51</f>
        <v>0</v>
      </c>
      <c r="W27" s="337">
        <f>Input!$E$56</f>
        <v>544</v>
      </c>
      <c r="X27" s="92">
        <f>Input!$E$24</f>
        <v>72</v>
      </c>
      <c r="Y27" s="337"/>
      <c r="Z27" s="360"/>
      <c r="AA27" s="784">
        <f>IF(V27&gt;1,B27/$B$19*$V$31*$V$32*V27,0)</f>
        <v>0</v>
      </c>
      <c r="AB27" s="838">
        <f>IF(W27&gt;1,C27/$B$19*$W$31*$W$32*W27,0)</f>
        <v>0</v>
      </c>
      <c r="AC27" s="373">
        <f>Income_Expense!$F$9+Income_Expense!$F$10+Income_Expense!$F$11+Income_Expense!$F$12+Income_Expense!$F$13</f>
        <v>189315</v>
      </c>
      <c r="AD27" s="374">
        <f t="shared" si="4"/>
        <v>189315</v>
      </c>
      <c r="AE27" s="372">
        <f>Income_Expense!$F$30</f>
        <v>156871.32330188921</v>
      </c>
      <c r="AF27" s="373">
        <f>Income_Expense!$F$33</f>
        <v>11767.920240240295</v>
      </c>
      <c r="AG27" s="374">
        <f t="shared" si="5"/>
        <v>168639.24354212949</v>
      </c>
      <c r="AH27" s="375">
        <f t="shared" si="6"/>
        <v>20675.756457870506</v>
      </c>
      <c r="AI27" s="843">
        <f t="shared" si="10"/>
        <v>0</v>
      </c>
      <c r="AJ27" s="347">
        <f t="shared" si="7"/>
        <v>0</v>
      </c>
      <c r="AK27" s="484">
        <f t="shared" si="8"/>
        <v>0</v>
      </c>
      <c r="AL27" s="484">
        <f t="shared" si="9"/>
        <v>0</v>
      </c>
    </row>
    <row r="28" spans="1:38" x14ac:dyDescent="0.2">
      <c r="A28" s="29"/>
      <c r="B28" s="484">
        <f t="shared" si="11"/>
        <v>2.5000000000000013</v>
      </c>
      <c r="C28" s="847">
        <f>IF(Input!$E$51&lt;1,0,AH28)</f>
        <v>0</v>
      </c>
      <c r="D28" s="346">
        <f>IF(Input!$E$51&lt;1,0,AI28)</f>
        <v>0</v>
      </c>
      <c r="E28" s="629">
        <f>IF(Input!$E$51&lt;1,0,AJ28)</f>
        <v>0</v>
      </c>
      <c r="F28" s="627">
        <f t="shared" si="1"/>
        <v>0</v>
      </c>
      <c r="V28" s="337">
        <f>Input!$E$51</f>
        <v>0</v>
      </c>
      <c r="W28" s="337">
        <f>Input!$E$56</f>
        <v>544</v>
      </c>
      <c r="X28" s="92">
        <f>Input!$E$24</f>
        <v>72</v>
      </c>
      <c r="Y28" s="337"/>
      <c r="Z28" s="360"/>
      <c r="AA28" s="784">
        <f>IF(V28&gt;1,B28/$B$19*$V$31*$V$32*V28,0)</f>
        <v>0</v>
      </c>
      <c r="AB28" s="838">
        <f>IF(W28&gt;1,C28/$B$19*$W$31*$W$32*W28,0)</f>
        <v>0</v>
      </c>
      <c r="AC28" s="373">
        <f>Income_Expense!$F$9+Income_Expense!$F$10+Income_Expense!$F$11+Income_Expense!$F$12+Income_Expense!$F$13</f>
        <v>189315</v>
      </c>
      <c r="AD28" s="374">
        <f t="shared" si="4"/>
        <v>189315</v>
      </c>
      <c r="AE28" s="372">
        <f>Income_Expense!$F$30</f>
        <v>156871.32330188921</v>
      </c>
      <c r="AF28" s="373">
        <f>Income_Expense!$F$33</f>
        <v>11767.920240240295</v>
      </c>
      <c r="AG28" s="374">
        <f t="shared" si="5"/>
        <v>168639.24354212949</v>
      </c>
      <c r="AH28" s="375">
        <f t="shared" si="6"/>
        <v>20675.756457870506</v>
      </c>
      <c r="AI28" s="843">
        <f t="shared" si="10"/>
        <v>0</v>
      </c>
      <c r="AJ28" s="347">
        <f t="shared" si="7"/>
        <v>0</v>
      </c>
      <c r="AK28" s="484">
        <f t="shared" si="8"/>
        <v>0</v>
      </c>
      <c r="AL28" s="484">
        <f t="shared" si="9"/>
        <v>0</v>
      </c>
    </row>
    <row r="29" spans="1:38" ht="13.5" thickBot="1" x14ac:dyDescent="0.25">
      <c r="A29" s="29"/>
      <c r="B29" s="486">
        <f t="shared" si="11"/>
        <v>2.4500000000000015</v>
      </c>
      <c r="C29" s="848">
        <f>IF(Input!$E$51&lt;1,0,AH29)</f>
        <v>0</v>
      </c>
      <c r="D29" s="370">
        <f>AI29</f>
        <v>0</v>
      </c>
      <c r="E29" s="630">
        <f>IF(Input!$E$51&lt;1,0,AJ29)</f>
        <v>0</v>
      </c>
      <c r="F29" s="851">
        <f t="shared" si="1"/>
        <v>0</v>
      </c>
      <c r="V29" s="337">
        <f>Input!$E$51</f>
        <v>0</v>
      </c>
      <c r="W29" s="337">
        <f>Input!$E$56</f>
        <v>544</v>
      </c>
      <c r="X29" s="92">
        <f>Input!$E$24</f>
        <v>72</v>
      </c>
      <c r="Y29" s="337"/>
      <c r="Z29" s="360"/>
      <c r="AA29" s="1198">
        <f>IF(V29&gt;1,B29/$B$19*$V$31*$V$32*V29,0)</f>
        <v>0</v>
      </c>
      <c r="AB29" s="1086">
        <f>IF(W29&gt;1,C29/$B$19*$W$31*$W$32*W29,0)</f>
        <v>0</v>
      </c>
      <c r="AC29" s="624">
        <f>Income_Expense!$F$9+Income_Expense!$F$10+Income_Expense!$F$11+Income_Expense!$F$12+Income_Expense!$F$13</f>
        <v>189315</v>
      </c>
      <c r="AD29" s="625">
        <f t="shared" si="4"/>
        <v>189315</v>
      </c>
      <c r="AE29" s="397">
        <f>Income_Expense!$F$30</f>
        <v>156871.32330188921</v>
      </c>
      <c r="AF29" s="624">
        <f>Income_Expense!$F$33</f>
        <v>11767.920240240295</v>
      </c>
      <c r="AG29" s="625">
        <f t="shared" si="5"/>
        <v>168639.24354212949</v>
      </c>
      <c r="AH29" s="1199">
        <f t="shared" si="6"/>
        <v>20675.756457870506</v>
      </c>
      <c r="AI29" s="845">
        <f t="shared" si="10"/>
        <v>0</v>
      </c>
      <c r="AJ29" s="371">
        <f t="shared" si="7"/>
        <v>0</v>
      </c>
      <c r="AK29" s="1091">
        <f t="shared" si="8"/>
        <v>0</v>
      </c>
      <c r="AL29" s="1091">
        <f t="shared" si="9"/>
        <v>0</v>
      </c>
    </row>
    <row r="30" spans="1:38" x14ac:dyDescent="0.2">
      <c r="A30" s="29"/>
      <c r="E30" s="632"/>
      <c r="F30" s="850"/>
      <c r="AI30" s="338">
        <f>Income_Expense!$F$99</f>
        <v>400</v>
      </c>
      <c r="AJ30" s="338">
        <f>IF(V19&lt;1,0,V19+W19)</f>
        <v>0</v>
      </c>
      <c r="AK30" s="68" t="s">
        <v>895</v>
      </c>
    </row>
    <row r="31" spans="1:38" x14ac:dyDescent="0.2">
      <c r="A31" s="29"/>
      <c r="B31" s="29"/>
      <c r="C31" s="29"/>
      <c r="D31" s="29"/>
      <c r="E31" s="29"/>
      <c r="F31" s="29"/>
      <c r="G31" s="29"/>
      <c r="H31" s="29"/>
      <c r="I31" s="29"/>
      <c r="J31" s="29"/>
      <c r="U31" t="s">
        <v>695</v>
      </c>
      <c r="V31" s="31">
        <f>Input!$E$52</f>
        <v>3</v>
      </c>
      <c r="W31" s="31">
        <f>Input!$E$57</f>
        <v>2.5</v>
      </c>
      <c r="X31" s="31">
        <f>Input!$E$57</f>
        <v>2.5</v>
      </c>
      <c r="AJ31" s="1089">
        <f>IF(AJ30&gt;1,AJ30+X19,0)</f>
        <v>0</v>
      </c>
      <c r="AK31" s="434" t="s">
        <v>896</v>
      </c>
    </row>
    <row r="32" spans="1:38" x14ac:dyDescent="0.2">
      <c r="A32" s="29"/>
      <c r="B32" s="29"/>
      <c r="C32" s="29"/>
      <c r="D32" s="29"/>
      <c r="E32" s="29"/>
      <c r="F32" s="29"/>
      <c r="G32" s="29"/>
      <c r="H32" s="29"/>
      <c r="I32" s="29"/>
      <c r="J32" s="29"/>
      <c r="U32" s="28" t="s">
        <v>696</v>
      </c>
      <c r="V32" s="337">
        <f>Input!$E$50</f>
        <v>0</v>
      </c>
      <c r="W32" s="337">
        <f>Input!$E$55</f>
        <v>125</v>
      </c>
      <c r="X32" s="337">
        <f>AVERAGE(Input!$E$55:'Input'!$G$55)</f>
        <v>125</v>
      </c>
    </row>
    <row r="33" spans="1:38" x14ac:dyDescent="0.2">
      <c r="A33" s="29"/>
      <c r="B33" s="29"/>
      <c r="C33" s="29"/>
      <c r="D33" s="29"/>
      <c r="E33" s="29"/>
      <c r="F33" s="29"/>
      <c r="G33" s="29"/>
      <c r="H33" s="29"/>
      <c r="I33" s="29"/>
      <c r="J33" s="29"/>
    </row>
    <row r="34" spans="1:38" x14ac:dyDescent="0.2">
      <c r="A34" s="29"/>
      <c r="B34" s="29"/>
      <c r="C34" s="29"/>
      <c r="D34" s="29"/>
      <c r="E34" s="29"/>
      <c r="F34" s="29"/>
      <c r="G34" s="29"/>
      <c r="H34" s="29"/>
      <c r="AK34" s="86" t="s">
        <v>889</v>
      </c>
    </row>
    <row r="35" spans="1:38" ht="15.75" thickBot="1" x14ac:dyDescent="0.3">
      <c r="B35" s="124" t="s">
        <v>866</v>
      </c>
      <c r="AK35" s="439">
        <f>Income_Expense!$F$42-Income_Expense!$F$40</f>
        <v>-1219.9062428590296</v>
      </c>
    </row>
    <row r="36" spans="1:38" x14ac:dyDescent="0.2">
      <c r="B36" s="333" t="s">
        <v>687</v>
      </c>
      <c r="C36" s="334"/>
      <c r="D36" s="335" t="s">
        <v>685</v>
      </c>
      <c r="E36" s="144"/>
      <c r="F36" s="401" t="s">
        <v>894</v>
      </c>
      <c r="V36" s="68" t="s">
        <v>701</v>
      </c>
      <c r="Z36" s="87"/>
      <c r="AA36" s="44"/>
      <c r="AB36" s="44"/>
      <c r="AC36" s="357"/>
      <c r="AD36" s="209" t="s">
        <v>187</v>
      </c>
      <c r="AE36" s="2"/>
      <c r="AF36" s="234" t="s">
        <v>719</v>
      </c>
      <c r="AG36" s="209" t="s">
        <v>720</v>
      </c>
      <c r="AH36" s="333" t="s">
        <v>685</v>
      </c>
      <c r="AI36" s="335" t="s">
        <v>685</v>
      </c>
      <c r="AJ36" s="1087" t="s">
        <v>685</v>
      </c>
      <c r="AK36" s="333" t="s">
        <v>891</v>
      </c>
      <c r="AL36" s="333" t="s">
        <v>893</v>
      </c>
    </row>
    <row r="37" spans="1:38" ht="13.5" thickBot="1" x14ac:dyDescent="0.25">
      <c r="B37" s="336" t="s">
        <v>688</v>
      </c>
      <c r="C37" s="341" t="s">
        <v>187</v>
      </c>
      <c r="D37" s="343" t="s">
        <v>686</v>
      </c>
      <c r="E37" s="342" t="s">
        <v>907</v>
      </c>
      <c r="F37" s="402" t="s">
        <v>906</v>
      </c>
      <c r="V37" s="28" t="s">
        <v>694</v>
      </c>
      <c r="W37" s="28" t="s">
        <v>693</v>
      </c>
      <c r="X37" s="28" t="s">
        <v>722</v>
      </c>
      <c r="Y37" s="28"/>
      <c r="Z37" s="430"/>
      <c r="AA37" s="362" t="s">
        <v>712</v>
      </c>
      <c r="AB37" s="362" t="s">
        <v>812</v>
      </c>
      <c r="AC37" s="362" t="s">
        <v>25</v>
      </c>
      <c r="AD37" s="353" t="s">
        <v>692</v>
      </c>
      <c r="AE37" s="363" t="s">
        <v>697</v>
      </c>
      <c r="AF37" s="364" t="s">
        <v>698</v>
      </c>
      <c r="AG37" s="353" t="s">
        <v>721</v>
      </c>
      <c r="AH37" s="336" t="s">
        <v>187</v>
      </c>
      <c r="AI37" s="352" t="s">
        <v>699</v>
      </c>
      <c r="AJ37" s="336" t="s">
        <v>700</v>
      </c>
      <c r="AK37" s="493" t="s">
        <v>700</v>
      </c>
      <c r="AL37" s="493" t="s">
        <v>892</v>
      </c>
    </row>
    <row r="38" spans="1:38" x14ac:dyDescent="0.2">
      <c r="B38" s="482">
        <f t="shared" ref="B38:B47" si="14">B39+0.05</f>
        <v>2.9999999999999982</v>
      </c>
      <c r="C38" s="483">
        <f>IF(Input!$E$56&lt;1,0,AH38)</f>
        <v>54675.75645787039</v>
      </c>
      <c r="D38" s="1113">
        <f>IF(W38&lt;1,0,AI38)</f>
        <v>136.68939114467597</v>
      </c>
      <c r="E38" s="849">
        <f>IF(W38&lt;1,0,AJ38)</f>
        <v>88.759344899140245</v>
      </c>
      <c r="F38" s="626">
        <f>AL38</f>
        <v>90.739712176508803</v>
      </c>
      <c r="V38" s="337">
        <f>Input!$G$51</f>
        <v>0</v>
      </c>
      <c r="W38" s="337">
        <f>Input!$G$56</f>
        <v>544</v>
      </c>
      <c r="X38" s="92">
        <f>Input!$G$24</f>
        <v>72</v>
      </c>
      <c r="Y38" s="28"/>
      <c r="Z38" s="360"/>
      <c r="AA38" s="359">
        <f t="shared" ref="AA38:AA58" si="15">(B38/$B$48)*$V$60*$V$61*V38</f>
        <v>0</v>
      </c>
      <c r="AB38" s="1085">
        <f>IF(W38&gt;0,W38*B38*$W$61,0)</f>
        <v>203999.99999999988</v>
      </c>
      <c r="AC38" s="373">
        <f>Income_Expense!$F$8+Income_Expense!$F$10+Income_Expense!$F$11+Income_Expense!$F$12+Income_Expense!$F$13</f>
        <v>19315</v>
      </c>
      <c r="AD38" s="361">
        <f>AA38+AB38+AC38</f>
        <v>223314.99999999988</v>
      </c>
      <c r="AE38" s="358">
        <f>Income_Expense!$F$30</f>
        <v>156871.32330188921</v>
      </c>
      <c r="AF38" s="359">
        <f>Income_Expense!$F$33</f>
        <v>11767.920240240295</v>
      </c>
      <c r="AG38" s="365">
        <f>AE38+AF38</f>
        <v>168639.24354212949</v>
      </c>
      <c r="AH38" s="483">
        <f>AD38-AG38</f>
        <v>54675.75645787039</v>
      </c>
      <c r="AI38" s="626">
        <f>IF(AB38&lt;1,0,AH38/$AI$59)</f>
        <v>136.68939114467597</v>
      </c>
      <c r="AJ38" s="498">
        <f>IF(AB38&lt;1,0,AH38/$AJ$60)</f>
        <v>88.759344899140245</v>
      </c>
      <c r="AK38" s="1090">
        <f>IF(W38&gt;0,$AK$35/$AJ$60,0)</f>
        <v>-1.9803672773685546</v>
      </c>
      <c r="AL38" s="1088">
        <f>AJ38-AK38</f>
        <v>90.739712176508803</v>
      </c>
    </row>
    <row r="39" spans="1:38" x14ac:dyDescent="0.2">
      <c r="B39" s="484">
        <f t="shared" si="14"/>
        <v>2.9499999999999984</v>
      </c>
      <c r="C39" s="345">
        <f>IF(Input!$E$56&lt;1,0,AH39)</f>
        <v>51275.75645787039</v>
      </c>
      <c r="D39" s="1080">
        <f>IF(W39&lt;1,0,AI39)</f>
        <v>128.18939114467597</v>
      </c>
      <c r="E39" s="629">
        <f>IF(W39&lt;1,0,AJ39)</f>
        <v>83.239864379659721</v>
      </c>
      <c r="F39" s="627">
        <f t="shared" ref="F39:F58" si="16">AL39</f>
        <v>85.220231657028279</v>
      </c>
      <c r="V39" s="337">
        <f>Input!$G$51</f>
        <v>0</v>
      </c>
      <c r="W39" s="337">
        <f>Input!$G$56</f>
        <v>544</v>
      </c>
      <c r="X39" s="92">
        <f>Input!$G$24</f>
        <v>72</v>
      </c>
      <c r="Y39" s="28"/>
      <c r="Z39" s="360"/>
      <c r="AA39" s="373">
        <f t="shared" si="15"/>
        <v>0</v>
      </c>
      <c r="AB39" s="838">
        <f t="shared" ref="AB39:AB58" si="17">IF(W39&gt;0,W39*B39*$W$61,0)</f>
        <v>200599.99999999988</v>
      </c>
      <c r="AC39" s="373">
        <f>Income_Expense!$F$8+Income_Expense!$F$10+Income_Expense!$F$11+Income_Expense!$F$12+Income_Expense!$F$13</f>
        <v>19315</v>
      </c>
      <c r="AD39" s="374">
        <f t="shared" ref="AD39:AD58" si="18">AA39+AB39+AC39</f>
        <v>219914.99999999988</v>
      </c>
      <c r="AE39" s="372">
        <f>Income_Expense!$F$30</f>
        <v>156871.32330188921</v>
      </c>
      <c r="AF39" s="373">
        <f>Income_Expense!$F$33</f>
        <v>11767.920240240295</v>
      </c>
      <c r="AG39" s="374">
        <f t="shared" ref="AG39:AG58" si="19">AE39+AF39</f>
        <v>168639.24354212949</v>
      </c>
      <c r="AH39" s="345">
        <f t="shared" ref="AH39:AH58" si="20">AD39-AG39</f>
        <v>51275.75645787039</v>
      </c>
      <c r="AI39" s="627">
        <f>IF(AB38&lt;1,0,AH39/$AI$59)</f>
        <v>128.18939114467597</v>
      </c>
      <c r="AJ39" s="347">
        <f>IF(AB39&lt;1,0,AH39/$AJ$60)</f>
        <v>83.239864379659721</v>
      </c>
      <c r="AK39" s="484">
        <f t="shared" ref="AK39:AK58" si="21">IF(W39&gt;0,$AK$35/$AJ$60,0)</f>
        <v>-1.9803672773685546</v>
      </c>
      <c r="AL39" s="484">
        <f t="shared" ref="AL39:AL58" si="22">AJ39-AK39</f>
        <v>85.220231657028279</v>
      </c>
    </row>
    <row r="40" spans="1:38" x14ac:dyDescent="0.2">
      <c r="B40" s="484">
        <f t="shared" si="14"/>
        <v>2.8999999999999986</v>
      </c>
      <c r="C40" s="345">
        <f>IF(Input!$E$56&lt;1,0,AH40)</f>
        <v>47875.756457870419</v>
      </c>
      <c r="D40" s="1080">
        <f>IF(W40&lt;1,0,AI40)</f>
        <v>119.68939114467605</v>
      </c>
      <c r="E40" s="629">
        <f>IF(W40&lt;1,0,AJ40)</f>
        <v>77.720383860179254</v>
      </c>
      <c r="F40" s="627">
        <f t="shared" si="16"/>
        <v>79.700751137547812</v>
      </c>
      <c r="V40" s="337">
        <f>Input!$G$51</f>
        <v>0</v>
      </c>
      <c r="W40" s="337">
        <f>Input!$G$56</f>
        <v>544</v>
      </c>
      <c r="X40" s="92">
        <f>Input!$G$24</f>
        <v>72</v>
      </c>
      <c r="Y40" s="28"/>
      <c r="Z40" s="360"/>
      <c r="AA40" s="373">
        <f t="shared" si="15"/>
        <v>0</v>
      </c>
      <c r="AB40" s="838">
        <f t="shared" si="17"/>
        <v>197199.99999999991</v>
      </c>
      <c r="AC40" s="373">
        <f>Income_Expense!$F$8+Income_Expense!$F$10+Income_Expense!$F$11+Income_Expense!$F$12+Income_Expense!$F$13</f>
        <v>19315</v>
      </c>
      <c r="AD40" s="374">
        <f t="shared" si="18"/>
        <v>216514.99999999991</v>
      </c>
      <c r="AE40" s="372">
        <f>Income_Expense!$F$30</f>
        <v>156871.32330188921</v>
      </c>
      <c r="AF40" s="373">
        <f>Income_Expense!$F$33</f>
        <v>11767.920240240295</v>
      </c>
      <c r="AG40" s="374">
        <f t="shared" si="19"/>
        <v>168639.24354212949</v>
      </c>
      <c r="AH40" s="345">
        <f t="shared" si="20"/>
        <v>47875.756457870419</v>
      </c>
      <c r="AI40" s="627">
        <f t="shared" ref="AI40:AI58" si="23">IF(AB39&lt;1,0,AH40/$AI$59)</f>
        <v>119.68939114467605</v>
      </c>
      <c r="AJ40" s="347">
        <f>IF(AB40&lt;1,0,AH40/$AJ$60)</f>
        <v>77.720383860179254</v>
      </c>
      <c r="AK40" s="484">
        <f t="shared" si="21"/>
        <v>-1.9803672773685546</v>
      </c>
      <c r="AL40" s="484">
        <f t="shared" si="22"/>
        <v>79.700751137547812</v>
      </c>
    </row>
    <row r="41" spans="1:38" x14ac:dyDescent="0.2">
      <c r="B41" s="484">
        <f t="shared" si="14"/>
        <v>2.8499999999999988</v>
      </c>
      <c r="C41" s="345">
        <f>IF(Input!$E$56&lt;1,0,AH41)</f>
        <v>44475.756457870419</v>
      </c>
      <c r="D41" s="1080">
        <f t="shared" ref="D41:D58" si="24">IF(W41&lt;1,0,AI41)</f>
        <v>111.18939114467605</v>
      </c>
      <c r="E41" s="629">
        <f t="shared" ref="E41:E58" si="25">IF(W41&lt;1,0,AJ41)</f>
        <v>72.20090334069873</v>
      </c>
      <c r="F41" s="627">
        <f t="shared" si="16"/>
        <v>74.181270618067288</v>
      </c>
      <c r="V41" s="337">
        <f>Input!$G$51</f>
        <v>0</v>
      </c>
      <c r="W41" s="337">
        <f>Input!$G$56</f>
        <v>544</v>
      </c>
      <c r="X41" s="92">
        <f>Input!$G$24</f>
        <v>72</v>
      </c>
      <c r="Y41" s="337"/>
      <c r="Z41" s="360"/>
      <c r="AA41" s="373">
        <f t="shared" si="15"/>
        <v>0</v>
      </c>
      <c r="AB41" s="838">
        <f t="shared" si="17"/>
        <v>193799.99999999991</v>
      </c>
      <c r="AC41" s="373">
        <f>Income_Expense!$F$8+Income_Expense!$F$10+Income_Expense!$F$11+Income_Expense!$F$12+Income_Expense!$F$13</f>
        <v>19315</v>
      </c>
      <c r="AD41" s="374">
        <f t="shared" si="18"/>
        <v>213114.99999999991</v>
      </c>
      <c r="AE41" s="372">
        <f>Income_Expense!$F$30</f>
        <v>156871.32330188921</v>
      </c>
      <c r="AF41" s="373">
        <f>Income_Expense!$F$33</f>
        <v>11767.920240240295</v>
      </c>
      <c r="AG41" s="374">
        <f t="shared" si="19"/>
        <v>168639.24354212949</v>
      </c>
      <c r="AH41" s="345">
        <f t="shared" si="20"/>
        <v>44475.756457870419</v>
      </c>
      <c r="AI41" s="627">
        <f t="shared" si="23"/>
        <v>111.18939114467605</v>
      </c>
      <c r="AJ41" s="347">
        <f t="shared" ref="AJ41:AJ58" si="26">IF(AB41&lt;1,0,AH41/$AJ$60)</f>
        <v>72.20090334069873</v>
      </c>
      <c r="AK41" s="484">
        <f t="shared" si="21"/>
        <v>-1.9803672773685546</v>
      </c>
      <c r="AL41" s="484">
        <f t="shared" si="22"/>
        <v>74.181270618067288</v>
      </c>
    </row>
    <row r="42" spans="1:38" x14ac:dyDescent="0.2">
      <c r="B42" s="484">
        <f t="shared" si="14"/>
        <v>2.7999999999999989</v>
      </c>
      <c r="C42" s="345">
        <f>IF(Input!$E$56&lt;1,0,AH42)</f>
        <v>41075.756457870419</v>
      </c>
      <c r="D42" s="1080">
        <f t="shared" si="24"/>
        <v>102.68939114467605</v>
      </c>
      <c r="E42" s="629">
        <f t="shared" si="25"/>
        <v>66.681422821218206</v>
      </c>
      <c r="F42" s="627">
        <f t="shared" si="16"/>
        <v>68.661790098586764</v>
      </c>
      <c r="V42" s="337">
        <f>Input!$G$51</f>
        <v>0</v>
      </c>
      <c r="W42" s="337">
        <f>Input!$G$56</f>
        <v>544</v>
      </c>
      <c r="X42" s="92">
        <f>Input!$G$24</f>
        <v>72</v>
      </c>
      <c r="Y42" s="337"/>
      <c r="Z42" s="360"/>
      <c r="AA42" s="373">
        <f t="shared" si="15"/>
        <v>0</v>
      </c>
      <c r="AB42" s="838">
        <f t="shared" si="17"/>
        <v>190399.99999999991</v>
      </c>
      <c r="AC42" s="373">
        <f>Income_Expense!$F$8+Income_Expense!$F$10+Income_Expense!$F$11+Income_Expense!$F$12+Income_Expense!$F$13</f>
        <v>19315</v>
      </c>
      <c r="AD42" s="374">
        <f t="shared" si="18"/>
        <v>209714.99999999991</v>
      </c>
      <c r="AE42" s="372">
        <f>Income_Expense!$F$30</f>
        <v>156871.32330188921</v>
      </c>
      <c r="AF42" s="373">
        <f>Income_Expense!$F$33</f>
        <v>11767.920240240295</v>
      </c>
      <c r="AG42" s="374">
        <f t="shared" si="19"/>
        <v>168639.24354212949</v>
      </c>
      <c r="AH42" s="345">
        <f t="shared" si="20"/>
        <v>41075.756457870419</v>
      </c>
      <c r="AI42" s="627">
        <f t="shared" si="23"/>
        <v>102.68939114467605</v>
      </c>
      <c r="AJ42" s="347">
        <f t="shared" si="26"/>
        <v>66.681422821218206</v>
      </c>
      <c r="AK42" s="484">
        <f t="shared" si="21"/>
        <v>-1.9803672773685546</v>
      </c>
      <c r="AL42" s="484">
        <f t="shared" si="22"/>
        <v>68.661790098586764</v>
      </c>
    </row>
    <row r="43" spans="1:38" x14ac:dyDescent="0.2">
      <c r="B43" s="484">
        <f t="shared" si="14"/>
        <v>2.7499999999999991</v>
      </c>
      <c r="C43" s="345">
        <f>IF(Input!$E$56&lt;1,0,AH43)</f>
        <v>37675.756457870448</v>
      </c>
      <c r="D43" s="1080">
        <f t="shared" si="24"/>
        <v>94.189391144676122</v>
      </c>
      <c r="E43" s="629">
        <f t="shared" si="25"/>
        <v>61.161942301737739</v>
      </c>
      <c r="F43" s="627">
        <f t="shared" si="16"/>
        <v>63.142309579106296</v>
      </c>
      <c r="V43" s="337">
        <f>Input!$G$51</f>
        <v>0</v>
      </c>
      <c r="W43" s="337">
        <f>Input!$G$56</f>
        <v>544</v>
      </c>
      <c r="X43" s="92">
        <f>Input!$G$24</f>
        <v>72</v>
      </c>
      <c r="Y43" s="337"/>
      <c r="Z43" s="360"/>
      <c r="AA43" s="373">
        <f t="shared" si="15"/>
        <v>0</v>
      </c>
      <c r="AB43" s="838">
        <f t="shared" si="17"/>
        <v>186999.99999999994</v>
      </c>
      <c r="AC43" s="373">
        <f>Income_Expense!$F$8+Income_Expense!$F$10+Income_Expense!$F$11+Income_Expense!$F$12+Income_Expense!$F$13</f>
        <v>19315</v>
      </c>
      <c r="AD43" s="374">
        <f t="shared" si="18"/>
        <v>206314.99999999994</v>
      </c>
      <c r="AE43" s="372">
        <f>Income_Expense!$F$30</f>
        <v>156871.32330188921</v>
      </c>
      <c r="AF43" s="373">
        <f>Income_Expense!$F$33</f>
        <v>11767.920240240295</v>
      </c>
      <c r="AG43" s="374">
        <f t="shared" si="19"/>
        <v>168639.24354212949</v>
      </c>
      <c r="AH43" s="345">
        <f t="shared" si="20"/>
        <v>37675.756457870448</v>
      </c>
      <c r="AI43" s="627">
        <f t="shared" si="23"/>
        <v>94.189391144676122</v>
      </c>
      <c r="AJ43" s="347">
        <f t="shared" si="26"/>
        <v>61.161942301737739</v>
      </c>
      <c r="AK43" s="484">
        <f t="shared" si="21"/>
        <v>-1.9803672773685546</v>
      </c>
      <c r="AL43" s="484">
        <f t="shared" si="22"/>
        <v>63.142309579106296</v>
      </c>
    </row>
    <row r="44" spans="1:38" x14ac:dyDescent="0.2">
      <c r="B44" s="484">
        <f t="shared" si="14"/>
        <v>2.6999999999999993</v>
      </c>
      <c r="C44" s="345">
        <f>IF(Input!$E$56&lt;1,0,AH44)</f>
        <v>34275.756457870477</v>
      </c>
      <c r="D44" s="1080">
        <f t="shared" si="24"/>
        <v>85.689391144676193</v>
      </c>
      <c r="E44" s="629">
        <f t="shared" si="25"/>
        <v>55.642461782257264</v>
      </c>
      <c r="F44" s="627">
        <f t="shared" si="16"/>
        <v>57.622829059625822</v>
      </c>
      <c r="V44" s="337">
        <f>Input!$G$51</f>
        <v>0</v>
      </c>
      <c r="W44" s="337">
        <f>Input!$G$56</f>
        <v>544</v>
      </c>
      <c r="X44" s="92">
        <f>Input!$G$24</f>
        <v>72</v>
      </c>
      <c r="Y44" s="337"/>
      <c r="Z44" s="360"/>
      <c r="AA44" s="373">
        <f t="shared" si="15"/>
        <v>0</v>
      </c>
      <c r="AB44" s="838">
        <f t="shared" si="17"/>
        <v>183599.99999999997</v>
      </c>
      <c r="AC44" s="373">
        <f>Income_Expense!$F$8+Income_Expense!$F$10+Income_Expense!$F$11+Income_Expense!$F$12+Income_Expense!$F$13</f>
        <v>19315</v>
      </c>
      <c r="AD44" s="374">
        <f t="shared" si="18"/>
        <v>202914.99999999997</v>
      </c>
      <c r="AE44" s="372">
        <f>Income_Expense!$F$30</f>
        <v>156871.32330188921</v>
      </c>
      <c r="AF44" s="373">
        <f>Income_Expense!$F$33</f>
        <v>11767.920240240295</v>
      </c>
      <c r="AG44" s="374">
        <f t="shared" si="19"/>
        <v>168639.24354212949</v>
      </c>
      <c r="AH44" s="345">
        <f t="shared" si="20"/>
        <v>34275.756457870477</v>
      </c>
      <c r="AI44" s="627">
        <f t="shared" si="23"/>
        <v>85.689391144676193</v>
      </c>
      <c r="AJ44" s="347">
        <f t="shared" si="26"/>
        <v>55.642461782257264</v>
      </c>
      <c r="AK44" s="484">
        <f t="shared" si="21"/>
        <v>-1.9803672773685546</v>
      </c>
      <c r="AL44" s="484">
        <f t="shared" si="22"/>
        <v>57.622829059625822</v>
      </c>
    </row>
    <row r="45" spans="1:38" x14ac:dyDescent="0.2">
      <c r="B45" s="484">
        <f t="shared" si="14"/>
        <v>2.6499999999999995</v>
      </c>
      <c r="C45" s="345">
        <f>IF(Input!$E$56&lt;1,0,AH45)</f>
        <v>30875.756457870477</v>
      </c>
      <c r="D45" s="1080">
        <f t="shared" si="24"/>
        <v>77.189391144676193</v>
      </c>
      <c r="E45" s="629">
        <f t="shared" si="25"/>
        <v>50.122981262776747</v>
      </c>
      <c r="F45" s="627">
        <f t="shared" si="16"/>
        <v>52.103348540145305</v>
      </c>
      <c r="V45" s="337">
        <f>Input!$G$51</f>
        <v>0</v>
      </c>
      <c r="W45" s="337">
        <f>Input!$G$56</f>
        <v>544</v>
      </c>
      <c r="X45" s="92">
        <f>Input!$G$24</f>
        <v>72</v>
      </c>
      <c r="Y45" s="337"/>
      <c r="Z45" s="360"/>
      <c r="AA45" s="373">
        <f t="shared" si="15"/>
        <v>0</v>
      </c>
      <c r="AB45" s="838">
        <f t="shared" si="17"/>
        <v>180199.99999999997</v>
      </c>
      <c r="AC45" s="373">
        <f>Income_Expense!$F$8+Income_Expense!$F$10+Income_Expense!$F$11+Income_Expense!$F$12+Income_Expense!$F$13</f>
        <v>19315</v>
      </c>
      <c r="AD45" s="374">
        <f t="shared" si="18"/>
        <v>199514.99999999997</v>
      </c>
      <c r="AE45" s="372">
        <f>Income_Expense!$F$30</f>
        <v>156871.32330188921</v>
      </c>
      <c r="AF45" s="373">
        <f>Income_Expense!$F$33</f>
        <v>11767.920240240295</v>
      </c>
      <c r="AG45" s="374">
        <f t="shared" si="19"/>
        <v>168639.24354212949</v>
      </c>
      <c r="AH45" s="345">
        <f t="shared" si="20"/>
        <v>30875.756457870477</v>
      </c>
      <c r="AI45" s="627">
        <f t="shared" si="23"/>
        <v>77.189391144676193</v>
      </c>
      <c r="AJ45" s="347">
        <f t="shared" si="26"/>
        <v>50.122981262776747</v>
      </c>
      <c r="AK45" s="484">
        <f t="shared" si="21"/>
        <v>-1.9803672773685546</v>
      </c>
      <c r="AL45" s="484">
        <f t="shared" si="22"/>
        <v>52.103348540145305</v>
      </c>
    </row>
    <row r="46" spans="1:38" x14ac:dyDescent="0.2">
      <c r="B46" s="484">
        <f t="shared" si="14"/>
        <v>2.5999999999999996</v>
      </c>
      <c r="C46" s="345">
        <f>IF(Input!$E$56&lt;1,0,AH46)</f>
        <v>27475.756457870477</v>
      </c>
      <c r="D46" s="1080">
        <f t="shared" si="24"/>
        <v>68.689391144676193</v>
      </c>
      <c r="E46" s="629">
        <f t="shared" si="25"/>
        <v>44.60350074329623</v>
      </c>
      <c r="F46" s="627">
        <f t="shared" si="16"/>
        <v>46.583868020664788</v>
      </c>
      <c r="V46" s="337">
        <f>Input!$G$51</f>
        <v>0</v>
      </c>
      <c r="W46" s="337">
        <f>Input!$G$56</f>
        <v>544</v>
      </c>
      <c r="X46" s="92">
        <f>Input!$G$24</f>
        <v>72</v>
      </c>
      <c r="Y46" s="337"/>
      <c r="Z46" s="360"/>
      <c r="AA46" s="373">
        <f t="shared" si="15"/>
        <v>0</v>
      </c>
      <c r="AB46" s="838">
        <f t="shared" si="17"/>
        <v>176799.99999999997</v>
      </c>
      <c r="AC46" s="373">
        <f>Income_Expense!$F$8+Income_Expense!$F$10+Income_Expense!$F$11+Income_Expense!$F$12+Income_Expense!$F$13</f>
        <v>19315</v>
      </c>
      <c r="AD46" s="374">
        <f t="shared" si="18"/>
        <v>196114.99999999997</v>
      </c>
      <c r="AE46" s="372">
        <f>Income_Expense!$F$30</f>
        <v>156871.32330188921</v>
      </c>
      <c r="AF46" s="373">
        <f>Income_Expense!$F$33</f>
        <v>11767.920240240295</v>
      </c>
      <c r="AG46" s="374">
        <f t="shared" si="19"/>
        <v>168639.24354212949</v>
      </c>
      <c r="AH46" s="345">
        <f t="shared" si="20"/>
        <v>27475.756457870477</v>
      </c>
      <c r="AI46" s="627">
        <f t="shared" si="23"/>
        <v>68.689391144676193</v>
      </c>
      <c r="AJ46" s="347">
        <f t="shared" si="26"/>
        <v>44.60350074329623</v>
      </c>
      <c r="AK46" s="484">
        <f t="shared" si="21"/>
        <v>-1.9803672773685546</v>
      </c>
      <c r="AL46" s="484">
        <f t="shared" si="22"/>
        <v>46.583868020664788</v>
      </c>
    </row>
    <row r="47" spans="1:38" x14ac:dyDescent="0.2">
      <c r="A47" s="1195" t="s">
        <v>955</v>
      </c>
      <c r="B47" s="484">
        <f t="shared" si="14"/>
        <v>2.5499999999999998</v>
      </c>
      <c r="C47" s="345">
        <f>IF(Input!$E$56&lt;1,0,AH47)</f>
        <v>24075.756457870477</v>
      </c>
      <c r="D47" s="1080">
        <f t="shared" si="24"/>
        <v>60.189391144676193</v>
      </c>
      <c r="E47" s="629">
        <f t="shared" si="25"/>
        <v>39.084020223815706</v>
      </c>
      <c r="F47" s="627">
        <f t="shared" si="16"/>
        <v>41.064387501184264</v>
      </c>
      <c r="V47" s="337">
        <f>Input!$G$51</f>
        <v>0</v>
      </c>
      <c r="W47" s="337">
        <f>Input!$G$56</f>
        <v>544</v>
      </c>
      <c r="X47" s="92">
        <f>Input!$G$24</f>
        <v>72</v>
      </c>
      <c r="Y47" s="337"/>
      <c r="Z47" s="360"/>
      <c r="AA47" s="373">
        <f t="shared" si="15"/>
        <v>0</v>
      </c>
      <c r="AB47" s="838">
        <f t="shared" si="17"/>
        <v>173399.99999999997</v>
      </c>
      <c r="AC47" s="373">
        <f>Income_Expense!$F$8+Income_Expense!$F$10+Income_Expense!$F$11+Income_Expense!$F$12+Income_Expense!$F$13</f>
        <v>19315</v>
      </c>
      <c r="AD47" s="374">
        <f t="shared" si="18"/>
        <v>192714.99999999997</v>
      </c>
      <c r="AE47" s="372">
        <f>Income_Expense!$F$30</f>
        <v>156871.32330188921</v>
      </c>
      <c r="AF47" s="373">
        <f>Income_Expense!$F$33</f>
        <v>11767.920240240295</v>
      </c>
      <c r="AG47" s="374">
        <f t="shared" si="19"/>
        <v>168639.24354212949</v>
      </c>
      <c r="AH47" s="345">
        <f t="shared" si="20"/>
        <v>24075.756457870477</v>
      </c>
      <c r="AI47" s="627">
        <f t="shared" si="23"/>
        <v>60.189391144676193</v>
      </c>
      <c r="AJ47" s="347">
        <f t="shared" si="26"/>
        <v>39.084020223815706</v>
      </c>
      <c r="AK47" s="484">
        <f t="shared" si="21"/>
        <v>-1.9803672773685546</v>
      </c>
      <c r="AL47" s="484">
        <f t="shared" si="22"/>
        <v>41.064387501184264</v>
      </c>
    </row>
    <row r="48" spans="1:38" x14ac:dyDescent="0.2">
      <c r="A48" s="1195" t="s">
        <v>718</v>
      </c>
      <c r="B48" s="485">
        <f>Input!$E$57</f>
        <v>2.5</v>
      </c>
      <c r="C48" s="339">
        <f>IF(Input!$E$56&lt;1,0,AH48)</f>
        <v>20675.756457870506</v>
      </c>
      <c r="D48" s="1081">
        <f t="shared" si="24"/>
        <v>51.689391144676264</v>
      </c>
      <c r="E48" s="631">
        <f t="shared" si="25"/>
        <v>33.564539704335239</v>
      </c>
      <c r="F48" s="485">
        <f t="shared" si="16"/>
        <v>35.544906981703797</v>
      </c>
      <c r="U48" s="86" t="s">
        <v>955</v>
      </c>
      <c r="V48" s="350">
        <f>Input!$G$51</f>
        <v>0</v>
      </c>
      <c r="W48" s="350">
        <f>Input!$G$56</f>
        <v>544</v>
      </c>
      <c r="X48" s="350">
        <f>Input!$G$24</f>
        <v>72</v>
      </c>
      <c r="Y48" s="350"/>
      <c r="Z48" s="361"/>
      <c r="AA48" s="376">
        <f t="shared" si="15"/>
        <v>0</v>
      </c>
      <c r="AB48" s="836">
        <f t="shared" si="17"/>
        <v>170000</v>
      </c>
      <c r="AC48" s="376">
        <f>Income_Expense!$F$8+Income_Expense!$F$10+Income_Expense!$F$11+Income_Expense!$F$12+Income_Expense!$F$13</f>
        <v>19315</v>
      </c>
      <c r="AD48" s="374">
        <f t="shared" si="18"/>
        <v>189315</v>
      </c>
      <c r="AE48" s="339">
        <f>Income_Expense!$F$30</f>
        <v>156871.32330188921</v>
      </c>
      <c r="AF48" s="376">
        <f>Income_Expense!$F$33</f>
        <v>11767.920240240295</v>
      </c>
      <c r="AG48" s="374">
        <f t="shared" si="19"/>
        <v>168639.24354212949</v>
      </c>
      <c r="AH48" s="339">
        <f t="shared" si="20"/>
        <v>20675.756457870506</v>
      </c>
      <c r="AI48" s="485">
        <f t="shared" si="23"/>
        <v>51.689391144676264</v>
      </c>
      <c r="AJ48" s="340">
        <f t="shared" si="26"/>
        <v>33.564539704335239</v>
      </c>
      <c r="AK48" s="485">
        <f t="shared" si="21"/>
        <v>-1.9803672773685546</v>
      </c>
      <c r="AL48" s="485">
        <f t="shared" si="22"/>
        <v>35.544906981703797</v>
      </c>
    </row>
    <row r="49" spans="2:49" x14ac:dyDescent="0.2">
      <c r="B49" s="484">
        <f>B48-0.05</f>
        <v>2.4500000000000002</v>
      </c>
      <c r="C49" s="345">
        <f>IF(Input!$E$56&lt;1,0,AH49)</f>
        <v>17275.756457870535</v>
      </c>
      <c r="D49" s="1080">
        <f t="shared" si="24"/>
        <v>43.189391144676335</v>
      </c>
      <c r="E49" s="629">
        <f t="shared" si="25"/>
        <v>28.045059184854765</v>
      </c>
      <c r="F49" s="627">
        <f>AL49</f>
        <v>30.025426462223319</v>
      </c>
      <c r="V49" s="337">
        <f>Input!$G$51</f>
        <v>0</v>
      </c>
      <c r="W49" s="337">
        <f>Input!$G$56</f>
        <v>544</v>
      </c>
      <c r="X49" s="92">
        <f>Input!$G$24</f>
        <v>72</v>
      </c>
      <c r="Y49" s="337"/>
      <c r="Z49" s="360"/>
      <c r="AA49" s="373">
        <f t="shared" si="15"/>
        <v>0</v>
      </c>
      <c r="AB49" s="838">
        <f t="shared" si="17"/>
        <v>166600.00000000003</v>
      </c>
      <c r="AC49" s="373">
        <f>Income_Expense!$F$8+Income_Expense!$F$10+Income_Expense!$F$11+Income_Expense!$F$12+Income_Expense!$F$13</f>
        <v>19315</v>
      </c>
      <c r="AD49" s="374">
        <f t="shared" si="18"/>
        <v>185915.00000000003</v>
      </c>
      <c r="AE49" s="372">
        <f>Income_Expense!$F$30</f>
        <v>156871.32330188921</v>
      </c>
      <c r="AF49" s="373">
        <f>Income_Expense!$F$33</f>
        <v>11767.920240240295</v>
      </c>
      <c r="AG49" s="374">
        <f t="shared" si="19"/>
        <v>168639.24354212949</v>
      </c>
      <c r="AH49" s="345">
        <f t="shared" si="20"/>
        <v>17275.756457870535</v>
      </c>
      <c r="AI49" s="627">
        <f t="shared" si="23"/>
        <v>43.189391144676335</v>
      </c>
      <c r="AJ49" s="347">
        <f t="shared" si="26"/>
        <v>28.045059184854765</v>
      </c>
      <c r="AK49" s="484">
        <f t="shared" si="21"/>
        <v>-1.9803672773685546</v>
      </c>
      <c r="AL49" s="484">
        <f t="shared" si="22"/>
        <v>30.025426462223319</v>
      </c>
    </row>
    <row r="50" spans="2:49" x14ac:dyDescent="0.2">
      <c r="B50" s="484">
        <f t="shared" ref="B50:B58" si="27">B49-0.05</f>
        <v>2.4000000000000004</v>
      </c>
      <c r="C50" s="345">
        <f>IF(Input!$E$56&lt;1,0,AH50)</f>
        <v>13875.756457870535</v>
      </c>
      <c r="D50" s="1080">
        <f t="shared" si="24"/>
        <v>34.689391144676335</v>
      </c>
      <c r="E50" s="629">
        <f t="shared" si="25"/>
        <v>22.525578665374244</v>
      </c>
      <c r="F50" s="627">
        <f t="shared" si="16"/>
        <v>24.505945942742798</v>
      </c>
      <c r="V50" s="337">
        <f>Input!$G$51</f>
        <v>0</v>
      </c>
      <c r="W50" s="337">
        <f>Input!$G$56</f>
        <v>544</v>
      </c>
      <c r="X50" s="92">
        <f>Input!$G$24</f>
        <v>72</v>
      </c>
      <c r="Y50" s="337"/>
      <c r="Z50" s="360"/>
      <c r="AA50" s="373">
        <f t="shared" si="15"/>
        <v>0</v>
      </c>
      <c r="AB50" s="838">
        <f t="shared" si="17"/>
        <v>163200.00000000003</v>
      </c>
      <c r="AC50" s="373">
        <f>Income_Expense!$F$8+Income_Expense!$F$10+Income_Expense!$F$11+Income_Expense!$F$12+Income_Expense!$F$13</f>
        <v>19315</v>
      </c>
      <c r="AD50" s="374">
        <f t="shared" si="18"/>
        <v>182515.00000000003</v>
      </c>
      <c r="AE50" s="372">
        <f>Income_Expense!$F$30</f>
        <v>156871.32330188921</v>
      </c>
      <c r="AF50" s="373">
        <f>Income_Expense!$F$33</f>
        <v>11767.920240240295</v>
      </c>
      <c r="AG50" s="374">
        <f t="shared" si="19"/>
        <v>168639.24354212949</v>
      </c>
      <c r="AH50" s="345">
        <f t="shared" si="20"/>
        <v>13875.756457870535</v>
      </c>
      <c r="AI50" s="627">
        <f t="shared" si="23"/>
        <v>34.689391144676335</v>
      </c>
      <c r="AJ50" s="347">
        <f t="shared" si="26"/>
        <v>22.525578665374244</v>
      </c>
      <c r="AK50" s="484">
        <f t="shared" si="21"/>
        <v>-1.9803672773685546</v>
      </c>
      <c r="AL50" s="484">
        <f t="shared" si="22"/>
        <v>24.505945942742798</v>
      </c>
    </row>
    <row r="51" spans="2:49" x14ac:dyDescent="0.2">
      <c r="B51" s="484">
        <f t="shared" si="27"/>
        <v>2.3500000000000005</v>
      </c>
      <c r="C51" s="345">
        <f>IF(Input!$E$56&lt;1,0,AH51)</f>
        <v>10475.756457870535</v>
      </c>
      <c r="D51" s="1080">
        <f t="shared" si="24"/>
        <v>26.189391144676339</v>
      </c>
      <c r="E51" s="629">
        <f t="shared" si="25"/>
        <v>17.006098145893727</v>
      </c>
      <c r="F51" s="627">
        <f t="shared" si="16"/>
        <v>18.986465423262281</v>
      </c>
      <c r="V51" s="337">
        <f>Input!$G$51</f>
        <v>0</v>
      </c>
      <c r="W51" s="337">
        <f>Input!$G$56</f>
        <v>544</v>
      </c>
      <c r="X51" s="92">
        <f>Input!$G$24</f>
        <v>72</v>
      </c>
      <c r="Y51" s="337"/>
      <c r="Z51" s="360"/>
      <c r="AA51" s="373">
        <f t="shared" si="15"/>
        <v>0</v>
      </c>
      <c r="AB51" s="838">
        <f t="shared" si="17"/>
        <v>159800.00000000003</v>
      </c>
      <c r="AC51" s="373">
        <f>Income_Expense!$F$8+Income_Expense!$F$10+Income_Expense!$F$11+Income_Expense!$F$12+Income_Expense!$F$13</f>
        <v>19315</v>
      </c>
      <c r="AD51" s="374">
        <f t="shared" si="18"/>
        <v>179115.00000000003</v>
      </c>
      <c r="AE51" s="372">
        <f>Income_Expense!$F$30</f>
        <v>156871.32330188921</v>
      </c>
      <c r="AF51" s="373">
        <f>Income_Expense!$F$33</f>
        <v>11767.920240240295</v>
      </c>
      <c r="AG51" s="374">
        <f t="shared" si="19"/>
        <v>168639.24354212949</v>
      </c>
      <c r="AH51" s="345">
        <f t="shared" si="20"/>
        <v>10475.756457870535</v>
      </c>
      <c r="AI51" s="627">
        <f t="shared" si="23"/>
        <v>26.189391144676339</v>
      </c>
      <c r="AJ51" s="347">
        <f t="shared" si="26"/>
        <v>17.006098145893727</v>
      </c>
      <c r="AK51" s="484">
        <f t="shared" si="21"/>
        <v>-1.9803672773685546</v>
      </c>
      <c r="AL51" s="484">
        <f t="shared" si="22"/>
        <v>18.986465423262281</v>
      </c>
    </row>
    <row r="52" spans="2:49" x14ac:dyDescent="0.2">
      <c r="B52" s="484">
        <f t="shared" si="27"/>
        <v>2.3000000000000007</v>
      </c>
      <c r="C52" s="345">
        <f>IF(Input!$E$56&lt;1,0,AH52)</f>
        <v>7075.7564578705351</v>
      </c>
      <c r="D52" s="1080">
        <f t="shared" si="24"/>
        <v>17.689391144676339</v>
      </c>
      <c r="E52" s="629">
        <f t="shared" si="25"/>
        <v>11.486617626413206</v>
      </c>
      <c r="F52" s="627">
        <f t="shared" si="16"/>
        <v>13.466984903781761</v>
      </c>
      <c r="V52" s="337">
        <f>Input!$G$51</f>
        <v>0</v>
      </c>
      <c r="W52" s="337">
        <f>Input!$G$56</f>
        <v>544</v>
      </c>
      <c r="X52" s="92">
        <f>Input!$G$24</f>
        <v>72</v>
      </c>
      <c r="Y52" s="337"/>
      <c r="Z52" s="360"/>
      <c r="AA52" s="373">
        <f t="shared" si="15"/>
        <v>0</v>
      </c>
      <c r="AB52" s="838">
        <f t="shared" si="17"/>
        <v>156400.00000000003</v>
      </c>
      <c r="AC52" s="373">
        <f>Income_Expense!$F$8+Income_Expense!$F$10+Income_Expense!$F$11+Income_Expense!$F$12+Income_Expense!$F$13</f>
        <v>19315</v>
      </c>
      <c r="AD52" s="374">
        <f t="shared" si="18"/>
        <v>175715.00000000003</v>
      </c>
      <c r="AE52" s="372">
        <f>Income_Expense!$F$30</f>
        <v>156871.32330188921</v>
      </c>
      <c r="AF52" s="373">
        <f>Income_Expense!$F$33</f>
        <v>11767.920240240295</v>
      </c>
      <c r="AG52" s="374">
        <f t="shared" si="19"/>
        <v>168639.24354212949</v>
      </c>
      <c r="AH52" s="345">
        <f t="shared" si="20"/>
        <v>7075.7564578705351</v>
      </c>
      <c r="AI52" s="627">
        <f t="shared" si="23"/>
        <v>17.689391144676339</v>
      </c>
      <c r="AJ52" s="347">
        <f t="shared" si="26"/>
        <v>11.486617626413206</v>
      </c>
      <c r="AK52" s="484">
        <f t="shared" si="21"/>
        <v>-1.9803672773685546</v>
      </c>
      <c r="AL52" s="484">
        <f t="shared" si="22"/>
        <v>13.466984903781761</v>
      </c>
    </row>
    <row r="53" spans="2:49" x14ac:dyDescent="0.2">
      <c r="B53" s="484">
        <f t="shared" si="27"/>
        <v>2.2500000000000009</v>
      </c>
      <c r="C53" s="345">
        <f>IF(Input!$E$56&lt;1,0,AH53)</f>
        <v>3675.7564578705642</v>
      </c>
      <c r="D53" s="1080">
        <f t="shared" si="24"/>
        <v>9.1893911446764101</v>
      </c>
      <c r="E53" s="629">
        <f t="shared" si="25"/>
        <v>5.9671371069327339</v>
      </c>
      <c r="F53" s="627">
        <f t="shared" si="16"/>
        <v>7.947504384301288</v>
      </c>
      <c r="V53" s="337">
        <f>Input!$G$51</f>
        <v>0</v>
      </c>
      <c r="W53" s="337">
        <f>Input!$G$56</f>
        <v>544</v>
      </c>
      <c r="X53" s="92">
        <f>Input!$G$24</f>
        <v>72</v>
      </c>
      <c r="Y53" s="337"/>
      <c r="Z53" s="360"/>
      <c r="AA53" s="373">
        <f t="shared" si="15"/>
        <v>0</v>
      </c>
      <c r="AB53" s="838">
        <f t="shared" si="17"/>
        <v>153000.00000000006</v>
      </c>
      <c r="AC53" s="373">
        <f>Income_Expense!$F$8+Income_Expense!$F$10+Income_Expense!$F$11+Income_Expense!$F$12+Income_Expense!$F$13</f>
        <v>19315</v>
      </c>
      <c r="AD53" s="374">
        <f t="shared" si="18"/>
        <v>172315.00000000006</v>
      </c>
      <c r="AE53" s="372">
        <f>Income_Expense!$F$30</f>
        <v>156871.32330188921</v>
      </c>
      <c r="AF53" s="373">
        <f>Income_Expense!$F$33</f>
        <v>11767.920240240295</v>
      </c>
      <c r="AG53" s="374">
        <f t="shared" si="19"/>
        <v>168639.24354212949</v>
      </c>
      <c r="AH53" s="345">
        <f t="shared" si="20"/>
        <v>3675.7564578705642</v>
      </c>
      <c r="AI53" s="627">
        <f t="shared" si="23"/>
        <v>9.1893911446764101</v>
      </c>
      <c r="AJ53" s="347">
        <f t="shared" si="26"/>
        <v>5.9671371069327339</v>
      </c>
      <c r="AK53" s="484">
        <f t="shared" si="21"/>
        <v>-1.9803672773685546</v>
      </c>
      <c r="AL53" s="484">
        <f t="shared" si="22"/>
        <v>7.947504384301288</v>
      </c>
    </row>
    <row r="54" spans="2:49" x14ac:dyDescent="0.2">
      <c r="B54" s="484">
        <f t="shared" si="27"/>
        <v>2.2000000000000011</v>
      </c>
      <c r="C54" s="345">
        <f>IF(Input!$E$56&lt;1,0,AH54)</f>
        <v>275.75645787059329</v>
      </c>
      <c r="D54" s="1080">
        <f t="shared" si="24"/>
        <v>0.68939114467648321</v>
      </c>
      <c r="E54" s="629">
        <f t="shared" si="25"/>
        <v>0.44765658745226183</v>
      </c>
      <c r="F54" s="627">
        <f t="shared" si="16"/>
        <v>2.4280238648208163</v>
      </c>
      <c r="V54" s="337">
        <f>Input!$G$51</f>
        <v>0</v>
      </c>
      <c r="W54" s="337">
        <f>Input!$G$56</f>
        <v>544</v>
      </c>
      <c r="X54" s="92">
        <f>Input!$G$24</f>
        <v>72</v>
      </c>
      <c r="Y54" s="337"/>
      <c r="Z54" s="360"/>
      <c r="AA54" s="373">
        <f t="shared" si="15"/>
        <v>0</v>
      </c>
      <c r="AB54" s="838">
        <f t="shared" si="17"/>
        <v>149600.00000000009</v>
      </c>
      <c r="AC54" s="373">
        <f>Income_Expense!$F$8+Income_Expense!$F$10+Income_Expense!$F$11+Income_Expense!$F$12+Income_Expense!$F$13</f>
        <v>19315</v>
      </c>
      <c r="AD54" s="374">
        <f t="shared" si="18"/>
        <v>168915.00000000009</v>
      </c>
      <c r="AE54" s="372">
        <f>Income_Expense!$F$30</f>
        <v>156871.32330188921</v>
      </c>
      <c r="AF54" s="373">
        <f>Income_Expense!$F$33</f>
        <v>11767.920240240295</v>
      </c>
      <c r="AG54" s="374">
        <f t="shared" si="19"/>
        <v>168639.24354212949</v>
      </c>
      <c r="AH54" s="345">
        <f t="shared" si="20"/>
        <v>275.75645787059329</v>
      </c>
      <c r="AI54" s="627">
        <f t="shared" si="23"/>
        <v>0.68939114467648321</v>
      </c>
      <c r="AJ54" s="347">
        <f t="shared" si="26"/>
        <v>0.44765658745226183</v>
      </c>
      <c r="AK54" s="484">
        <f t="shared" si="21"/>
        <v>-1.9803672773685546</v>
      </c>
      <c r="AL54" s="484">
        <f t="shared" si="22"/>
        <v>2.4280238648208163</v>
      </c>
    </row>
    <row r="55" spans="2:49" x14ac:dyDescent="0.2">
      <c r="B55" s="484">
        <f t="shared" si="27"/>
        <v>2.1500000000000012</v>
      </c>
      <c r="C55" s="345">
        <f>IF(Input!$E$56&lt;1,0,AH55)</f>
        <v>-3124.2435421294067</v>
      </c>
      <c r="D55" s="1080">
        <f t="shared" si="24"/>
        <v>-7.8106088553235171</v>
      </c>
      <c r="E55" s="629">
        <f t="shared" si="25"/>
        <v>-5.0718239320282574</v>
      </c>
      <c r="F55" s="627">
        <f t="shared" si="16"/>
        <v>-3.0914566546597029</v>
      </c>
      <c r="V55" s="337">
        <f>Input!$G$51</f>
        <v>0</v>
      </c>
      <c r="W55" s="337">
        <f>Input!$G$56</f>
        <v>544</v>
      </c>
      <c r="X55" s="92">
        <f>Input!$G$24</f>
        <v>72</v>
      </c>
      <c r="Y55" s="337"/>
      <c r="Z55" s="360"/>
      <c r="AA55" s="373">
        <f t="shared" si="15"/>
        <v>0</v>
      </c>
      <c r="AB55" s="838">
        <f t="shared" si="17"/>
        <v>146200.00000000009</v>
      </c>
      <c r="AC55" s="373">
        <f>Income_Expense!$F$8+Income_Expense!$F$10+Income_Expense!$F$11+Income_Expense!$F$12+Income_Expense!$F$13</f>
        <v>19315</v>
      </c>
      <c r="AD55" s="374">
        <f t="shared" si="18"/>
        <v>165515.00000000009</v>
      </c>
      <c r="AE55" s="372">
        <f>Income_Expense!$F$30</f>
        <v>156871.32330188921</v>
      </c>
      <c r="AF55" s="373">
        <f>Income_Expense!$F$33</f>
        <v>11767.920240240295</v>
      </c>
      <c r="AG55" s="374">
        <f t="shared" si="19"/>
        <v>168639.24354212949</v>
      </c>
      <c r="AH55" s="345">
        <f t="shared" si="20"/>
        <v>-3124.2435421294067</v>
      </c>
      <c r="AI55" s="627">
        <f t="shared" si="23"/>
        <v>-7.8106088553235171</v>
      </c>
      <c r="AJ55" s="347">
        <f t="shared" si="26"/>
        <v>-5.0718239320282574</v>
      </c>
      <c r="AK55" s="484">
        <f t="shared" si="21"/>
        <v>-1.9803672773685546</v>
      </c>
      <c r="AL55" s="484">
        <f t="shared" si="22"/>
        <v>-3.0914566546597029</v>
      </c>
    </row>
    <row r="56" spans="2:49" x14ac:dyDescent="0.2">
      <c r="B56" s="484">
        <f t="shared" si="27"/>
        <v>2.1000000000000014</v>
      </c>
      <c r="C56" s="345">
        <f>IF(Input!$E$56&lt;1,0,AH56)</f>
        <v>-6524.2435421294067</v>
      </c>
      <c r="D56" s="1080">
        <f t="shared" si="24"/>
        <v>-16.310608855323515</v>
      </c>
      <c r="E56" s="629">
        <f t="shared" si="25"/>
        <v>-10.591304451508778</v>
      </c>
      <c r="F56" s="627">
        <f t="shared" si="16"/>
        <v>-8.6109371741402239</v>
      </c>
      <c r="V56" s="337">
        <f>Input!$G$51</f>
        <v>0</v>
      </c>
      <c r="W56" s="337">
        <f>Input!$G$56</f>
        <v>544</v>
      </c>
      <c r="X56" s="92">
        <f>Input!$G$24</f>
        <v>72</v>
      </c>
      <c r="Y56" s="337"/>
      <c r="Z56" s="360"/>
      <c r="AA56" s="373">
        <f t="shared" si="15"/>
        <v>0</v>
      </c>
      <c r="AB56" s="838">
        <f t="shared" si="17"/>
        <v>142800.00000000009</v>
      </c>
      <c r="AC56" s="373">
        <f>Income_Expense!$F$8+Income_Expense!$F$10+Income_Expense!$F$11+Income_Expense!$F$12+Income_Expense!$F$13</f>
        <v>19315</v>
      </c>
      <c r="AD56" s="374">
        <f t="shared" si="18"/>
        <v>162115.00000000009</v>
      </c>
      <c r="AE56" s="372">
        <f>Income_Expense!$F$30</f>
        <v>156871.32330188921</v>
      </c>
      <c r="AF56" s="373">
        <f>Income_Expense!$F$33</f>
        <v>11767.920240240295</v>
      </c>
      <c r="AG56" s="374">
        <f t="shared" si="19"/>
        <v>168639.24354212949</v>
      </c>
      <c r="AH56" s="345">
        <f t="shared" si="20"/>
        <v>-6524.2435421294067</v>
      </c>
      <c r="AI56" s="627">
        <f t="shared" si="23"/>
        <v>-16.310608855323515</v>
      </c>
      <c r="AJ56" s="347">
        <f t="shared" si="26"/>
        <v>-10.591304451508778</v>
      </c>
      <c r="AK56" s="484">
        <f t="shared" si="21"/>
        <v>-1.9803672773685546</v>
      </c>
      <c r="AL56" s="484">
        <f t="shared" si="22"/>
        <v>-8.6109371741402239</v>
      </c>
    </row>
    <row r="57" spans="2:49" x14ac:dyDescent="0.2">
      <c r="B57" s="484">
        <f t="shared" si="27"/>
        <v>2.0500000000000016</v>
      </c>
      <c r="C57" s="345">
        <f>IF(Input!$E$56&lt;1,0,AH57)</f>
        <v>-9924.2435421293776</v>
      </c>
      <c r="D57" s="1080">
        <f t="shared" si="24"/>
        <v>-24.810608855323444</v>
      </c>
      <c r="E57" s="629">
        <f t="shared" si="25"/>
        <v>-16.110784970989251</v>
      </c>
      <c r="F57" s="627">
        <f t="shared" si="16"/>
        <v>-14.130417693620696</v>
      </c>
      <c r="V57" s="337">
        <f>Input!$G$51</f>
        <v>0</v>
      </c>
      <c r="W57" s="337">
        <f>Input!$G$56</f>
        <v>544</v>
      </c>
      <c r="X57" s="92">
        <f>Input!$G$24</f>
        <v>72</v>
      </c>
      <c r="Y57" s="337"/>
      <c r="Z57" s="360"/>
      <c r="AA57" s="373">
        <f t="shared" si="15"/>
        <v>0</v>
      </c>
      <c r="AB57" s="838">
        <f t="shared" si="17"/>
        <v>139400.00000000012</v>
      </c>
      <c r="AC57" s="373">
        <f>Income_Expense!$F$8+Income_Expense!$F$10+Income_Expense!$F$11+Income_Expense!$F$12+Income_Expense!$F$13</f>
        <v>19315</v>
      </c>
      <c r="AD57" s="374">
        <f t="shared" si="18"/>
        <v>158715.00000000012</v>
      </c>
      <c r="AE57" s="372">
        <f>Income_Expense!$F$30</f>
        <v>156871.32330188921</v>
      </c>
      <c r="AF57" s="373">
        <f>Income_Expense!$F$33</f>
        <v>11767.920240240295</v>
      </c>
      <c r="AG57" s="374">
        <f t="shared" si="19"/>
        <v>168639.24354212949</v>
      </c>
      <c r="AH57" s="345">
        <f t="shared" si="20"/>
        <v>-9924.2435421293776</v>
      </c>
      <c r="AI57" s="627">
        <f t="shared" si="23"/>
        <v>-24.810608855323444</v>
      </c>
      <c r="AJ57" s="347">
        <f t="shared" si="26"/>
        <v>-16.110784970989251</v>
      </c>
      <c r="AK57" s="484">
        <f t="shared" si="21"/>
        <v>-1.9803672773685546</v>
      </c>
      <c r="AL57" s="484">
        <f t="shared" si="22"/>
        <v>-14.130417693620696</v>
      </c>
    </row>
    <row r="58" spans="2:49" ht="13.5" thickBot="1" x14ac:dyDescent="0.25">
      <c r="B58" s="486">
        <f t="shared" si="27"/>
        <v>2.0000000000000018</v>
      </c>
      <c r="C58" s="369">
        <f>IF(Input!$E$56&lt;1,0,AH58)</f>
        <v>-13324.243542129378</v>
      </c>
      <c r="D58" s="1114">
        <f t="shared" si="24"/>
        <v>-33.310608855323444</v>
      </c>
      <c r="E58" s="630">
        <f t="shared" si="25"/>
        <v>-21.630265490469768</v>
      </c>
      <c r="F58" s="851">
        <f t="shared" si="16"/>
        <v>-19.649898213101213</v>
      </c>
      <c r="V58" s="337">
        <f>Input!$G$51</f>
        <v>0</v>
      </c>
      <c r="W58" s="337">
        <f>Input!$G$56</f>
        <v>544</v>
      </c>
      <c r="X58" s="92">
        <f>Input!$G$24</f>
        <v>72</v>
      </c>
      <c r="Y58" s="337"/>
      <c r="Z58" s="360"/>
      <c r="AA58" s="397">
        <f t="shared" si="15"/>
        <v>0</v>
      </c>
      <c r="AB58" s="1086">
        <f t="shared" si="17"/>
        <v>136000.00000000012</v>
      </c>
      <c r="AC58" s="624">
        <f>Income_Expense!$F$8+Income_Expense!$F$10+Income_Expense!$F$11+Income_Expense!$F$12+Income_Expense!$F$13</f>
        <v>19315</v>
      </c>
      <c r="AD58" s="625">
        <f t="shared" si="18"/>
        <v>155315.00000000012</v>
      </c>
      <c r="AE58" s="397">
        <f>Income_Expense!$F$30</f>
        <v>156871.32330188921</v>
      </c>
      <c r="AF58" s="624">
        <f>Income_Expense!$F$33</f>
        <v>11767.920240240295</v>
      </c>
      <c r="AG58" s="625">
        <f t="shared" si="19"/>
        <v>168639.24354212949</v>
      </c>
      <c r="AH58" s="369">
        <f t="shared" si="20"/>
        <v>-13324.243542129378</v>
      </c>
      <c r="AI58" s="851">
        <f t="shared" si="23"/>
        <v>-33.310608855323444</v>
      </c>
      <c r="AJ58" s="851">
        <f t="shared" si="26"/>
        <v>-21.630265490469768</v>
      </c>
      <c r="AK58" s="1091">
        <f t="shared" si="21"/>
        <v>-1.9803672773685546</v>
      </c>
      <c r="AL58" s="1091">
        <f t="shared" si="22"/>
        <v>-19.649898213101213</v>
      </c>
    </row>
    <row r="59" spans="2:49" x14ac:dyDescent="0.2">
      <c r="E59" s="850"/>
      <c r="F59" s="850"/>
      <c r="AI59" s="338">
        <f>Income_Expense!$F$99</f>
        <v>400</v>
      </c>
      <c r="AJ59" s="338">
        <f>IF(W48&lt;1,0,V48+W48)</f>
        <v>544</v>
      </c>
      <c r="AK59" s="86" t="s">
        <v>895</v>
      </c>
    </row>
    <row r="60" spans="2:49" ht="13.5" thickBot="1" x14ac:dyDescent="0.25">
      <c r="U60" t="s">
        <v>695</v>
      </c>
      <c r="V60" s="31">
        <f>Input!$E$52</f>
        <v>3</v>
      </c>
      <c r="W60" s="31">
        <f>Input!$E$57</f>
        <v>2.5</v>
      </c>
      <c r="X60" s="31">
        <f>Input!$E$57</f>
        <v>2.5</v>
      </c>
      <c r="Y60" s="31"/>
      <c r="Z60" s="31"/>
      <c r="AA60" s="31"/>
      <c r="AB60" s="31"/>
      <c r="AC60" s="31"/>
      <c r="AD60" s="31"/>
      <c r="AE60" s="31"/>
      <c r="AJ60" s="1089">
        <f>IF(AJ59&gt;1,AJ59+X48,0)</f>
        <v>616</v>
      </c>
      <c r="AK60" s="436" t="s">
        <v>897</v>
      </c>
    </row>
    <row r="61" spans="2:49" x14ac:dyDescent="0.2">
      <c r="U61" s="28" t="s">
        <v>696</v>
      </c>
      <c r="V61" s="337">
        <f>Input!$E$50</f>
        <v>0</v>
      </c>
      <c r="W61" s="337">
        <f>Input!$E$55</f>
        <v>125</v>
      </c>
      <c r="X61" s="337">
        <f>Input!$E$55</f>
        <v>125</v>
      </c>
      <c r="Y61" s="337"/>
      <c r="Z61" s="337"/>
      <c r="AA61" s="28"/>
      <c r="AB61" s="28"/>
      <c r="AC61" s="28"/>
      <c r="AD61" s="337"/>
      <c r="AE61" s="337"/>
      <c r="AW61" s="333" t="s">
        <v>889</v>
      </c>
    </row>
    <row r="62" spans="2:49" ht="13.5" thickBot="1" x14ac:dyDescent="0.25">
      <c r="T62" s="28"/>
      <c r="V62" s="337"/>
      <c r="W62" s="337"/>
      <c r="X62" s="337"/>
      <c r="Y62" s="337"/>
      <c r="Z62" s="337"/>
      <c r="AA62" s="28"/>
      <c r="AB62" s="28"/>
      <c r="AC62" s="28"/>
      <c r="AD62" s="337"/>
      <c r="AE62" s="337"/>
      <c r="AW62" s="379">
        <f>Income_Expense!$F$42-Income_Expense!$F$40</f>
        <v>-1219.9062428590296</v>
      </c>
    </row>
    <row r="63" spans="2:49" ht="13.5" thickBot="1" x14ac:dyDescent="0.25">
      <c r="T63" s="28"/>
      <c r="U63" s="337"/>
      <c r="V63" s="337"/>
      <c r="W63" s="337"/>
      <c r="X63" s="337"/>
      <c r="Y63" s="337"/>
      <c r="Z63" s="337"/>
      <c r="AA63" s="28"/>
      <c r="AB63" s="28"/>
      <c r="AC63" s="28"/>
      <c r="AD63" s="337"/>
      <c r="AE63" s="337"/>
      <c r="AW63" s="1093" t="s">
        <v>891</v>
      </c>
    </row>
    <row r="64" spans="2:49" ht="15.75" thickBot="1" x14ac:dyDescent="0.3">
      <c r="B64" s="124" t="s">
        <v>726</v>
      </c>
    </row>
    <row r="65" spans="1:49" x14ac:dyDescent="0.2">
      <c r="B65" s="333" t="s">
        <v>689</v>
      </c>
      <c r="C65" s="334"/>
      <c r="D65" s="335" t="s">
        <v>685</v>
      </c>
      <c r="E65" s="144"/>
      <c r="F65" s="401" t="s">
        <v>894</v>
      </c>
      <c r="U65" s="86" t="s">
        <v>0</v>
      </c>
      <c r="V65" s="68" t="s">
        <v>701</v>
      </c>
      <c r="Y65" s="2"/>
      <c r="Z65" s="335" t="s">
        <v>705</v>
      </c>
      <c r="AA65" s="335" t="s">
        <v>706</v>
      </c>
      <c r="AB65" s="335" t="s">
        <v>705</v>
      </c>
      <c r="AC65" s="209" t="s">
        <v>706</v>
      </c>
      <c r="AD65" s="86" t="s">
        <v>706</v>
      </c>
      <c r="AE65" s="68" t="s">
        <v>713</v>
      </c>
      <c r="AI65" s="459" t="s">
        <v>815</v>
      </c>
      <c r="AJ65" s="175" t="s">
        <v>816</v>
      </c>
      <c r="AK65" s="44"/>
      <c r="AL65" s="209" t="s">
        <v>187</v>
      </c>
      <c r="AM65" s="2"/>
      <c r="AN65" s="335" t="s">
        <v>714</v>
      </c>
      <c r="AO65" s="144"/>
      <c r="AP65" s="333" t="s">
        <v>698</v>
      </c>
      <c r="AQ65" s="333" t="s">
        <v>187</v>
      </c>
      <c r="AR65" s="43"/>
      <c r="AS65" s="335" t="s">
        <v>685</v>
      </c>
      <c r="AT65" s="385"/>
      <c r="AU65" s="127" t="s">
        <v>706</v>
      </c>
      <c r="AV65" s="333" t="s">
        <v>706</v>
      </c>
      <c r="AW65" s="333" t="s">
        <v>888</v>
      </c>
    </row>
    <row r="66" spans="1:49" ht="13.5" thickBot="1" x14ac:dyDescent="0.25">
      <c r="B66" s="336" t="s">
        <v>690</v>
      </c>
      <c r="C66" s="402" t="s">
        <v>187</v>
      </c>
      <c r="D66" s="343" t="s">
        <v>686</v>
      </c>
      <c r="E66" s="342" t="s">
        <v>907</v>
      </c>
      <c r="F66" s="402" t="s">
        <v>906</v>
      </c>
      <c r="U66" s="86" t="s">
        <v>702</v>
      </c>
      <c r="V66" s="86" t="s">
        <v>694</v>
      </c>
      <c r="W66" s="86" t="s">
        <v>693</v>
      </c>
      <c r="X66" s="86" t="s">
        <v>25</v>
      </c>
      <c r="Y66" s="443" t="s">
        <v>703</v>
      </c>
      <c r="Z66" s="86" t="s">
        <v>704</v>
      </c>
      <c r="AA66" s="86" t="s">
        <v>707</v>
      </c>
      <c r="AB66" s="86" t="s">
        <v>708</v>
      </c>
      <c r="AC66" s="431" t="s">
        <v>709</v>
      </c>
      <c r="AD66" s="86" t="s">
        <v>898</v>
      </c>
      <c r="AE66" s="86" t="s">
        <v>693</v>
      </c>
      <c r="AF66" s="86" t="s">
        <v>694</v>
      </c>
      <c r="AG66" s="86" t="s">
        <v>899</v>
      </c>
      <c r="AI66" s="351" t="s">
        <v>711</v>
      </c>
      <c r="AJ66" s="352" t="s">
        <v>712</v>
      </c>
      <c r="AK66" s="352" t="s">
        <v>723</v>
      </c>
      <c r="AL66" s="353" t="s">
        <v>692</v>
      </c>
      <c r="AM66" s="341" t="s">
        <v>715</v>
      </c>
      <c r="AN66" s="391" t="s">
        <v>716</v>
      </c>
      <c r="AO66" s="342" t="s">
        <v>717</v>
      </c>
      <c r="AP66" s="336" t="s">
        <v>719</v>
      </c>
      <c r="AQ66" s="336" t="s">
        <v>719</v>
      </c>
      <c r="AR66" s="386" t="s">
        <v>187</v>
      </c>
      <c r="AS66" s="343" t="s">
        <v>699</v>
      </c>
      <c r="AT66" s="343" t="s">
        <v>700</v>
      </c>
      <c r="AU66" s="384" t="s">
        <v>887</v>
      </c>
      <c r="AV66" s="336" t="s">
        <v>900</v>
      </c>
      <c r="AW66" s="336" t="s">
        <v>700</v>
      </c>
    </row>
    <row r="67" spans="1:49" x14ac:dyDescent="0.2">
      <c r="B67" s="488">
        <f t="shared" ref="B67:B75" si="28">B68+0.1</f>
        <v>2.7000000000000006</v>
      </c>
      <c r="C67" s="392">
        <f t="shared" ref="C67:C84" si="29">AR67</f>
        <v>92457.094784769753</v>
      </c>
      <c r="D67" s="356">
        <f t="shared" ref="D67:D84" si="30">AS67</f>
        <v>231.14273696192438</v>
      </c>
      <c r="E67" s="487">
        <f t="shared" ref="E67:E84" si="31">AT67</f>
        <v>100.17020020018388</v>
      </c>
      <c r="F67" s="626">
        <f>AW67</f>
        <v>101.4918754362175</v>
      </c>
      <c r="T67">
        <v>18</v>
      </c>
      <c r="U67" s="441">
        <f t="shared" ref="U67:U79" si="32">AC67</f>
        <v>923.00000000000023</v>
      </c>
      <c r="V67" s="442">
        <f>(U67)*($V$86/$X$86)</f>
        <v>0</v>
      </c>
      <c r="W67" s="442">
        <f t="shared" ref="W67:W76" si="33">(U67)*($W$86/$X$86)-X67</f>
        <v>851.00000000000023</v>
      </c>
      <c r="X67" s="92">
        <f>Input!$G$24+Input!$G$61+Input!$G$63+Input!$G$65+Input!$G$89+Input!$G$98</f>
        <v>72</v>
      </c>
      <c r="Y67" s="444">
        <f>(Input!$G$15*B67)</f>
        <v>1080.0000000000002</v>
      </c>
      <c r="Z67" s="92">
        <f>ROUND(Input!$G$39*Y67,0)</f>
        <v>108</v>
      </c>
      <c r="AA67" s="337">
        <f>Y67-Z67</f>
        <v>972.00000000000023</v>
      </c>
      <c r="AB67" s="92">
        <f>ROUND(Input!$G$43*AA67,0)</f>
        <v>49</v>
      </c>
      <c r="AC67" s="445">
        <f>AA67-AB67</f>
        <v>923.00000000000023</v>
      </c>
      <c r="AD67" s="354">
        <f>Input!$G$24</f>
        <v>72</v>
      </c>
      <c r="AE67" s="337">
        <f t="shared" ref="AE67:AE76" si="34">W67</f>
        <v>851.00000000000023</v>
      </c>
      <c r="AF67" s="337">
        <f>V67</f>
        <v>0</v>
      </c>
      <c r="AG67" s="354">
        <f>AD67+AE67+AF67</f>
        <v>923.00000000000023</v>
      </c>
      <c r="AI67" s="358">
        <f t="shared" ref="AI67:AI84" si="35">W67*$W$89*$W$90</f>
        <v>265937.50000000006</v>
      </c>
      <c r="AJ67" s="359">
        <f>V67*$V$89*$V$90</f>
        <v>0</v>
      </c>
      <c r="AK67" s="359">
        <f>Income_Expense!$F$10+Income_Expense!$F$11+Income_Expense!$F$12+Income_Expense!$F$13</f>
        <v>19315</v>
      </c>
      <c r="AL67" s="460">
        <f>AI67+AJ67+AK67</f>
        <v>285252.50000000006</v>
      </c>
      <c r="AM67" s="793">
        <f>Income_Expense!$F$17+(Input!$G$188+Input!$G$218)+(AG67/$AG$76)*Input!$G$292</f>
        <v>102544.09447910276</v>
      </c>
      <c r="AN67" s="373">
        <f>(AE67+AF67)*(Input!$G$356+Input!$G$361+Input!$G$366)+(Input!$G$22+Input!$G$73)*(Input!$G$357+Input!$G$362+Input!$G$367)+Input!$G$369</f>
        <v>19067.822400000005</v>
      </c>
      <c r="AO67" s="792">
        <f>Income_Expense!$F$30-Income_Expense!$F$16-Income_Expense!$F$17-Income_Expense!$F$25</f>
        <v>59415.568095887254</v>
      </c>
      <c r="AP67" s="378">
        <f>Income_Expense!$F$33</f>
        <v>11767.920240240295</v>
      </c>
      <c r="AQ67" s="379">
        <f>AM67+AN67+AO67+AP67</f>
        <v>192795.4052152303</v>
      </c>
      <c r="AR67" s="383">
        <f t="shared" ref="AR67:AR84" si="36">AL67-AM67-AN67-AO67-AP67</f>
        <v>92457.094784769753</v>
      </c>
      <c r="AS67" s="356">
        <f t="shared" ref="AS67:AS84" si="37">AR67/$AS$88</f>
        <v>231.14273696192438</v>
      </c>
      <c r="AT67" s="356">
        <f>AR67/AV67</f>
        <v>100.17020020018388</v>
      </c>
      <c r="AU67" s="388">
        <f t="shared" ref="AU67:AU73" si="38">AE67+AF67</f>
        <v>851.00000000000023</v>
      </c>
      <c r="AV67" s="1095">
        <f>AG67</f>
        <v>923.00000000000023</v>
      </c>
      <c r="AW67" s="1100">
        <f>AT67-($AW$62/AV67)</f>
        <v>101.4918754362175</v>
      </c>
    </row>
    <row r="68" spans="1:49" x14ac:dyDescent="0.2">
      <c r="B68" s="488">
        <f t="shared" si="28"/>
        <v>2.6000000000000005</v>
      </c>
      <c r="C68" s="393">
        <f t="shared" si="29"/>
        <v>84507.370018924237</v>
      </c>
      <c r="D68" s="346">
        <f t="shared" si="30"/>
        <v>211.26842504731059</v>
      </c>
      <c r="E68" s="489">
        <f t="shared" si="31"/>
        <v>95.058908907676283</v>
      </c>
      <c r="F68" s="627">
        <f t="shared" ref="F68:F84" si="39">AW68</f>
        <v>96.431131903018269</v>
      </c>
      <c r="T68">
        <v>17</v>
      </c>
      <c r="U68" s="441">
        <f t="shared" si="32"/>
        <v>889.00000000000023</v>
      </c>
      <c r="V68" s="442">
        <f t="shared" ref="V68:V84" si="40">(U68)*($V$86/$X$86)</f>
        <v>0</v>
      </c>
      <c r="W68" s="442">
        <f t="shared" si="33"/>
        <v>817.00000000000023</v>
      </c>
      <c r="X68" s="92">
        <f>Input!$G$24+Input!$G$61+Input!$G$63+Input!$G$65+Input!$G$89+Input!$G$98</f>
        <v>72</v>
      </c>
      <c r="Y68" s="444">
        <f>(Input!$G$15*B68)</f>
        <v>1040.0000000000002</v>
      </c>
      <c r="Z68" s="92">
        <f>ROUND(Input!$G$39*Y68,0)</f>
        <v>104</v>
      </c>
      <c r="AA68" s="337">
        <f>Y68-Z68</f>
        <v>936.00000000000023</v>
      </c>
      <c r="AB68" s="92">
        <f>ROUND(Input!$G$43*AA68,0)</f>
        <v>47</v>
      </c>
      <c r="AC68" s="445">
        <f>AA68-AB68</f>
        <v>889.00000000000023</v>
      </c>
      <c r="AD68" s="354">
        <f>Input!$G$24</f>
        <v>72</v>
      </c>
      <c r="AE68" s="337">
        <f t="shared" si="34"/>
        <v>817.00000000000023</v>
      </c>
      <c r="AF68" s="337">
        <f>V68</f>
        <v>0</v>
      </c>
      <c r="AG68" s="354">
        <f t="shared" ref="AG68:AG84" si="41">AD68+AE68+AF68</f>
        <v>889.00000000000023</v>
      </c>
      <c r="AI68" s="372">
        <f t="shared" si="35"/>
        <v>255312.50000000006</v>
      </c>
      <c r="AJ68" s="373">
        <f>V68*$V$89*$V$90</f>
        <v>0</v>
      </c>
      <c r="AK68" s="1200">
        <f>Income_Expense!$F$10+Income_Expense!$F$11+Income_Expense!$F$12+Income_Expense!$F$13</f>
        <v>19315</v>
      </c>
      <c r="AL68" s="461">
        <f>AI68+AJ68+AK68</f>
        <v>274627.50000000006</v>
      </c>
      <c r="AM68" s="793">
        <f>Income_Expense!$F$17+(Input!$G$188+Input!$G$218)+(AG68/$AG$76)*Input!$G$292</f>
        <v>100578.90244494827</v>
      </c>
      <c r="AN68" s="373">
        <f>(AE68+AF68)*(Input!$G$356+Input!$G$361+Input!$G$366)+(Input!$G$22+Input!$G$73)*(Input!$G$357+Input!$G$362+Input!$G$367)+Input!$G$369</f>
        <v>18357.739200000004</v>
      </c>
      <c r="AO68" s="792">
        <f>Income_Expense!$F$30-Income_Expense!$F$16-Income_Expense!$F$17-Income_Expense!$F$25</f>
        <v>59415.568095887254</v>
      </c>
      <c r="AP68" s="381">
        <f>Income_Expense!$F$33</f>
        <v>11767.920240240295</v>
      </c>
      <c r="AQ68" s="382">
        <f t="shared" ref="AQ68:AQ84" si="42">AM68+AN68+AO68+AP68</f>
        <v>190120.12998107582</v>
      </c>
      <c r="AR68" s="387">
        <f t="shared" si="36"/>
        <v>84507.370018924237</v>
      </c>
      <c r="AS68" s="346">
        <f t="shared" si="37"/>
        <v>211.26842504731059</v>
      </c>
      <c r="AT68" s="1094">
        <f t="shared" ref="AT68:AT84" si="43">AR68/AV68</f>
        <v>95.058908907676283</v>
      </c>
      <c r="AU68" s="388">
        <f t="shared" si="38"/>
        <v>817.00000000000023</v>
      </c>
      <c r="AV68" s="1096">
        <f t="shared" ref="AV68:AV84" si="44">AG68</f>
        <v>889.00000000000023</v>
      </c>
      <c r="AW68" s="788">
        <f t="shared" ref="AW68:AW84" si="45">AT68-($AW$62/AV68)</f>
        <v>96.431131903018269</v>
      </c>
    </row>
    <row r="69" spans="1:49" x14ac:dyDescent="0.2">
      <c r="B69" s="488">
        <f t="shared" si="28"/>
        <v>2.5000000000000004</v>
      </c>
      <c r="C69" s="393">
        <f t="shared" si="29"/>
        <v>76557.645253078721</v>
      </c>
      <c r="D69" s="346">
        <f t="shared" si="30"/>
        <v>191.39411313269682</v>
      </c>
      <c r="E69" s="489">
        <f t="shared" si="31"/>
        <v>89.541105559156378</v>
      </c>
      <c r="F69" s="627">
        <f t="shared" si="39"/>
        <v>90.967896486476874</v>
      </c>
      <c r="T69">
        <v>16</v>
      </c>
      <c r="U69" s="441">
        <f t="shared" si="32"/>
        <v>855.00000000000023</v>
      </c>
      <c r="V69" s="442">
        <f t="shared" si="40"/>
        <v>0</v>
      </c>
      <c r="W69" s="442">
        <f t="shared" si="33"/>
        <v>783.00000000000023</v>
      </c>
      <c r="X69" s="92">
        <f>Input!$G$24+Input!$G$61+Input!$G$63+Input!$G$65+Input!$G$89+Input!$G$98</f>
        <v>72</v>
      </c>
      <c r="Y69" s="444">
        <f>(Input!$G$15*B69)</f>
        <v>1000.0000000000002</v>
      </c>
      <c r="Z69" s="92">
        <f>ROUND(Input!$G$39*Y69,0)</f>
        <v>100</v>
      </c>
      <c r="AA69" s="337">
        <f>Y69-Z69</f>
        <v>900.00000000000023</v>
      </c>
      <c r="AB69" s="92">
        <f>ROUND(Input!$G$43*AA69,0)</f>
        <v>45</v>
      </c>
      <c r="AC69" s="445">
        <f>AA69-AB69</f>
        <v>855.00000000000023</v>
      </c>
      <c r="AD69" s="354">
        <f>Input!$G$24</f>
        <v>72</v>
      </c>
      <c r="AE69" s="337">
        <f t="shared" si="34"/>
        <v>783.00000000000023</v>
      </c>
      <c r="AF69" s="337">
        <f>V69</f>
        <v>0</v>
      </c>
      <c r="AG69" s="354">
        <f t="shared" si="41"/>
        <v>855.00000000000023</v>
      </c>
      <c r="AI69" s="372">
        <f t="shared" si="35"/>
        <v>244687.50000000006</v>
      </c>
      <c r="AJ69" s="373">
        <f>V69*$V$89*$V$90</f>
        <v>0</v>
      </c>
      <c r="AK69" s="1200">
        <f>Income_Expense!$F$10+Income_Expense!$F$11+Income_Expense!$F$12+Income_Expense!$F$13</f>
        <v>19315</v>
      </c>
      <c r="AL69" s="461">
        <f>AI69+AJ69+AK69</f>
        <v>264002.50000000006</v>
      </c>
      <c r="AM69" s="793">
        <f>Income_Expense!$F$17+(Input!$G$188+Input!$G$218)+(AG69/$AG$76)*Input!$G$292</f>
        <v>98613.710410793778</v>
      </c>
      <c r="AN69" s="373">
        <f>(AE69+AF69)*(Input!$G$356+Input!$G$361+Input!$G$366)+(Input!$G$22+Input!$G$73)*(Input!$G$357+Input!$G$362+Input!$G$367)+Input!$G$369</f>
        <v>17647.656000000003</v>
      </c>
      <c r="AO69" s="792">
        <f>Income_Expense!$F$30-Income_Expense!$F$16-Income_Expense!$F$17-Income_Expense!$F$25</f>
        <v>59415.568095887254</v>
      </c>
      <c r="AP69" s="381">
        <f>Income_Expense!$F$33</f>
        <v>11767.920240240295</v>
      </c>
      <c r="AQ69" s="382">
        <f t="shared" si="42"/>
        <v>187444.85474692134</v>
      </c>
      <c r="AR69" s="387">
        <f t="shared" si="36"/>
        <v>76557.645253078721</v>
      </c>
      <c r="AS69" s="346">
        <f t="shared" si="37"/>
        <v>191.39411313269682</v>
      </c>
      <c r="AT69" s="1094">
        <f t="shared" si="43"/>
        <v>89.541105559156378</v>
      </c>
      <c r="AU69" s="388">
        <f t="shared" si="38"/>
        <v>783.00000000000023</v>
      </c>
      <c r="AV69" s="1096">
        <f t="shared" si="44"/>
        <v>855.00000000000023</v>
      </c>
      <c r="AW69" s="788">
        <f t="shared" si="45"/>
        <v>90.967896486476874</v>
      </c>
    </row>
    <row r="70" spans="1:49" x14ac:dyDescent="0.2">
      <c r="B70" s="488">
        <f t="shared" si="28"/>
        <v>2.4000000000000004</v>
      </c>
      <c r="C70" s="393">
        <f t="shared" si="29"/>
        <v>68607.920487233205</v>
      </c>
      <c r="D70" s="346">
        <f t="shared" si="30"/>
        <v>171.51980121808302</v>
      </c>
      <c r="E70" s="489">
        <f t="shared" si="31"/>
        <v>83.566285611733491</v>
      </c>
      <c r="F70" s="627">
        <f t="shared" si="39"/>
        <v>85.052164104862641</v>
      </c>
      <c r="T70">
        <v>15</v>
      </c>
      <c r="U70" s="441">
        <f t="shared" si="32"/>
        <v>821.00000000000011</v>
      </c>
      <c r="V70" s="442">
        <f t="shared" si="40"/>
        <v>0</v>
      </c>
      <c r="W70" s="442">
        <f t="shared" si="33"/>
        <v>749.00000000000011</v>
      </c>
      <c r="X70" s="92">
        <f>Input!$G$24+Input!$G$61+Input!$G$63+Input!$G$65+Input!$G$89+Input!$G$98</f>
        <v>72</v>
      </c>
      <c r="Y70" s="444">
        <f>(Input!$G$15*B70)</f>
        <v>960.00000000000011</v>
      </c>
      <c r="Z70" s="92">
        <f>ROUND(Input!$G$39*Y70,0)</f>
        <v>96</v>
      </c>
      <c r="AA70" s="337">
        <f>Y70-Z70</f>
        <v>864.00000000000011</v>
      </c>
      <c r="AB70" s="92">
        <f>ROUND(Input!$G$43*AA70,0)</f>
        <v>43</v>
      </c>
      <c r="AC70" s="445">
        <f>AA70-AB70</f>
        <v>821.00000000000011</v>
      </c>
      <c r="AD70" s="354">
        <f>Input!$G$24</f>
        <v>72</v>
      </c>
      <c r="AE70" s="337">
        <f t="shared" si="34"/>
        <v>749.00000000000011</v>
      </c>
      <c r="AF70" s="337">
        <f>V70</f>
        <v>0</v>
      </c>
      <c r="AG70" s="354">
        <f t="shared" si="41"/>
        <v>821.00000000000011</v>
      </c>
      <c r="AI70" s="372">
        <f t="shared" si="35"/>
        <v>234062.50000000003</v>
      </c>
      <c r="AJ70" s="373">
        <f>V70*$V$89*$V$90</f>
        <v>0</v>
      </c>
      <c r="AK70" s="1200">
        <f>Income_Expense!$F$10+Income_Expense!$F$11+Income_Expense!$F$12+Income_Expense!$F$13</f>
        <v>19315</v>
      </c>
      <c r="AL70" s="461">
        <f>AI70+AJ70+AK70</f>
        <v>253377.50000000003</v>
      </c>
      <c r="AM70" s="793">
        <f>Income_Expense!$F$17+(Input!$G$188+Input!$G$218)+(AG70/$AG$76)*Input!$G$292</f>
        <v>96648.518376639287</v>
      </c>
      <c r="AN70" s="373">
        <f>(AE70+AF70)*(Input!$G$356+Input!$G$361+Input!$G$366)+(Input!$G$22+Input!$G$73)*(Input!$G$357+Input!$G$362+Input!$G$367)+Input!$G$369</f>
        <v>16937.572800000002</v>
      </c>
      <c r="AO70" s="792">
        <f>Income_Expense!$F$30-Income_Expense!$F$16-Income_Expense!$F$17-Income_Expense!$F$25</f>
        <v>59415.568095887254</v>
      </c>
      <c r="AP70" s="381">
        <f>Income_Expense!$F$33</f>
        <v>11767.920240240295</v>
      </c>
      <c r="AQ70" s="382">
        <f t="shared" si="42"/>
        <v>184769.57951276682</v>
      </c>
      <c r="AR70" s="387">
        <f t="shared" si="36"/>
        <v>68607.920487233205</v>
      </c>
      <c r="AS70" s="346">
        <f t="shared" si="37"/>
        <v>171.51980121808302</v>
      </c>
      <c r="AT70" s="1094">
        <f t="shared" si="43"/>
        <v>83.566285611733491</v>
      </c>
      <c r="AU70" s="388">
        <f t="shared" si="38"/>
        <v>749.00000000000011</v>
      </c>
      <c r="AV70" s="1096">
        <f t="shared" si="44"/>
        <v>821.00000000000011</v>
      </c>
      <c r="AW70" s="788">
        <f t="shared" si="45"/>
        <v>85.052164104862641</v>
      </c>
    </row>
    <row r="71" spans="1:49" x14ac:dyDescent="0.2">
      <c r="B71" s="488">
        <f t="shared" si="28"/>
        <v>2.3000000000000003</v>
      </c>
      <c r="C71" s="393">
        <f t="shared" si="29"/>
        <v>60658.195721387681</v>
      </c>
      <c r="D71" s="346">
        <f t="shared" si="30"/>
        <v>151.64548930346919</v>
      </c>
      <c r="E71" s="489">
        <f t="shared" si="31"/>
        <v>77.075216926795008</v>
      </c>
      <c r="F71" s="627">
        <f t="shared" si="39"/>
        <v>78.625288391673067</v>
      </c>
      <c r="T71">
        <v>14</v>
      </c>
      <c r="U71" s="441">
        <f t="shared" si="32"/>
        <v>787.00000000000011</v>
      </c>
      <c r="V71" s="442">
        <f t="shared" si="40"/>
        <v>0</v>
      </c>
      <c r="W71" s="442">
        <f t="shared" si="33"/>
        <v>715.00000000000011</v>
      </c>
      <c r="X71" s="92">
        <f>Input!$G$24+Input!$G$61+Input!$G$63+Input!$G$65+Input!$G$89+Input!$G$98</f>
        <v>72</v>
      </c>
      <c r="Y71" s="444">
        <f>(Input!$G$15*B71)</f>
        <v>920.00000000000011</v>
      </c>
      <c r="Z71" s="92">
        <f>ROUND(Input!$G$39*Y71,0)</f>
        <v>92</v>
      </c>
      <c r="AA71" s="337">
        <f t="shared" ref="AA71:AA83" si="46">Y71-Z71</f>
        <v>828.00000000000011</v>
      </c>
      <c r="AB71" s="92">
        <f>ROUND(Input!$G$43*AA71,0)</f>
        <v>41</v>
      </c>
      <c r="AC71" s="445">
        <f t="shared" ref="AC71:AC83" si="47">AA71-AB71</f>
        <v>787.00000000000011</v>
      </c>
      <c r="AD71" s="354">
        <f>Input!$G$24</f>
        <v>72</v>
      </c>
      <c r="AE71" s="337">
        <f t="shared" si="34"/>
        <v>715.00000000000011</v>
      </c>
      <c r="AF71" s="337">
        <f t="shared" ref="AF71:AF76" si="48">V71</f>
        <v>0</v>
      </c>
      <c r="AG71" s="354">
        <f t="shared" si="41"/>
        <v>787.00000000000011</v>
      </c>
      <c r="AI71" s="372">
        <f t="shared" si="35"/>
        <v>223437.50000000003</v>
      </c>
      <c r="AJ71" s="373">
        <f t="shared" ref="AJ71:AJ83" si="49">V71*$V$89*$V$90</f>
        <v>0</v>
      </c>
      <c r="AK71" s="1200">
        <f>Income_Expense!$F$10+Income_Expense!$F$11+Income_Expense!$F$12+Income_Expense!$F$13</f>
        <v>19315</v>
      </c>
      <c r="AL71" s="461">
        <f t="shared" ref="AL71:AL84" si="50">AI71+AJ71+AK71</f>
        <v>242752.50000000003</v>
      </c>
      <c r="AM71" s="793">
        <f>Income_Expense!$F$17+(Input!$G$188+Input!$G$218)+(AG71/$AG$76)*Input!$G$292</f>
        <v>94683.326342484797</v>
      </c>
      <c r="AN71" s="373">
        <f>(AE71+AF71)*(Input!$G$356+Input!$G$361+Input!$G$366)+(Input!$G$22+Input!$G$73)*(Input!$G$357+Input!$G$362+Input!$G$367)+Input!$G$369</f>
        <v>16227.489600000001</v>
      </c>
      <c r="AO71" s="792">
        <f>Income_Expense!$F$30-Income_Expense!$F$16-Income_Expense!$F$17-Income_Expense!$F$25</f>
        <v>59415.568095887254</v>
      </c>
      <c r="AP71" s="381">
        <f>Income_Expense!$F$33</f>
        <v>11767.920240240295</v>
      </c>
      <c r="AQ71" s="382">
        <f t="shared" si="42"/>
        <v>182094.30427861234</v>
      </c>
      <c r="AR71" s="387">
        <f t="shared" si="36"/>
        <v>60658.195721387681</v>
      </c>
      <c r="AS71" s="346">
        <f t="shared" si="37"/>
        <v>151.64548930346919</v>
      </c>
      <c r="AT71" s="1094">
        <f t="shared" si="43"/>
        <v>77.075216926795008</v>
      </c>
      <c r="AU71" s="388">
        <f t="shared" si="38"/>
        <v>715.00000000000011</v>
      </c>
      <c r="AV71" s="1096">
        <f t="shared" si="44"/>
        <v>787.00000000000011</v>
      </c>
      <c r="AW71" s="788">
        <f t="shared" si="45"/>
        <v>78.625288391673067</v>
      </c>
    </row>
    <row r="72" spans="1:49" x14ac:dyDescent="0.2">
      <c r="B72" s="488">
        <f t="shared" si="28"/>
        <v>2.2000000000000002</v>
      </c>
      <c r="C72" s="393">
        <f t="shared" si="29"/>
        <v>52474.655521252593</v>
      </c>
      <c r="D72" s="346">
        <f t="shared" si="30"/>
        <v>131.18663880313147</v>
      </c>
      <c r="E72" s="489">
        <f t="shared" si="31"/>
        <v>69.780127022942267</v>
      </c>
      <c r="F72" s="627">
        <f t="shared" si="39"/>
        <v>71.402342771425026</v>
      </c>
      <c r="T72">
        <v>13</v>
      </c>
      <c r="U72" s="441">
        <f t="shared" si="32"/>
        <v>752.00000000000011</v>
      </c>
      <c r="V72" s="442">
        <f t="shared" si="40"/>
        <v>0</v>
      </c>
      <c r="W72" s="442">
        <f t="shared" si="33"/>
        <v>680.00000000000011</v>
      </c>
      <c r="X72" s="92">
        <f>Input!$G$24+Input!$G$61+Input!$G$63+Input!$G$65+Input!$G$89+Input!$G$98</f>
        <v>72</v>
      </c>
      <c r="Y72" s="444">
        <f>(Input!$G$15*B72)</f>
        <v>880.00000000000011</v>
      </c>
      <c r="Z72" s="92">
        <f>ROUND(Input!$G$39*Y72,0)</f>
        <v>88</v>
      </c>
      <c r="AA72" s="337">
        <f t="shared" si="46"/>
        <v>792.00000000000011</v>
      </c>
      <c r="AB72" s="92">
        <f>ROUND(Input!$G$43*AA72,0)</f>
        <v>40</v>
      </c>
      <c r="AC72" s="445">
        <f t="shared" si="47"/>
        <v>752.00000000000011</v>
      </c>
      <c r="AD72" s="354">
        <f>Input!$G$24</f>
        <v>72</v>
      </c>
      <c r="AE72" s="337">
        <f t="shared" si="34"/>
        <v>680.00000000000011</v>
      </c>
      <c r="AF72" s="337">
        <f t="shared" si="48"/>
        <v>0</v>
      </c>
      <c r="AG72" s="354">
        <f t="shared" si="41"/>
        <v>752.00000000000011</v>
      </c>
      <c r="AI72" s="372">
        <f t="shared" si="35"/>
        <v>212500.00000000003</v>
      </c>
      <c r="AJ72" s="373">
        <f t="shared" si="49"/>
        <v>0</v>
      </c>
      <c r="AK72" s="1200">
        <f>Income_Expense!$F$10+Income_Expense!$F$11+Income_Expense!$F$12+Income_Expense!$F$13</f>
        <v>19315</v>
      </c>
      <c r="AL72" s="461">
        <f t="shared" si="50"/>
        <v>231815.00000000003</v>
      </c>
      <c r="AM72" s="793">
        <f>Income_Expense!$F$17+(Input!$G$188+Input!$G$218)+(AG72/$AG$76)*Input!$G$292</f>
        <v>92660.334542619879</v>
      </c>
      <c r="AN72" s="373">
        <f>(AE72+AF72)*(Input!$G$356+Input!$G$361+Input!$G$366)+(Input!$G$22+Input!$G$73)*(Input!$G$357+Input!$G$362+Input!$G$367)+Input!$G$369</f>
        <v>15496.5216</v>
      </c>
      <c r="AO72" s="792">
        <f>Income_Expense!$F$30-Income_Expense!$F$16-Income_Expense!$F$17-Income_Expense!$F$25</f>
        <v>59415.568095887254</v>
      </c>
      <c r="AP72" s="381">
        <f>Income_Expense!$F$33</f>
        <v>11767.920240240295</v>
      </c>
      <c r="AQ72" s="382">
        <f t="shared" si="42"/>
        <v>179340.34447874743</v>
      </c>
      <c r="AR72" s="387">
        <f t="shared" si="36"/>
        <v>52474.655521252593</v>
      </c>
      <c r="AS72" s="346">
        <f t="shared" si="37"/>
        <v>131.18663880313147</v>
      </c>
      <c r="AT72" s="1094">
        <f t="shared" si="43"/>
        <v>69.780127022942267</v>
      </c>
      <c r="AU72" s="388">
        <f t="shared" si="38"/>
        <v>680.00000000000011</v>
      </c>
      <c r="AV72" s="1096">
        <f t="shared" si="44"/>
        <v>752.00000000000011</v>
      </c>
      <c r="AW72" s="788">
        <f t="shared" si="45"/>
        <v>71.402342771425026</v>
      </c>
    </row>
    <row r="73" spans="1:49" x14ac:dyDescent="0.2">
      <c r="B73" s="488">
        <f t="shared" si="28"/>
        <v>2.1</v>
      </c>
      <c r="C73" s="393">
        <f t="shared" si="29"/>
        <v>44524.930755407062</v>
      </c>
      <c r="D73" s="346">
        <f t="shared" si="30"/>
        <v>111.31232688851766</v>
      </c>
      <c r="E73" s="489">
        <f t="shared" si="31"/>
        <v>62.012438378004262</v>
      </c>
      <c r="F73" s="627">
        <f t="shared" si="39"/>
        <v>63.71147214243188</v>
      </c>
      <c r="T73">
        <v>12</v>
      </c>
      <c r="U73" s="441">
        <f t="shared" si="32"/>
        <v>718</v>
      </c>
      <c r="V73" s="442">
        <f t="shared" si="40"/>
        <v>0</v>
      </c>
      <c r="W73" s="442">
        <f t="shared" si="33"/>
        <v>646</v>
      </c>
      <c r="X73" s="92">
        <f>Input!$G$24+Input!$G$61+Input!$G$63+Input!$G$65+Input!$G$89+Input!$G$98</f>
        <v>72</v>
      </c>
      <c r="Y73" s="444">
        <f>(Input!$G$15*B73)</f>
        <v>840</v>
      </c>
      <c r="Z73" s="92">
        <f>ROUND(Input!$G$39*Y73,0)</f>
        <v>84</v>
      </c>
      <c r="AA73" s="337">
        <f t="shared" si="46"/>
        <v>756</v>
      </c>
      <c r="AB73" s="92">
        <f>ROUND(Input!$G$43*AA73,0)</f>
        <v>38</v>
      </c>
      <c r="AC73" s="445">
        <f t="shared" si="47"/>
        <v>718</v>
      </c>
      <c r="AD73" s="354">
        <f>Input!$G$24</f>
        <v>72</v>
      </c>
      <c r="AE73" s="337">
        <f t="shared" si="34"/>
        <v>646</v>
      </c>
      <c r="AF73" s="337">
        <f t="shared" si="48"/>
        <v>0</v>
      </c>
      <c r="AG73" s="354">
        <f t="shared" si="41"/>
        <v>718</v>
      </c>
      <c r="AI73" s="372">
        <f t="shared" si="35"/>
        <v>201875</v>
      </c>
      <c r="AJ73" s="373">
        <f t="shared" si="49"/>
        <v>0</v>
      </c>
      <c r="AK73" s="1200">
        <f>Income_Expense!$F$10+Income_Expense!$F$11+Income_Expense!$F$12+Income_Expense!$F$13</f>
        <v>19315</v>
      </c>
      <c r="AL73" s="461">
        <f t="shared" si="50"/>
        <v>221190</v>
      </c>
      <c r="AM73" s="793">
        <f>Income_Expense!$F$17+(Input!$G$188+Input!$G$218)+(AG73/$AG$76)*Input!$G$292</f>
        <v>90695.142508465389</v>
      </c>
      <c r="AN73" s="373">
        <f>(AE73+AF73)*(Input!$G$356+Input!$G$361+Input!$G$366)+(Input!$G$22+Input!$G$73)*(Input!$G$357+Input!$G$362+Input!$G$367)+Input!$G$369</f>
        <v>14786.438399999999</v>
      </c>
      <c r="AO73" s="792">
        <f>Income_Expense!$F$30-Income_Expense!$F$16-Income_Expense!$F$17-Income_Expense!$F$25</f>
        <v>59415.568095887254</v>
      </c>
      <c r="AP73" s="381">
        <f>Income_Expense!$F$33</f>
        <v>11767.920240240295</v>
      </c>
      <c r="AQ73" s="382">
        <f t="shared" si="42"/>
        <v>176665.06924459292</v>
      </c>
      <c r="AR73" s="387">
        <f t="shared" si="36"/>
        <v>44524.930755407062</v>
      </c>
      <c r="AS73" s="346">
        <f t="shared" si="37"/>
        <v>111.31232688851766</v>
      </c>
      <c r="AT73" s="1094">
        <f t="shared" si="43"/>
        <v>62.012438378004262</v>
      </c>
      <c r="AU73" s="388">
        <f t="shared" si="38"/>
        <v>646</v>
      </c>
      <c r="AV73" s="1096">
        <f t="shared" si="44"/>
        <v>718</v>
      </c>
      <c r="AW73" s="788">
        <f t="shared" si="45"/>
        <v>63.71147214243188</v>
      </c>
    </row>
    <row r="74" spans="1:49" x14ac:dyDescent="0.2">
      <c r="B74" s="488">
        <f t="shared" si="28"/>
        <v>2</v>
      </c>
      <c r="C74" s="393">
        <f t="shared" si="29"/>
        <v>36575.205989561531</v>
      </c>
      <c r="D74" s="346">
        <f t="shared" si="30"/>
        <v>91.438014973903833</v>
      </c>
      <c r="E74" s="489">
        <f t="shared" si="31"/>
        <v>53.472523376551948</v>
      </c>
      <c r="F74" s="627">
        <f t="shared" si="39"/>
        <v>55.256012035702575</v>
      </c>
      <c r="T74">
        <v>11</v>
      </c>
      <c r="U74" s="441">
        <f t="shared" si="32"/>
        <v>684</v>
      </c>
      <c r="V74" s="442">
        <f t="shared" si="40"/>
        <v>0</v>
      </c>
      <c r="W74" s="442">
        <f t="shared" si="33"/>
        <v>612</v>
      </c>
      <c r="X74" s="92">
        <f>Input!$G$24+Input!$G$61+Input!$G$63+Input!$G$65+Input!$G$89+Input!$G$98</f>
        <v>72</v>
      </c>
      <c r="Y74" s="444">
        <f>(Input!$G$15*B74)</f>
        <v>800</v>
      </c>
      <c r="Z74" s="92">
        <f>ROUND(Input!$G$39*Y74,0)</f>
        <v>80</v>
      </c>
      <c r="AA74" s="337">
        <f t="shared" si="46"/>
        <v>720</v>
      </c>
      <c r="AB74" s="92">
        <f>ROUND(Input!$G$43*AA74,0)</f>
        <v>36</v>
      </c>
      <c r="AC74" s="445">
        <f t="shared" si="47"/>
        <v>684</v>
      </c>
      <c r="AD74" s="354">
        <f>Input!$G$24</f>
        <v>72</v>
      </c>
      <c r="AE74" s="337">
        <f t="shared" si="34"/>
        <v>612</v>
      </c>
      <c r="AF74" s="337">
        <f t="shared" si="48"/>
        <v>0</v>
      </c>
      <c r="AG74" s="354">
        <f t="shared" si="41"/>
        <v>684</v>
      </c>
      <c r="AI74" s="372">
        <f t="shared" si="35"/>
        <v>191250</v>
      </c>
      <c r="AJ74" s="373">
        <f t="shared" si="49"/>
        <v>0</v>
      </c>
      <c r="AK74" s="1200">
        <f>Income_Expense!$F$10+Income_Expense!$F$11+Income_Expense!$F$12+Income_Expense!$F$13</f>
        <v>19315</v>
      </c>
      <c r="AL74" s="461">
        <f t="shared" si="50"/>
        <v>210565</v>
      </c>
      <c r="AM74" s="793">
        <f>Income_Expense!$F$17+(Input!$G$188+Input!$G$218)+(AG74/$AG$76)*Input!$G$292</f>
        <v>88729.950474310914</v>
      </c>
      <c r="AN74" s="373">
        <f>(AE74+AF74)*(Input!$G$356+Input!$G$361+Input!$G$366)+(Input!$G$22+Input!$G$73)*(Input!$G$357+Input!$G$362+Input!$G$367)+Input!$G$369</f>
        <v>14076.355199999998</v>
      </c>
      <c r="AO74" s="792">
        <f>Income_Expense!$F$30-Income_Expense!$F$16-Income_Expense!$F$17-Income_Expense!$F$25</f>
        <v>59415.568095887254</v>
      </c>
      <c r="AP74" s="381">
        <f>Income_Expense!$F$33</f>
        <v>11767.920240240295</v>
      </c>
      <c r="AQ74" s="382">
        <f t="shared" si="42"/>
        <v>173989.79401043846</v>
      </c>
      <c r="AR74" s="387">
        <f t="shared" si="36"/>
        <v>36575.205989561531</v>
      </c>
      <c r="AS74" s="346">
        <f t="shared" si="37"/>
        <v>91.438014973903833</v>
      </c>
      <c r="AT74" s="1094">
        <f t="shared" si="43"/>
        <v>53.472523376551948</v>
      </c>
      <c r="AU74" s="388">
        <f>AE74+AF74</f>
        <v>612</v>
      </c>
      <c r="AV74" s="1096">
        <f t="shared" si="44"/>
        <v>684</v>
      </c>
      <c r="AW74" s="788">
        <f t="shared" si="45"/>
        <v>55.256012035702575</v>
      </c>
    </row>
    <row r="75" spans="1:49" x14ac:dyDescent="0.2">
      <c r="A75" s="1195" t="s">
        <v>955</v>
      </c>
      <c r="B75" s="488">
        <f t="shared" si="28"/>
        <v>1.9000000000000001</v>
      </c>
      <c r="C75" s="789">
        <f t="shared" si="29"/>
        <v>28625.481223716015</v>
      </c>
      <c r="D75" s="787">
        <f t="shared" si="30"/>
        <v>71.563703059290035</v>
      </c>
      <c r="E75" s="788">
        <f t="shared" si="31"/>
        <v>44.039201882640022</v>
      </c>
      <c r="F75" s="627">
        <f t="shared" si="39"/>
        <v>45.915980717807763</v>
      </c>
      <c r="S75" s="623"/>
      <c r="T75">
        <v>10</v>
      </c>
      <c r="U75" s="790">
        <f t="shared" si="32"/>
        <v>650</v>
      </c>
      <c r="V75" s="791">
        <f t="shared" si="40"/>
        <v>0</v>
      </c>
      <c r="W75" s="791">
        <f t="shared" si="33"/>
        <v>578</v>
      </c>
      <c r="X75" s="92">
        <f>Input!$G$24+Input!$G$61+Input!$G$63+Input!$G$65+Input!$G$89+Input!$G$98</f>
        <v>72</v>
      </c>
      <c r="Y75" s="444">
        <f>(Input!$G$15*B75)</f>
        <v>760</v>
      </c>
      <c r="Z75" s="92">
        <f>ROUND(Input!$G$39*Y75,0)</f>
        <v>76</v>
      </c>
      <c r="AA75" s="779">
        <f t="shared" si="46"/>
        <v>684</v>
      </c>
      <c r="AB75" s="92">
        <f>ROUND(Input!$G$43*AA75,0)</f>
        <v>34</v>
      </c>
      <c r="AC75" s="780">
        <f t="shared" si="47"/>
        <v>650</v>
      </c>
      <c r="AD75" s="354">
        <f>Input!$G$24</f>
        <v>72</v>
      </c>
      <c r="AE75" s="779">
        <f t="shared" si="34"/>
        <v>578</v>
      </c>
      <c r="AF75" s="779">
        <f t="shared" si="48"/>
        <v>0</v>
      </c>
      <c r="AG75" s="354">
        <f t="shared" si="41"/>
        <v>650</v>
      </c>
      <c r="AH75" s="623"/>
      <c r="AI75" s="784">
        <f t="shared" si="35"/>
        <v>180625</v>
      </c>
      <c r="AJ75" s="785">
        <f t="shared" si="49"/>
        <v>0</v>
      </c>
      <c r="AK75" s="1200">
        <f>Income_Expense!$F$10+Income_Expense!$F$11+Income_Expense!$F$12+Income_Expense!$F$13</f>
        <v>19315</v>
      </c>
      <c r="AL75" s="792">
        <f t="shared" si="50"/>
        <v>199940</v>
      </c>
      <c r="AM75" s="793">
        <f>Income_Expense!$F$17+(Input!$G$188+Input!$G$218)+(AG75/$AG$76)*Input!$G$292</f>
        <v>86764.758440156438</v>
      </c>
      <c r="AN75" s="373">
        <f>(AE75+AF75)*(Input!$G$356+Input!$G$361+Input!$G$366)+(Input!$G$22+Input!$G$73)*(Input!$G$357+Input!$G$362+Input!$G$367)+Input!$G$369</f>
        <v>13366.271999999999</v>
      </c>
      <c r="AO75" s="792">
        <f>Income_Expense!$F$30-Income_Expense!$F$16-Income_Expense!$F$17-Income_Expense!$F$25</f>
        <v>59415.568095887254</v>
      </c>
      <c r="AP75" s="381">
        <f>Income_Expense!$F$33</f>
        <v>11767.920240240295</v>
      </c>
      <c r="AQ75" s="382">
        <f t="shared" si="42"/>
        <v>171314.51877628398</v>
      </c>
      <c r="AR75" s="786">
        <f t="shared" si="36"/>
        <v>28625.481223716015</v>
      </c>
      <c r="AS75" s="787">
        <f t="shared" si="37"/>
        <v>71.563703059290035</v>
      </c>
      <c r="AT75" s="1094">
        <f t="shared" si="43"/>
        <v>44.039201882640022</v>
      </c>
      <c r="AU75" s="388">
        <f>AE75+AF75</f>
        <v>578</v>
      </c>
      <c r="AV75" s="1096">
        <f t="shared" si="44"/>
        <v>650</v>
      </c>
      <c r="AW75" s="788">
        <f t="shared" si="45"/>
        <v>45.915980717807763</v>
      </c>
    </row>
    <row r="76" spans="1:49" x14ac:dyDescent="0.2">
      <c r="A76" s="1195" t="s">
        <v>718</v>
      </c>
      <c r="B76" s="499">
        <f>Input!$E$37</f>
        <v>1.8</v>
      </c>
      <c r="C76" s="382">
        <f t="shared" si="29"/>
        <v>20675.756457870499</v>
      </c>
      <c r="D76" s="344">
        <f t="shared" si="30"/>
        <v>51.68939114467625</v>
      </c>
      <c r="E76" s="340">
        <f t="shared" si="31"/>
        <v>33.564539704335225</v>
      </c>
      <c r="F76" s="485">
        <f t="shared" si="39"/>
        <v>35.544906981703782</v>
      </c>
      <c r="S76" s="623" t="s">
        <v>718</v>
      </c>
      <c r="T76">
        <v>9</v>
      </c>
      <c r="U76" s="781">
        <f t="shared" si="32"/>
        <v>616</v>
      </c>
      <c r="V76" s="782">
        <f t="shared" si="40"/>
        <v>0</v>
      </c>
      <c r="W76" s="782">
        <f t="shared" si="33"/>
        <v>544</v>
      </c>
      <c r="X76" s="350">
        <f>Input!$G$24+Input!$G$61+Input!$G$63+Input!$G$65+Input!$G$89+Input!$G$98</f>
        <v>72</v>
      </c>
      <c r="Y76" s="443">
        <f>(Input!$G$15*B76)</f>
        <v>720</v>
      </c>
      <c r="Z76" s="350">
        <f>ROUND(Input!$G$39*Y76,0)</f>
        <v>72</v>
      </c>
      <c r="AA76" s="350">
        <f t="shared" si="46"/>
        <v>648</v>
      </c>
      <c r="AB76" s="350">
        <f>ROUND(Input!$G$43*AA76,0)</f>
        <v>32</v>
      </c>
      <c r="AC76" s="446">
        <f t="shared" si="47"/>
        <v>616</v>
      </c>
      <c r="AD76" s="1092">
        <f>Input!$G$24</f>
        <v>72</v>
      </c>
      <c r="AE76" s="350">
        <f t="shared" si="34"/>
        <v>544</v>
      </c>
      <c r="AF76" s="350">
        <f t="shared" si="48"/>
        <v>0</v>
      </c>
      <c r="AG76" s="1092">
        <f t="shared" si="41"/>
        <v>616</v>
      </c>
      <c r="AH76" s="68"/>
      <c r="AI76" s="339">
        <f t="shared" si="35"/>
        <v>170000</v>
      </c>
      <c r="AJ76" s="373">
        <f t="shared" si="49"/>
        <v>0</v>
      </c>
      <c r="AK76" s="783">
        <f>Income_Expense!$F$10+Income_Expense!$F$11+Income_Expense!$F$12+Income_Expense!$F$13</f>
        <v>19315</v>
      </c>
      <c r="AL76" s="374">
        <f t="shared" si="50"/>
        <v>189315</v>
      </c>
      <c r="AM76" s="794">
        <f>Income_Expense!$F$16+Income_Expense!$F$17</f>
        <v>84799.566406001948</v>
      </c>
      <c r="AN76" s="376">
        <f>(AE76+AF76)*(Input!$G$356+Input!$G$361+Input!$G$366)+(Input!$G$22+Input!$G$73)*(Input!$G$357+Input!$G$362+Input!$G$367)+Input!$G$369</f>
        <v>12656.188799999998</v>
      </c>
      <c r="AO76" s="374">
        <f>Income_Expense!$F$30-Income_Expense!$F$16-Income_Expense!$F$17-Income_Expense!$F$25</f>
        <v>59415.568095887254</v>
      </c>
      <c r="AP76" s="382">
        <f>Income_Expense!$F$33</f>
        <v>11767.920240240295</v>
      </c>
      <c r="AQ76" s="382">
        <f t="shared" si="42"/>
        <v>168639.24354212949</v>
      </c>
      <c r="AR76" s="389">
        <f t="shared" si="36"/>
        <v>20675.756457870499</v>
      </c>
      <c r="AS76" s="344">
        <f t="shared" si="37"/>
        <v>51.68939114467625</v>
      </c>
      <c r="AT76" s="1081">
        <f t="shared" si="43"/>
        <v>33.564539704335225</v>
      </c>
      <c r="AU76" s="390">
        <f>AE76+AF76</f>
        <v>544</v>
      </c>
      <c r="AV76" s="1097">
        <f t="shared" si="44"/>
        <v>616</v>
      </c>
      <c r="AW76" s="340">
        <f t="shared" si="45"/>
        <v>35.544906981703782</v>
      </c>
    </row>
    <row r="77" spans="1:49" x14ac:dyDescent="0.2">
      <c r="B77" s="488">
        <f t="shared" ref="B77:B84" si="51">B76-0.1</f>
        <v>1.7</v>
      </c>
      <c r="C77" s="393">
        <f t="shared" si="29"/>
        <v>12492.216257735425</v>
      </c>
      <c r="D77" s="346">
        <f t="shared" si="30"/>
        <v>31.230540644338561</v>
      </c>
      <c r="E77" s="347">
        <f t="shared" si="31"/>
        <v>21.501232801610026</v>
      </c>
      <c r="F77" s="627">
        <f t="shared" si="39"/>
        <v>23.600899312555001</v>
      </c>
      <c r="T77">
        <v>8</v>
      </c>
      <c r="U77" s="441">
        <f t="shared" si="32"/>
        <v>581</v>
      </c>
      <c r="V77" s="442">
        <f t="shared" si="40"/>
        <v>0</v>
      </c>
      <c r="W77" s="442">
        <f t="shared" ref="W77:W84" si="52">(U77)*($W$86/$X$86)-X77</f>
        <v>509</v>
      </c>
      <c r="X77" s="92">
        <f>Input!$G$24+Input!$G$61+Input!$G$63+Input!$G$65+Input!$G$89+Input!$G$98</f>
        <v>72</v>
      </c>
      <c r="Y77" s="778">
        <f>(Input!$G$15*B77)</f>
        <v>680</v>
      </c>
      <c r="Z77" s="779">
        <f>ROUND(Input!$G$39*Y77,0)</f>
        <v>68</v>
      </c>
      <c r="AA77" s="779">
        <f t="shared" si="46"/>
        <v>612</v>
      </c>
      <c r="AB77" s="779">
        <f>ROUND(Input!$G$43*AA77,0)</f>
        <v>31</v>
      </c>
      <c r="AC77" s="780">
        <f t="shared" si="47"/>
        <v>581</v>
      </c>
      <c r="AD77" s="354">
        <f>Input!$G$24</f>
        <v>72</v>
      </c>
      <c r="AE77" s="779">
        <f>W77</f>
        <v>509</v>
      </c>
      <c r="AF77" s="779">
        <f>V77</f>
        <v>0</v>
      </c>
      <c r="AG77" s="354">
        <f t="shared" si="41"/>
        <v>581</v>
      </c>
      <c r="AH77" s="623"/>
      <c r="AI77" s="784">
        <f t="shared" si="35"/>
        <v>159062.5</v>
      </c>
      <c r="AJ77" s="785">
        <f t="shared" si="49"/>
        <v>0</v>
      </c>
      <c r="AK77" s="609">
        <f>Income_Expense!$F$10+Income_Expense!$F$11+Income_Expense!$F$12+Income_Expense!$F$13</f>
        <v>19315</v>
      </c>
      <c r="AL77" s="461">
        <f t="shared" si="50"/>
        <v>178377.5</v>
      </c>
      <c r="AM77" s="793">
        <f>Income_Expense!$F$17+(Input!$G$188+Input!$G$218)+(AG77/$AG$76)*Input!$G$292</f>
        <v>82776.57460613703</v>
      </c>
      <c r="AN77" s="785">
        <f>(AE77+AF77)*(Input!$G$356+Input!$G$361+Input!$G$366)+(Input!$G$22+Input!$G$73)*(Input!$G$357+Input!$G$362+Input!$G$367)+Input!$G$369</f>
        <v>11925.220799999999</v>
      </c>
      <c r="AO77" s="792">
        <f>Income_Expense!$F$30-Income_Expense!$F$16-Income_Expense!$F$17-Income_Expense!$F$25</f>
        <v>59415.568095887254</v>
      </c>
      <c r="AP77" s="381">
        <f>Income_Expense!$F$33</f>
        <v>11767.920240240295</v>
      </c>
      <c r="AQ77" s="382">
        <f t="shared" si="42"/>
        <v>165885.28374226455</v>
      </c>
      <c r="AR77" s="786">
        <f t="shared" si="36"/>
        <v>12492.216257735425</v>
      </c>
      <c r="AS77" s="787">
        <f t="shared" si="37"/>
        <v>31.230540644338561</v>
      </c>
      <c r="AT77" s="1094">
        <f t="shared" si="43"/>
        <v>21.501232801610026</v>
      </c>
      <c r="AU77" s="388">
        <f>AE77+AF77</f>
        <v>509</v>
      </c>
      <c r="AV77" s="1096">
        <f t="shared" si="44"/>
        <v>581</v>
      </c>
      <c r="AW77" s="788">
        <f t="shared" si="45"/>
        <v>23.600899312555001</v>
      </c>
    </row>
    <row r="78" spans="1:49" x14ac:dyDescent="0.2">
      <c r="B78" s="488">
        <f t="shared" si="51"/>
        <v>1.5999999999999999</v>
      </c>
      <c r="C78" s="393">
        <f t="shared" si="29"/>
        <v>4542.4914918899085</v>
      </c>
      <c r="D78" s="346">
        <f t="shared" si="30"/>
        <v>11.356228729724771</v>
      </c>
      <c r="E78" s="489">
        <f t="shared" si="31"/>
        <v>8.304372014423965</v>
      </c>
      <c r="F78" s="627">
        <f t="shared" si="39"/>
        <v>10.534547961149796</v>
      </c>
      <c r="T78">
        <v>7</v>
      </c>
      <c r="U78" s="441">
        <f t="shared" si="32"/>
        <v>547</v>
      </c>
      <c r="V78" s="442">
        <f t="shared" si="40"/>
        <v>0</v>
      </c>
      <c r="W78" s="442">
        <f t="shared" si="52"/>
        <v>475</v>
      </c>
      <c r="X78" s="92">
        <f>Input!$G$24+Input!$G$61+Input!$G$63+Input!$G$65+Input!$G$89+Input!$G$98</f>
        <v>72</v>
      </c>
      <c r="Y78" s="778">
        <f>(Input!$G$15*B78)</f>
        <v>640</v>
      </c>
      <c r="Z78" s="779">
        <f>ROUND(Input!$G$39*Y78,0)</f>
        <v>64</v>
      </c>
      <c r="AA78" s="337">
        <f t="shared" si="46"/>
        <v>576</v>
      </c>
      <c r="AB78" s="779">
        <f>ROUND(Input!$G$43*AA78,0)</f>
        <v>29</v>
      </c>
      <c r="AC78" s="445">
        <f t="shared" si="47"/>
        <v>547</v>
      </c>
      <c r="AD78" s="354">
        <f>Input!$G$24</f>
        <v>72</v>
      </c>
      <c r="AE78" s="337">
        <f t="shared" ref="AE78:AE84" si="53">W78</f>
        <v>475</v>
      </c>
      <c r="AF78" s="337">
        <f t="shared" ref="AF78:AF84" si="54">V78</f>
        <v>0</v>
      </c>
      <c r="AG78" s="354">
        <f t="shared" si="41"/>
        <v>547</v>
      </c>
      <c r="AI78" s="372">
        <f t="shared" si="35"/>
        <v>148437.5</v>
      </c>
      <c r="AJ78" s="373">
        <f t="shared" si="49"/>
        <v>0</v>
      </c>
      <c r="AK78" s="609">
        <f>Income_Expense!$F$10+Income_Expense!$F$11+Income_Expense!$F$12+Income_Expense!$F$13</f>
        <v>19315</v>
      </c>
      <c r="AL78" s="461">
        <f t="shared" si="50"/>
        <v>167752.5</v>
      </c>
      <c r="AM78" s="793">
        <f>Income_Expense!$F$17+(Input!$G$188+Input!$G$218)+(AG78/$AG$76)*Input!$G$292</f>
        <v>80811.38257198254</v>
      </c>
      <c r="AN78" s="785">
        <f>(AE78+AF78)*(Input!$G$356+Input!$G$361+Input!$G$366)+(Input!$G$22+Input!$G$73)*(Input!$G$357+Input!$G$362+Input!$G$367)+Input!$G$369</f>
        <v>11215.137599999998</v>
      </c>
      <c r="AO78" s="792">
        <f>Income_Expense!$F$30-Income_Expense!$F$16-Income_Expense!$F$17-Income_Expense!$F$25</f>
        <v>59415.568095887254</v>
      </c>
      <c r="AP78" s="381">
        <f>Income_Expense!$F$33</f>
        <v>11767.920240240295</v>
      </c>
      <c r="AQ78" s="382">
        <f t="shared" si="42"/>
        <v>163210.00850811007</v>
      </c>
      <c r="AR78" s="387">
        <f t="shared" si="36"/>
        <v>4542.4914918899085</v>
      </c>
      <c r="AS78" s="346">
        <f t="shared" si="37"/>
        <v>11.356228729724771</v>
      </c>
      <c r="AT78" s="1094">
        <f t="shared" si="43"/>
        <v>8.304372014423965</v>
      </c>
      <c r="AU78" s="388">
        <f t="shared" ref="AU78:AU84" si="55">AE78+AF78</f>
        <v>475</v>
      </c>
      <c r="AV78" s="1096">
        <f t="shared" si="44"/>
        <v>547</v>
      </c>
      <c r="AW78" s="788">
        <f t="shared" si="45"/>
        <v>10.534547961149796</v>
      </c>
    </row>
    <row r="79" spans="1:49" x14ac:dyDescent="0.2">
      <c r="B79" s="488">
        <f t="shared" si="51"/>
        <v>1.4999999999999998</v>
      </c>
      <c r="C79" s="393">
        <f t="shared" si="29"/>
        <v>-3407.2332739556223</v>
      </c>
      <c r="D79" s="346">
        <f t="shared" si="30"/>
        <v>-8.5180831848890559</v>
      </c>
      <c r="E79" s="489">
        <f t="shared" si="31"/>
        <v>-6.6417802611220722</v>
      </c>
      <c r="F79" s="627">
        <f t="shared" si="39"/>
        <v>-4.2637953822545676</v>
      </c>
      <c r="T79">
        <v>6</v>
      </c>
      <c r="U79" s="441">
        <f t="shared" si="32"/>
        <v>512.99999999999989</v>
      </c>
      <c r="V79" s="442">
        <f t="shared" si="40"/>
        <v>0</v>
      </c>
      <c r="W79" s="442">
        <f t="shared" si="52"/>
        <v>440.99999999999989</v>
      </c>
      <c r="X79" s="92">
        <f>Input!$G$24+Input!$G$61+Input!$G$63+Input!$G$65+Input!$G$89+Input!$G$98</f>
        <v>72</v>
      </c>
      <c r="Y79" s="778">
        <f>(Input!$G$15*B79)</f>
        <v>599.99999999999989</v>
      </c>
      <c r="Z79" s="779">
        <f>ROUND(Input!$G$39*Y79,0)</f>
        <v>60</v>
      </c>
      <c r="AA79" s="337">
        <f t="shared" si="46"/>
        <v>539.99999999999989</v>
      </c>
      <c r="AB79" s="779">
        <f>ROUND(Input!$G$43*AA79,0)</f>
        <v>27</v>
      </c>
      <c r="AC79" s="445">
        <f t="shared" si="47"/>
        <v>512.99999999999989</v>
      </c>
      <c r="AD79" s="354">
        <f>Input!$G$24</f>
        <v>72</v>
      </c>
      <c r="AE79" s="337">
        <f t="shared" si="53"/>
        <v>440.99999999999989</v>
      </c>
      <c r="AF79" s="337">
        <f t="shared" si="54"/>
        <v>0</v>
      </c>
      <c r="AG79" s="354">
        <f t="shared" si="41"/>
        <v>512.99999999999989</v>
      </c>
      <c r="AI79" s="372">
        <f t="shared" si="35"/>
        <v>137812.49999999997</v>
      </c>
      <c r="AJ79" s="373">
        <f t="shared" si="49"/>
        <v>0</v>
      </c>
      <c r="AK79" s="609">
        <f>Income_Expense!$F$10+Income_Expense!$F$11+Income_Expense!$F$12+Income_Expense!$F$13</f>
        <v>19315</v>
      </c>
      <c r="AL79" s="461">
        <f t="shared" si="50"/>
        <v>157127.49999999997</v>
      </c>
      <c r="AM79" s="793">
        <f>Income_Expense!$F$17+(Input!$G$188+Input!$G$218)+(AG79/$AG$76)*Input!$G$292</f>
        <v>78846.19053782805</v>
      </c>
      <c r="AN79" s="785">
        <f>(AE79+AF79)*(Input!$G$356+Input!$G$361+Input!$G$366)+(Input!$G$22+Input!$G$73)*(Input!$G$357+Input!$G$362+Input!$G$367)+Input!$G$369</f>
        <v>10505.054399999995</v>
      </c>
      <c r="AO79" s="792">
        <f>Income_Expense!$F$30-Income_Expense!$F$16-Income_Expense!$F$17-Income_Expense!$F$25</f>
        <v>59415.568095887254</v>
      </c>
      <c r="AP79" s="381">
        <f>Income_Expense!$F$33</f>
        <v>11767.920240240295</v>
      </c>
      <c r="AQ79" s="382">
        <f t="shared" si="42"/>
        <v>160534.73327395559</v>
      </c>
      <c r="AR79" s="387">
        <f t="shared" si="36"/>
        <v>-3407.2332739556223</v>
      </c>
      <c r="AS79" s="346">
        <f t="shared" si="37"/>
        <v>-8.5180831848890559</v>
      </c>
      <c r="AT79" s="1094">
        <f t="shared" si="43"/>
        <v>-6.6417802611220722</v>
      </c>
      <c r="AU79" s="388">
        <f t="shared" si="55"/>
        <v>440.99999999999989</v>
      </c>
      <c r="AV79" s="1096">
        <f t="shared" si="44"/>
        <v>512.99999999999989</v>
      </c>
      <c r="AW79" s="788">
        <f t="shared" si="45"/>
        <v>-4.2637953822545676</v>
      </c>
    </row>
    <row r="80" spans="1:49" x14ac:dyDescent="0.2">
      <c r="B80" s="488">
        <f t="shared" si="51"/>
        <v>1.3999999999999997</v>
      </c>
      <c r="C80" s="393">
        <f t="shared" si="29"/>
        <v>-11356.958039801139</v>
      </c>
      <c r="D80" s="346">
        <f t="shared" si="30"/>
        <v>-28.392395099502846</v>
      </c>
      <c r="E80" s="489">
        <f t="shared" si="31"/>
        <v>-23.709724508979416</v>
      </c>
      <c r="F80" s="627">
        <f t="shared" si="39"/>
        <v>-21.162947384012757</v>
      </c>
      <c r="T80">
        <v>5</v>
      </c>
      <c r="U80" s="441">
        <f>AC80</f>
        <v>478.99999999999989</v>
      </c>
      <c r="V80" s="442">
        <f t="shared" si="40"/>
        <v>0</v>
      </c>
      <c r="W80" s="442">
        <f t="shared" si="52"/>
        <v>406.99999999999989</v>
      </c>
      <c r="X80" s="92">
        <f>Input!$G$24+Input!$G$61+Input!$G$63+Input!$G$65+Input!$G$89+Input!$G$98</f>
        <v>72</v>
      </c>
      <c r="Y80" s="778">
        <f>(Input!$G$15*B80)</f>
        <v>559.99999999999989</v>
      </c>
      <c r="Z80" s="779">
        <f>ROUND(Input!$G$39*Y80,0)</f>
        <v>56</v>
      </c>
      <c r="AA80" s="337">
        <f t="shared" si="46"/>
        <v>503.99999999999989</v>
      </c>
      <c r="AB80" s="779">
        <f>ROUND(Input!$G$43*AA80,0)</f>
        <v>25</v>
      </c>
      <c r="AC80" s="445">
        <f t="shared" si="47"/>
        <v>478.99999999999989</v>
      </c>
      <c r="AD80" s="354">
        <f>Input!$G$24</f>
        <v>72</v>
      </c>
      <c r="AE80" s="337">
        <f t="shared" si="53"/>
        <v>406.99999999999989</v>
      </c>
      <c r="AF80" s="337">
        <f t="shared" si="54"/>
        <v>0</v>
      </c>
      <c r="AG80" s="354">
        <f t="shared" si="41"/>
        <v>478.99999999999989</v>
      </c>
      <c r="AI80" s="372">
        <f t="shared" si="35"/>
        <v>127187.49999999997</v>
      </c>
      <c r="AJ80" s="373">
        <f t="shared" si="49"/>
        <v>0</v>
      </c>
      <c r="AK80" s="609">
        <f>Income_Expense!$F$10+Income_Expense!$F$11+Income_Expense!$F$12+Income_Expense!$F$13</f>
        <v>19315</v>
      </c>
      <c r="AL80" s="461">
        <f t="shared" si="50"/>
        <v>146502.49999999997</v>
      </c>
      <c r="AM80" s="793">
        <f>Income_Expense!$F$17+(Input!$G$188+Input!$G$218)+(AG80/$AG$76)*Input!$G$292</f>
        <v>76880.99850367356</v>
      </c>
      <c r="AN80" s="785">
        <f>(AE80+AF80)*(Input!$G$356+Input!$G$361+Input!$G$366)+(Input!$G$22+Input!$G$73)*(Input!$G$357+Input!$G$362+Input!$G$367)+Input!$G$369</f>
        <v>9794.9711999999963</v>
      </c>
      <c r="AO80" s="792">
        <f>Income_Expense!$F$30-Income_Expense!$F$16-Income_Expense!$F$17-Income_Expense!$F$25</f>
        <v>59415.568095887254</v>
      </c>
      <c r="AP80" s="381">
        <f>Income_Expense!$F$33</f>
        <v>11767.920240240295</v>
      </c>
      <c r="AQ80" s="382">
        <f t="shared" si="42"/>
        <v>157859.4580398011</v>
      </c>
      <c r="AR80" s="387">
        <f t="shared" si="36"/>
        <v>-11356.958039801139</v>
      </c>
      <c r="AS80" s="346">
        <f t="shared" si="37"/>
        <v>-28.392395099502846</v>
      </c>
      <c r="AT80" s="1094">
        <f t="shared" si="43"/>
        <v>-23.709724508979416</v>
      </c>
      <c r="AU80" s="388">
        <f t="shared" si="55"/>
        <v>406.99999999999989</v>
      </c>
      <c r="AV80" s="1096">
        <f t="shared" si="44"/>
        <v>478.99999999999989</v>
      </c>
      <c r="AW80" s="788">
        <f t="shared" si="45"/>
        <v>-21.162947384012757</v>
      </c>
    </row>
    <row r="81" spans="2:49" x14ac:dyDescent="0.2">
      <c r="B81" s="488">
        <f t="shared" si="51"/>
        <v>1.2999999999999996</v>
      </c>
      <c r="C81" s="393">
        <f t="shared" si="29"/>
        <v>-19306.682805646662</v>
      </c>
      <c r="D81" s="346">
        <f t="shared" si="30"/>
        <v>-48.266707014116655</v>
      </c>
      <c r="E81" s="489">
        <f t="shared" si="31"/>
        <v>-43.38580405763296</v>
      </c>
      <c r="F81" s="627">
        <f t="shared" si="39"/>
        <v>-40.64444171412952</v>
      </c>
      <c r="T81">
        <v>4</v>
      </c>
      <c r="U81" s="441">
        <f>AC81</f>
        <v>444.99999999999989</v>
      </c>
      <c r="V81" s="442">
        <f t="shared" si="40"/>
        <v>0</v>
      </c>
      <c r="W81" s="442">
        <f t="shared" si="52"/>
        <v>372.99999999999989</v>
      </c>
      <c r="X81" s="92">
        <f>Input!$G$24+Input!$G$61+Input!$G$63+Input!$G$65+Input!$G$89+Input!$G$98</f>
        <v>72</v>
      </c>
      <c r="Y81" s="778">
        <f>(Input!$G$15*B81)</f>
        <v>519.99999999999989</v>
      </c>
      <c r="Z81" s="779">
        <f>ROUND(Input!$G$39*Y81,0)</f>
        <v>52</v>
      </c>
      <c r="AA81" s="337">
        <f t="shared" si="46"/>
        <v>467.99999999999989</v>
      </c>
      <c r="AB81" s="779">
        <f>ROUND(Input!$G$43*AA81,0)</f>
        <v>23</v>
      </c>
      <c r="AC81" s="445">
        <f t="shared" si="47"/>
        <v>444.99999999999989</v>
      </c>
      <c r="AD81" s="354">
        <f>Input!$G$24</f>
        <v>72</v>
      </c>
      <c r="AE81" s="337">
        <f t="shared" si="53"/>
        <v>372.99999999999989</v>
      </c>
      <c r="AF81" s="337">
        <f t="shared" si="54"/>
        <v>0</v>
      </c>
      <c r="AG81" s="354">
        <f t="shared" si="41"/>
        <v>444.99999999999989</v>
      </c>
      <c r="AI81" s="372">
        <f t="shared" si="35"/>
        <v>116562.49999999997</v>
      </c>
      <c r="AJ81" s="373">
        <f t="shared" si="49"/>
        <v>0</v>
      </c>
      <c r="AK81" s="609">
        <f>Income_Expense!$F$10+Income_Expense!$F$11+Income_Expense!$F$12+Income_Expense!$F$13</f>
        <v>19315</v>
      </c>
      <c r="AL81" s="461">
        <f t="shared" si="50"/>
        <v>135877.49999999997</v>
      </c>
      <c r="AM81" s="793">
        <f>Income_Expense!$F$17+(Input!$G$188+Input!$G$218)+(AG81/$AG$76)*Input!$G$292</f>
        <v>74915.806469519084</v>
      </c>
      <c r="AN81" s="785">
        <f>(AE81+AF81)*(Input!$G$356+Input!$G$361+Input!$G$366)+(Input!$G$22+Input!$G$73)*(Input!$G$357+Input!$G$362+Input!$G$367)+Input!$G$369</f>
        <v>9084.8879999999972</v>
      </c>
      <c r="AO81" s="792">
        <f>Income_Expense!$F$30-Income_Expense!$F$16-Income_Expense!$F$17-Income_Expense!$F$25</f>
        <v>59415.568095887254</v>
      </c>
      <c r="AP81" s="381">
        <f>Income_Expense!$F$33</f>
        <v>11767.920240240295</v>
      </c>
      <c r="AQ81" s="382">
        <f t="shared" si="42"/>
        <v>155184.18280564662</v>
      </c>
      <c r="AR81" s="387">
        <f t="shared" si="36"/>
        <v>-19306.682805646662</v>
      </c>
      <c r="AS81" s="346">
        <f t="shared" si="37"/>
        <v>-48.266707014116655</v>
      </c>
      <c r="AT81" s="1094">
        <f t="shared" si="43"/>
        <v>-43.38580405763296</v>
      </c>
      <c r="AU81" s="388">
        <f t="shared" si="55"/>
        <v>372.99999999999989</v>
      </c>
      <c r="AV81" s="1096">
        <f t="shared" si="44"/>
        <v>444.99999999999989</v>
      </c>
      <c r="AW81" s="788">
        <f t="shared" si="45"/>
        <v>-40.64444171412952</v>
      </c>
    </row>
    <row r="82" spans="2:49" x14ac:dyDescent="0.2">
      <c r="B82" s="488">
        <f t="shared" si="51"/>
        <v>1.1999999999999995</v>
      </c>
      <c r="C82" s="393">
        <f t="shared" si="29"/>
        <v>-27490.223005781772</v>
      </c>
      <c r="D82" s="346">
        <f t="shared" si="30"/>
        <v>-68.725557514454437</v>
      </c>
      <c r="E82" s="489">
        <f t="shared" si="31"/>
        <v>-67.049324404345811</v>
      </c>
      <c r="F82" s="627">
        <f t="shared" si="39"/>
        <v>-64.073943324201835</v>
      </c>
      <c r="T82">
        <v>3</v>
      </c>
      <c r="U82" s="441">
        <f>AC82</f>
        <v>409.99999999999983</v>
      </c>
      <c r="V82" s="442">
        <f t="shared" si="40"/>
        <v>0</v>
      </c>
      <c r="W82" s="442">
        <f t="shared" si="52"/>
        <v>337.99999999999983</v>
      </c>
      <c r="X82" s="92">
        <f>Input!$G$24+Input!$G$61+Input!$G$63+Input!$G$65+Input!$G$89+Input!$G$98</f>
        <v>72</v>
      </c>
      <c r="Y82" s="778">
        <f>(Input!$G$15*B82)</f>
        <v>479.99999999999983</v>
      </c>
      <c r="Z82" s="779">
        <f>ROUND(Input!$G$39*Y82,0)</f>
        <v>48</v>
      </c>
      <c r="AA82" s="337">
        <f t="shared" si="46"/>
        <v>431.99999999999983</v>
      </c>
      <c r="AB82" s="779">
        <f>ROUND(Input!$G$43*AA82,0)</f>
        <v>22</v>
      </c>
      <c r="AC82" s="445">
        <f t="shared" si="47"/>
        <v>409.99999999999983</v>
      </c>
      <c r="AD82" s="354">
        <f>Input!$G$24</f>
        <v>72</v>
      </c>
      <c r="AE82" s="337">
        <f t="shared" si="53"/>
        <v>337.99999999999983</v>
      </c>
      <c r="AF82" s="337">
        <f t="shared" si="54"/>
        <v>0</v>
      </c>
      <c r="AG82" s="354">
        <f t="shared" si="41"/>
        <v>409.99999999999983</v>
      </c>
      <c r="AI82" s="372">
        <f t="shared" si="35"/>
        <v>105624.99999999994</v>
      </c>
      <c r="AJ82" s="373">
        <f t="shared" si="49"/>
        <v>0</v>
      </c>
      <c r="AK82" s="609">
        <f>Income_Expense!$F$10+Income_Expense!$F$11+Income_Expense!$F$12+Income_Expense!$F$13</f>
        <v>19315</v>
      </c>
      <c r="AL82" s="461">
        <f t="shared" si="50"/>
        <v>124939.99999999994</v>
      </c>
      <c r="AM82" s="793">
        <f>Income_Expense!$F$17+(Input!$G$188+Input!$G$218)+(AG82/$AG$76)*Input!$G$292</f>
        <v>72892.814669654166</v>
      </c>
      <c r="AN82" s="785">
        <f>(AE82+AF82)*(Input!$G$356+Input!$G$361+Input!$G$366)+(Input!$G$22+Input!$G$73)*(Input!$G$357+Input!$G$362+Input!$G$367)+Input!$G$369</f>
        <v>8353.9199999999964</v>
      </c>
      <c r="AO82" s="792">
        <f>Income_Expense!$F$30-Income_Expense!$F$16-Income_Expense!$F$17-Income_Expense!$F$25</f>
        <v>59415.568095887254</v>
      </c>
      <c r="AP82" s="381">
        <f>Income_Expense!$F$33</f>
        <v>11767.920240240295</v>
      </c>
      <c r="AQ82" s="382">
        <f t="shared" si="42"/>
        <v>152430.22300578171</v>
      </c>
      <c r="AR82" s="387">
        <f t="shared" si="36"/>
        <v>-27490.223005781772</v>
      </c>
      <c r="AS82" s="346">
        <f t="shared" si="37"/>
        <v>-68.725557514454437</v>
      </c>
      <c r="AT82" s="1094">
        <f t="shared" si="43"/>
        <v>-67.049324404345811</v>
      </c>
      <c r="AU82" s="388">
        <f t="shared" si="55"/>
        <v>337.99999999999983</v>
      </c>
      <c r="AV82" s="1096">
        <f t="shared" si="44"/>
        <v>409.99999999999983</v>
      </c>
      <c r="AW82" s="788">
        <f t="shared" si="45"/>
        <v>-64.073943324201835</v>
      </c>
    </row>
    <row r="83" spans="2:49" x14ac:dyDescent="0.2">
      <c r="B83" s="488">
        <f t="shared" si="51"/>
        <v>1.0999999999999994</v>
      </c>
      <c r="C83" s="393">
        <f t="shared" si="29"/>
        <v>-35439.947771627296</v>
      </c>
      <c r="D83" s="346">
        <f t="shared" si="30"/>
        <v>-88.599869429068235</v>
      </c>
      <c r="E83" s="489">
        <f t="shared" si="31"/>
        <v>-94.255180243689679</v>
      </c>
      <c r="F83" s="627">
        <f t="shared" si="39"/>
        <v>-91.010748746724175</v>
      </c>
      <c r="T83">
        <v>2</v>
      </c>
      <c r="U83" s="441">
        <f>AC83</f>
        <v>375.99999999999977</v>
      </c>
      <c r="V83" s="442">
        <f t="shared" si="40"/>
        <v>0</v>
      </c>
      <c r="W83" s="442">
        <f t="shared" si="52"/>
        <v>303.99999999999977</v>
      </c>
      <c r="X83" s="92">
        <f>Input!$G$24+Input!$G$61+Input!$G$63+Input!$G$65+Input!$G$89+Input!$G$98</f>
        <v>72</v>
      </c>
      <c r="Y83" s="778">
        <f>(Input!$G$15*B83)</f>
        <v>439.99999999999977</v>
      </c>
      <c r="Z83" s="779">
        <f>ROUND(Input!$G$39*Y83,0)</f>
        <v>44</v>
      </c>
      <c r="AA83" s="337">
        <f t="shared" si="46"/>
        <v>395.99999999999977</v>
      </c>
      <c r="AB83" s="779">
        <f>ROUND(Input!$G$43*AA83,0)</f>
        <v>20</v>
      </c>
      <c r="AC83" s="445">
        <f t="shared" si="47"/>
        <v>375.99999999999977</v>
      </c>
      <c r="AD83" s="354">
        <f>Input!$G$24</f>
        <v>72</v>
      </c>
      <c r="AE83" s="337">
        <f t="shared" si="53"/>
        <v>303.99999999999977</v>
      </c>
      <c r="AF83" s="337">
        <f t="shared" si="54"/>
        <v>0</v>
      </c>
      <c r="AG83" s="354">
        <f t="shared" si="41"/>
        <v>375.99999999999977</v>
      </c>
      <c r="AI83" s="372">
        <f t="shared" si="35"/>
        <v>94999.999999999927</v>
      </c>
      <c r="AJ83" s="373">
        <f t="shared" si="49"/>
        <v>0</v>
      </c>
      <c r="AK83" s="609">
        <f>Income_Expense!$F$10+Income_Expense!$F$11+Income_Expense!$F$12+Income_Expense!$F$13</f>
        <v>19315</v>
      </c>
      <c r="AL83" s="461">
        <f t="shared" si="50"/>
        <v>114314.99999999993</v>
      </c>
      <c r="AM83" s="793">
        <f>Income_Expense!$F$17+(Input!$G$188+Input!$G$218)+(AG83/$AG$76)*Input!$G$292</f>
        <v>70927.622635499676</v>
      </c>
      <c r="AN83" s="785">
        <f>(AE83+AF83)*(Input!$G$356+Input!$G$361+Input!$G$366)+(Input!$G$22+Input!$G$73)*(Input!$G$357+Input!$G$362+Input!$G$367)+Input!$G$369</f>
        <v>7643.8367999999955</v>
      </c>
      <c r="AO83" s="792">
        <f>Income_Expense!$F$30-Income_Expense!$F$16-Income_Expense!$F$17-Income_Expense!$F$25</f>
        <v>59415.568095887254</v>
      </c>
      <c r="AP83" s="381">
        <f>Income_Expense!$F$33</f>
        <v>11767.920240240295</v>
      </c>
      <c r="AQ83" s="382">
        <f t="shared" si="42"/>
        <v>149754.94777162722</v>
      </c>
      <c r="AR83" s="387">
        <f t="shared" si="36"/>
        <v>-35439.947771627296</v>
      </c>
      <c r="AS83" s="346">
        <f t="shared" si="37"/>
        <v>-88.599869429068235</v>
      </c>
      <c r="AT83" s="1094">
        <f t="shared" si="43"/>
        <v>-94.255180243689679</v>
      </c>
      <c r="AU83" s="388">
        <f t="shared" si="55"/>
        <v>303.99999999999977</v>
      </c>
      <c r="AV83" s="1096">
        <f t="shared" si="44"/>
        <v>375.99999999999977</v>
      </c>
      <c r="AW83" s="788">
        <f t="shared" si="45"/>
        <v>-91.010748746724175</v>
      </c>
    </row>
    <row r="84" spans="2:49" ht="13.5" thickBot="1" x14ac:dyDescent="0.25">
      <c r="B84" s="488">
        <f t="shared" si="51"/>
        <v>0.99999999999999944</v>
      </c>
      <c r="C84" s="393">
        <f t="shared" si="29"/>
        <v>-43389.672537472805</v>
      </c>
      <c r="D84" s="346">
        <f t="shared" si="30"/>
        <v>-108.47418134368201</v>
      </c>
      <c r="E84" s="489">
        <f t="shared" si="31"/>
        <v>-126.87038753647028</v>
      </c>
      <c r="F84" s="851">
        <f t="shared" si="39"/>
        <v>-123.30341021816902</v>
      </c>
      <c r="T84">
        <v>1</v>
      </c>
      <c r="U84" s="441">
        <f>AC84</f>
        <v>341.99999999999977</v>
      </c>
      <c r="V84" s="442">
        <f t="shared" si="40"/>
        <v>0</v>
      </c>
      <c r="W84" s="442">
        <f t="shared" si="52"/>
        <v>269.99999999999977</v>
      </c>
      <c r="X84" s="92">
        <f>Input!$G$24+Input!$G$61+Input!$G$63+Input!$G$65+Input!$G$89+Input!$G$98</f>
        <v>72</v>
      </c>
      <c r="Y84" s="1196">
        <f>(Input!$G$15*B84)</f>
        <v>399.99999999999977</v>
      </c>
      <c r="Z84" s="1197">
        <f>ROUND(Input!$G$39*Y84,0)</f>
        <v>40</v>
      </c>
      <c r="AA84" s="447">
        <f>Y84-Z84</f>
        <v>359.99999999999977</v>
      </c>
      <c r="AB84" s="1197">
        <f>ROUND(Input!$G$43*AA84,0)</f>
        <v>18</v>
      </c>
      <c r="AC84" s="448">
        <f>AA84-AB84</f>
        <v>341.99999999999977</v>
      </c>
      <c r="AD84" s="354">
        <f>Input!$G$24</f>
        <v>72</v>
      </c>
      <c r="AE84" s="337">
        <f t="shared" si="53"/>
        <v>269.99999999999977</v>
      </c>
      <c r="AF84" s="337">
        <f t="shared" si="54"/>
        <v>0</v>
      </c>
      <c r="AG84" s="354">
        <f t="shared" si="41"/>
        <v>341.99999999999977</v>
      </c>
      <c r="AI84" s="450">
        <f t="shared" si="35"/>
        <v>84374.999999999927</v>
      </c>
      <c r="AJ84" s="451">
        <f>V84*$V$89*$V$90</f>
        <v>0</v>
      </c>
      <c r="AK84" s="609">
        <f>Income_Expense!$F$10+Income_Expense!$F$11+Income_Expense!$F$12+Income_Expense!$F$13</f>
        <v>19315</v>
      </c>
      <c r="AL84" s="462">
        <f t="shared" si="50"/>
        <v>103689.99999999993</v>
      </c>
      <c r="AM84" s="793">
        <f>Income_Expense!$F$17+(Input!$G$188+Input!$G$218)+(AG84/$AG$76)*Input!$G$292</f>
        <v>68962.430601345186</v>
      </c>
      <c r="AN84" s="785">
        <f>(AE84+AF84)*(Input!$G$356+Input!$G$361+Input!$G$366)+(Input!$G$22+Input!$G$73)*(Input!$G$357+Input!$G$362+Input!$G$367)+Input!$G$369</f>
        <v>6933.7535999999945</v>
      </c>
      <c r="AO84" s="792">
        <f>Income_Expense!$F$30-Income_Expense!$F$16-Income_Expense!$F$17-Income_Expense!$F$25</f>
        <v>59415.568095887254</v>
      </c>
      <c r="AP84" s="381">
        <f>Income_Expense!$F$33</f>
        <v>11767.920240240295</v>
      </c>
      <c r="AQ84" s="452">
        <f t="shared" si="42"/>
        <v>147079.67253747274</v>
      </c>
      <c r="AR84" s="453">
        <f t="shared" si="36"/>
        <v>-43389.672537472805</v>
      </c>
      <c r="AS84" s="368">
        <f t="shared" si="37"/>
        <v>-108.47418134368201</v>
      </c>
      <c r="AT84" s="356">
        <f t="shared" si="43"/>
        <v>-126.87038753647028</v>
      </c>
      <c r="AU84" s="388">
        <f t="shared" si="55"/>
        <v>269.99999999999977</v>
      </c>
      <c r="AV84" s="1098">
        <f t="shared" si="44"/>
        <v>341.99999999999977</v>
      </c>
      <c r="AW84" s="1099">
        <f t="shared" si="45"/>
        <v>-123.30341021816902</v>
      </c>
    </row>
    <row r="85" spans="2:49" x14ac:dyDescent="0.2">
      <c r="B85" s="490"/>
      <c r="C85" s="440"/>
      <c r="D85" s="440"/>
      <c r="E85" s="491"/>
      <c r="F85" s="31"/>
      <c r="U85" s="354"/>
      <c r="V85" s="337"/>
      <c r="W85" s="337"/>
      <c r="X85" s="92"/>
      <c r="Y85" s="28"/>
      <c r="Z85" s="92"/>
      <c r="AA85" s="337"/>
      <c r="AB85" s="92"/>
      <c r="AC85" s="337"/>
      <c r="AE85" s="337"/>
      <c r="AF85" s="337"/>
      <c r="AG85" s="337"/>
      <c r="AI85" s="454"/>
      <c r="AJ85" s="454"/>
      <c r="AK85" s="454"/>
      <c r="AL85" s="455"/>
      <c r="AM85" s="454"/>
      <c r="AN85" s="454"/>
      <c r="AO85" s="454"/>
      <c r="AP85" s="454"/>
      <c r="AQ85" s="455"/>
      <c r="AR85" s="456"/>
      <c r="AS85" s="440"/>
      <c r="AT85" s="440"/>
      <c r="AU85" s="457"/>
    </row>
    <row r="86" spans="2:49" x14ac:dyDescent="0.2">
      <c r="B86" s="492"/>
      <c r="C86" s="170"/>
      <c r="D86" s="170"/>
      <c r="E86" s="31"/>
      <c r="F86" s="31"/>
      <c r="U86" s="449" t="s">
        <v>813</v>
      </c>
      <c r="V86" s="337">
        <f>Input!$E$51</f>
        <v>0</v>
      </c>
      <c r="W86" s="337">
        <f>Input!$E$56</f>
        <v>544</v>
      </c>
      <c r="X86" s="350">
        <f>V86+W86</f>
        <v>544</v>
      </c>
      <c r="Y86" s="28"/>
      <c r="Z86" s="92"/>
      <c r="AA86" s="337"/>
      <c r="AB86" s="92"/>
      <c r="AC86" s="337"/>
      <c r="AE86" s="337"/>
      <c r="AF86" s="337"/>
      <c r="AG86" s="337"/>
      <c r="AI86" s="359"/>
      <c r="AJ86" s="359"/>
      <c r="AK86" s="359"/>
      <c r="AL86" s="439"/>
      <c r="AM86" s="359"/>
      <c r="AN86" s="359"/>
      <c r="AO86" s="359"/>
      <c r="AP86" s="359"/>
      <c r="AQ86" s="439"/>
      <c r="AR86" s="458"/>
      <c r="AS86" s="170"/>
      <c r="AT86" s="170"/>
      <c r="AU86" s="354"/>
    </row>
    <row r="87" spans="2:49" ht="13.5" thickBot="1" x14ac:dyDescent="0.25">
      <c r="B87" s="492"/>
      <c r="C87" s="170"/>
      <c r="D87" s="170"/>
      <c r="E87" s="31"/>
      <c r="F87" s="31"/>
      <c r="U87" s="449" t="s">
        <v>817</v>
      </c>
      <c r="V87" s="337"/>
      <c r="W87" s="337"/>
      <c r="X87" s="350">
        <f>X84+X86</f>
        <v>616</v>
      </c>
      <c r="Y87" s="28"/>
      <c r="Z87" s="92"/>
      <c r="AA87" s="337"/>
      <c r="AB87" s="92"/>
      <c r="AC87" s="337"/>
      <c r="AE87" s="337"/>
      <c r="AF87" s="337"/>
      <c r="AG87" s="337"/>
      <c r="AI87" s="359"/>
      <c r="AJ87" s="359"/>
      <c r="AK87" s="359"/>
      <c r="AL87" s="439"/>
      <c r="AM87" s="359"/>
      <c r="AN87" s="359"/>
      <c r="AO87" s="359"/>
      <c r="AP87" s="359"/>
      <c r="AQ87" s="439"/>
      <c r="AR87" s="458"/>
      <c r="AS87" s="170"/>
      <c r="AT87" s="170"/>
      <c r="AU87" s="354"/>
    </row>
    <row r="88" spans="2:49" ht="13.5" thickBot="1" x14ac:dyDescent="0.25">
      <c r="U88" t="s">
        <v>710</v>
      </c>
      <c r="V88" s="355">
        <f>V77/(W77+V77)</f>
        <v>0</v>
      </c>
      <c r="W88" s="355">
        <f>W77/(W77+V77)</f>
        <v>1</v>
      </c>
      <c r="AH88" s="1093" t="s">
        <v>891</v>
      </c>
      <c r="AS88" s="338">
        <f>Input!$G$15</f>
        <v>400</v>
      </c>
      <c r="AT88" s="338"/>
    </row>
    <row r="89" spans="2:49" x14ac:dyDescent="0.2">
      <c r="U89" t="s">
        <v>695</v>
      </c>
      <c r="V89" s="31">
        <f>Input!$G$52</f>
        <v>3</v>
      </c>
      <c r="W89" s="31">
        <f>Input!$G$57</f>
        <v>2.5</v>
      </c>
      <c r="X89" s="31"/>
      <c r="Y89" s="31"/>
      <c r="Z89" s="31"/>
      <c r="AA89" s="31"/>
      <c r="AB89" s="31"/>
      <c r="AC89" s="31"/>
      <c r="AE89" s="31">
        <f>Input!$E$57</f>
        <v>2.5</v>
      </c>
      <c r="AF89" s="31">
        <f>Input!$E$52</f>
        <v>3</v>
      </c>
      <c r="AG89" s="31"/>
      <c r="AH89" s="333" t="s">
        <v>889</v>
      </c>
    </row>
    <row r="90" spans="2:49" x14ac:dyDescent="0.2">
      <c r="U90" s="28" t="s">
        <v>696</v>
      </c>
      <c r="V90" s="337">
        <f>Input!$G$50</f>
        <v>0</v>
      </c>
      <c r="W90" s="337">
        <f>Input!$G$55</f>
        <v>125</v>
      </c>
      <c r="X90" s="337"/>
      <c r="Y90" s="337"/>
      <c r="Z90" s="337"/>
      <c r="AA90" s="28"/>
      <c r="AB90" s="28"/>
      <c r="AC90" s="28"/>
      <c r="AE90" s="337">
        <f>Input!$E$55</f>
        <v>125</v>
      </c>
      <c r="AF90" s="337">
        <f>Input!$E$50</f>
        <v>0</v>
      </c>
      <c r="AH90" s="379">
        <f>Income_Expense!$F$42-Income_Expense!$F$40</f>
        <v>-1219.9062428590296</v>
      </c>
    </row>
    <row r="91" spans="2:49" x14ac:dyDescent="0.2">
      <c r="U91" s="5" t="s">
        <v>814</v>
      </c>
      <c r="V91" s="31">
        <f>V89*V90</f>
        <v>0</v>
      </c>
      <c r="W91" s="31">
        <f>W89*W90</f>
        <v>312.5</v>
      </c>
      <c r="AH91" s="68" t="s">
        <v>901</v>
      </c>
    </row>
    <row r="92" spans="2:49" ht="15.75" thickBot="1" x14ac:dyDescent="0.3">
      <c r="B92" s="124" t="s">
        <v>727</v>
      </c>
      <c r="AH92" s="1102">
        <f>AH90/AG116</f>
        <v>-1.9803672773685546</v>
      </c>
    </row>
    <row r="93" spans="2:49" x14ac:dyDescent="0.2">
      <c r="B93" s="333" t="s">
        <v>715</v>
      </c>
      <c r="C93" s="334"/>
      <c r="D93" s="335" t="s">
        <v>691</v>
      </c>
      <c r="E93" s="144"/>
      <c r="F93" s="401" t="s">
        <v>894</v>
      </c>
      <c r="Z93" s="333" t="s">
        <v>187</v>
      </c>
      <c r="AA93" s="394" t="s">
        <v>725</v>
      </c>
      <c r="AB93" s="395"/>
      <c r="AC93" s="401" t="s">
        <v>698</v>
      </c>
      <c r="AD93" s="396" t="s">
        <v>187</v>
      </c>
      <c r="AE93" s="334"/>
      <c r="AF93" s="335" t="s">
        <v>685</v>
      </c>
      <c r="AG93" s="366"/>
      <c r="AH93" s="333" t="s">
        <v>888</v>
      </c>
    </row>
    <row r="94" spans="2:49" ht="13.5" thickBot="1" x14ac:dyDescent="0.25">
      <c r="B94" s="493" t="s">
        <v>721</v>
      </c>
      <c r="C94" s="494" t="s">
        <v>187</v>
      </c>
      <c r="D94" s="48" t="s">
        <v>686</v>
      </c>
      <c r="E94" s="495" t="s">
        <v>907</v>
      </c>
      <c r="F94" s="402" t="s">
        <v>906</v>
      </c>
      <c r="Z94" s="336" t="s">
        <v>692</v>
      </c>
      <c r="AA94" s="341" t="s">
        <v>715</v>
      </c>
      <c r="AB94" s="391" t="s">
        <v>25</v>
      </c>
      <c r="AC94" s="402" t="s">
        <v>719</v>
      </c>
      <c r="AD94" s="342" t="s">
        <v>719</v>
      </c>
      <c r="AE94" s="341" t="s">
        <v>187</v>
      </c>
      <c r="AF94" s="343" t="s">
        <v>699</v>
      </c>
      <c r="AG94" s="342" t="s">
        <v>700</v>
      </c>
      <c r="AH94" s="336" t="s">
        <v>700</v>
      </c>
    </row>
    <row r="95" spans="2:49" x14ac:dyDescent="0.2">
      <c r="B95" s="496">
        <f t="shared" ref="B95:B103" si="56">B96+0.05</f>
        <v>0.49999999999999994</v>
      </c>
      <c r="C95" s="404">
        <f>AE95</f>
        <v>-21724.026745130483</v>
      </c>
      <c r="D95" s="497">
        <f>AF95</f>
        <v>-54.310066862826204</v>
      </c>
      <c r="E95" s="498">
        <f>AG95</f>
        <v>-35.266277183653379</v>
      </c>
      <c r="F95" s="626">
        <f>AH95</f>
        <v>-33.285909906284822</v>
      </c>
      <c r="Z95" s="392">
        <f>Income_Expense!$F$14</f>
        <v>189315</v>
      </c>
      <c r="AA95" s="399">
        <f t="shared" ref="AA95:AA104" si="57">$AA$105*(1+B95)</f>
        <v>127199.34960900292</v>
      </c>
      <c r="AB95" s="1157">
        <f>Income_Expense!$F$30-Income_Expense!$F$16-Income_Expense!$F$17</f>
        <v>72071.756895887258</v>
      </c>
      <c r="AC95" s="403">
        <f>Income_Expense!$F$33</f>
        <v>11767.920240240295</v>
      </c>
      <c r="AD95" s="400">
        <f>AA95+AB95+AC95</f>
        <v>211039.02674513048</v>
      </c>
      <c r="AE95" s="404">
        <f>Z95-AD95</f>
        <v>-21724.026745130483</v>
      </c>
      <c r="AF95" s="348">
        <f>AE95/$AF$116</f>
        <v>-54.310066862826204</v>
      </c>
      <c r="AG95" s="349">
        <f>AE95/$AG$116</f>
        <v>-35.266277183653379</v>
      </c>
      <c r="AH95" s="1103">
        <f>AG95-$AH$92</f>
        <v>-33.285909906284822</v>
      </c>
    </row>
    <row r="96" spans="2:49" x14ac:dyDescent="0.2">
      <c r="B96" s="488">
        <f t="shared" si="56"/>
        <v>0.44999999999999996</v>
      </c>
      <c r="C96" s="345">
        <f t="shared" ref="C96:C105" si="58">AE96</f>
        <v>-17484.048424830369</v>
      </c>
      <c r="D96" s="346">
        <f t="shared" ref="D96:D105" si="59">AF96</f>
        <v>-43.71012106207592</v>
      </c>
      <c r="E96" s="347">
        <f t="shared" ref="E96:E105" si="60">AG96</f>
        <v>-28.383195494854494</v>
      </c>
      <c r="F96" s="627">
        <f t="shared" ref="F96:F115" si="61">AH96</f>
        <v>-26.40282821748594</v>
      </c>
      <c r="Z96" s="393">
        <f>Income_Expense!$F$14</f>
        <v>189315</v>
      </c>
      <c r="AA96" s="372">
        <f t="shared" si="57"/>
        <v>122959.37128870282</v>
      </c>
      <c r="AB96" s="792">
        <f>Income_Expense!$F$30-Income_Expense!$F$16-Income_Expense!$F$17</f>
        <v>72071.756895887258</v>
      </c>
      <c r="AC96" s="381">
        <f>Income_Expense!$F$33</f>
        <v>11767.920240240295</v>
      </c>
      <c r="AD96" s="380">
        <f t="shared" ref="AD96:AD115" si="62">AA96+AB96+AC96</f>
        <v>206799.04842483037</v>
      </c>
      <c r="AE96" s="345">
        <f t="shared" ref="AE96:AE115" si="63">Z96-AD96</f>
        <v>-17484.048424830369</v>
      </c>
      <c r="AF96" s="346">
        <f t="shared" ref="AF96:AF115" si="64">AE96/$AF$116</f>
        <v>-43.71012106207592</v>
      </c>
      <c r="AG96" s="347">
        <f>AE96/$AG$116</f>
        <v>-28.383195494854494</v>
      </c>
      <c r="AH96" s="1101">
        <f t="shared" ref="AH96:AH115" si="65">AG96-$AH$92</f>
        <v>-26.40282821748594</v>
      </c>
    </row>
    <row r="97" spans="1:34" x14ac:dyDescent="0.2">
      <c r="B97" s="488">
        <f t="shared" si="56"/>
        <v>0.39999999999999997</v>
      </c>
      <c r="C97" s="345">
        <f t="shared" si="58"/>
        <v>-13244.070104530256</v>
      </c>
      <c r="D97" s="346">
        <f t="shared" si="59"/>
        <v>-33.110175261325637</v>
      </c>
      <c r="E97" s="347">
        <f t="shared" si="60"/>
        <v>-21.500113806055609</v>
      </c>
      <c r="F97" s="627">
        <f t="shared" si="61"/>
        <v>-19.519746528687055</v>
      </c>
      <c r="Z97" s="393">
        <f>Income_Expense!$F$14</f>
        <v>189315</v>
      </c>
      <c r="AA97" s="372">
        <f t="shared" si="57"/>
        <v>118719.39296840272</v>
      </c>
      <c r="AB97" s="792">
        <f>Income_Expense!$F$30-Income_Expense!$F$16-Income_Expense!$F$17</f>
        <v>72071.756895887258</v>
      </c>
      <c r="AC97" s="381">
        <f>Income_Expense!$F$33</f>
        <v>11767.920240240295</v>
      </c>
      <c r="AD97" s="380">
        <f t="shared" si="62"/>
        <v>202559.07010453026</v>
      </c>
      <c r="AE97" s="345">
        <f t="shared" si="63"/>
        <v>-13244.070104530256</v>
      </c>
      <c r="AF97" s="346">
        <f t="shared" si="64"/>
        <v>-33.110175261325637</v>
      </c>
      <c r="AG97" s="347">
        <f t="shared" ref="AG97:AG115" si="66">AE97/$AG$116</f>
        <v>-21.500113806055609</v>
      </c>
      <c r="AH97" s="1101">
        <f t="shared" si="65"/>
        <v>-19.519746528687055</v>
      </c>
    </row>
    <row r="98" spans="1:34" x14ac:dyDescent="0.2">
      <c r="B98" s="488">
        <f t="shared" si="56"/>
        <v>0.35</v>
      </c>
      <c r="C98" s="345">
        <f t="shared" si="58"/>
        <v>-9004.0917842302006</v>
      </c>
      <c r="D98" s="346">
        <f t="shared" si="59"/>
        <v>-22.510229460575502</v>
      </c>
      <c r="E98" s="347">
        <f t="shared" si="60"/>
        <v>-14.617032117256819</v>
      </c>
      <c r="F98" s="627">
        <f t="shared" si="61"/>
        <v>-12.636664839888265</v>
      </c>
      <c r="Z98" s="393">
        <f>Income_Expense!$F$14</f>
        <v>189315</v>
      </c>
      <c r="AA98" s="372">
        <f t="shared" si="57"/>
        <v>114479.41464810264</v>
      </c>
      <c r="AB98" s="792">
        <f>Income_Expense!$F$30-Income_Expense!$F$16-Income_Expense!$F$17</f>
        <v>72071.756895887258</v>
      </c>
      <c r="AC98" s="381">
        <f>Income_Expense!$F$33</f>
        <v>11767.920240240295</v>
      </c>
      <c r="AD98" s="380">
        <f t="shared" si="62"/>
        <v>198319.0917842302</v>
      </c>
      <c r="AE98" s="345">
        <f t="shared" si="63"/>
        <v>-9004.0917842302006</v>
      </c>
      <c r="AF98" s="346">
        <f t="shared" si="64"/>
        <v>-22.510229460575502</v>
      </c>
      <c r="AG98" s="347">
        <f t="shared" si="66"/>
        <v>-14.617032117256819</v>
      </c>
      <c r="AH98" s="1101">
        <f t="shared" si="65"/>
        <v>-12.636664839888265</v>
      </c>
    </row>
    <row r="99" spans="1:34" x14ac:dyDescent="0.2">
      <c r="B99" s="488">
        <f t="shared" si="56"/>
        <v>0.3</v>
      </c>
      <c r="C99" s="345">
        <f t="shared" si="58"/>
        <v>-4764.1134639300872</v>
      </c>
      <c r="D99" s="346">
        <f t="shared" si="59"/>
        <v>-11.910283659825218</v>
      </c>
      <c r="E99" s="347">
        <f t="shared" si="60"/>
        <v>-7.7339504284579341</v>
      </c>
      <c r="F99" s="627">
        <f t="shared" si="61"/>
        <v>-5.75358315108938</v>
      </c>
      <c r="Z99" s="393">
        <f>Income_Expense!$F$14</f>
        <v>189315</v>
      </c>
      <c r="AA99" s="372">
        <f t="shared" si="57"/>
        <v>110239.43632780254</v>
      </c>
      <c r="AB99" s="792">
        <f>Income_Expense!$F$30-Income_Expense!$F$16-Income_Expense!$F$17</f>
        <v>72071.756895887258</v>
      </c>
      <c r="AC99" s="381">
        <f>Income_Expense!$F$33</f>
        <v>11767.920240240295</v>
      </c>
      <c r="AD99" s="380">
        <f t="shared" si="62"/>
        <v>194079.11346393009</v>
      </c>
      <c r="AE99" s="345">
        <f t="shared" si="63"/>
        <v>-4764.1134639300872</v>
      </c>
      <c r="AF99" s="346">
        <f t="shared" si="64"/>
        <v>-11.910283659825218</v>
      </c>
      <c r="AG99" s="347">
        <f t="shared" si="66"/>
        <v>-7.7339504284579341</v>
      </c>
      <c r="AH99" s="1101">
        <f t="shared" si="65"/>
        <v>-5.75358315108938</v>
      </c>
    </row>
    <row r="100" spans="1:34" x14ac:dyDescent="0.2">
      <c r="B100" s="488">
        <f t="shared" si="56"/>
        <v>0.25</v>
      </c>
      <c r="C100" s="345">
        <f t="shared" si="58"/>
        <v>-524.13514362997375</v>
      </c>
      <c r="D100" s="346">
        <f t="shared" si="59"/>
        <v>-1.3103378590749344</v>
      </c>
      <c r="E100" s="347">
        <f t="shared" si="60"/>
        <v>-0.8508687396590483</v>
      </c>
      <c r="F100" s="627">
        <f t="shared" si="61"/>
        <v>1.1294985377095061</v>
      </c>
      <c r="Z100" s="393">
        <f>Income_Expense!$F$14</f>
        <v>189315</v>
      </c>
      <c r="AA100" s="372">
        <f t="shared" si="57"/>
        <v>105999.45800750243</v>
      </c>
      <c r="AB100" s="792">
        <f>Income_Expense!$F$30-Income_Expense!$F$16-Income_Expense!$F$17</f>
        <v>72071.756895887258</v>
      </c>
      <c r="AC100" s="381">
        <f>Income_Expense!$F$33</f>
        <v>11767.920240240295</v>
      </c>
      <c r="AD100" s="380">
        <f t="shared" si="62"/>
        <v>189839.13514362997</v>
      </c>
      <c r="AE100" s="345">
        <f t="shared" si="63"/>
        <v>-524.13514362997375</v>
      </c>
      <c r="AF100" s="346">
        <f t="shared" si="64"/>
        <v>-1.3103378590749344</v>
      </c>
      <c r="AG100" s="347">
        <f t="shared" si="66"/>
        <v>-0.8508687396590483</v>
      </c>
      <c r="AH100" s="1101">
        <f t="shared" si="65"/>
        <v>1.1294985377095061</v>
      </c>
    </row>
    <row r="101" spans="1:34" x14ac:dyDescent="0.2">
      <c r="B101" s="488">
        <f t="shared" si="56"/>
        <v>0.2</v>
      </c>
      <c r="C101" s="345">
        <f t="shared" si="58"/>
        <v>3715.8431766701397</v>
      </c>
      <c r="D101" s="346">
        <f t="shared" si="59"/>
        <v>9.2896079416753494</v>
      </c>
      <c r="E101" s="347">
        <f t="shared" si="60"/>
        <v>6.0322129491398373</v>
      </c>
      <c r="F101" s="627">
        <f t="shared" si="61"/>
        <v>8.0125802265083923</v>
      </c>
      <c r="Z101" s="393">
        <f>Income_Expense!$F$14</f>
        <v>189315</v>
      </c>
      <c r="AA101" s="372">
        <f t="shared" si="57"/>
        <v>101759.47968720233</v>
      </c>
      <c r="AB101" s="792">
        <f>Income_Expense!$F$30-Income_Expense!$F$16-Income_Expense!$F$17</f>
        <v>72071.756895887258</v>
      </c>
      <c r="AC101" s="381">
        <f>Income_Expense!$F$33</f>
        <v>11767.920240240295</v>
      </c>
      <c r="AD101" s="380">
        <f t="shared" si="62"/>
        <v>185599.15682332986</v>
      </c>
      <c r="AE101" s="345">
        <f t="shared" si="63"/>
        <v>3715.8431766701397</v>
      </c>
      <c r="AF101" s="346">
        <f t="shared" si="64"/>
        <v>9.2896079416753494</v>
      </c>
      <c r="AG101" s="347">
        <f t="shared" si="66"/>
        <v>6.0322129491398373</v>
      </c>
      <c r="AH101" s="1101">
        <f t="shared" si="65"/>
        <v>8.0125802265083923</v>
      </c>
    </row>
    <row r="102" spans="1:34" x14ac:dyDescent="0.2">
      <c r="B102" s="488">
        <f t="shared" si="56"/>
        <v>0.15000000000000002</v>
      </c>
      <c r="C102" s="345">
        <f t="shared" si="58"/>
        <v>7955.821496970224</v>
      </c>
      <c r="D102" s="346">
        <f t="shared" si="59"/>
        <v>19.889553742425559</v>
      </c>
      <c r="E102" s="347">
        <f t="shared" si="60"/>
        <v>12.915294637938675</v>
      </c>
      <c r="F102" s="627">
        <f t="shared" si="61"/>
        <v>14.89566191530723</v>
      </c>
      <c r="Z102" s="393">
        <f>Income_Expense!$F$14</f>
        <v>189315</v>
      </c>
      <c r="AA102" s="372">
        <f t="shared" si="57"/>
        <v>97519.50136690223</v>
      </c>
      <c r="AB102" s="792">
        <f>Income_Expense!$F$30-Income_Expense!$F$16-Income_Expense!$F$17</f>
        <v>72071.756895887258</v>
      </c>
      <c r="AC102" s="381">
        <f>Income_Expense!$F$33</f>
        <v>11767.920240240295</v>
      </c>
      <c r="AD102" s="380">
        <f t="shared" si="62"/>
        <v>181359.17850302978</v>
      </c>
      <c r="AE102" s="345">
        <f t="shared" si="63"/>
        <v>7955.821496970224</v>
      </c>
      <c r="AF102" s="346">
        <f t="shared" si="64"/>
        <v>19.889553742425559</v>
      </c>
      <c r="AG102" s="347">
        <f t="shared" si="66"/>
        <v>12.915294637938675</v>
      </c>
      <c r="AH102" s="1101">
        <f t="shared" si="65"/>
        <v>14.89566191530723</v>
      </c>
    </row>
    <row r="103" spans="1:34" x14ac:dyDescent="0.2">
      <c r="B103" s="488">
        <f t="shared" si="56"/>
        <v>0.1</v>
      </c>
      <c r="C103" s="345">
        <f t="shared" si="58"/>
        <v>12195.799817270308</v>
      </c>
      <c r="D103" s="346">
        <f t="shared" si="59"/>
        <v>30.489499543175771</v>
      </c>
      <c r="E103" s="347">
        <f t="shared" si="60"/>
        <v>19.798376326737515</v>
      </c>
      <c r="F103" s="627">
        <f t="shared" si="61"/>
        <v>21.778743604106069</v>
      </c>
      <c r="Z103" s="393">
        <f>Income_Expense!$F$14</f>
        <v>189315</v>
      </c>
      <c r="AA103" s="372">
        <f t="shared" si="57"/>
        <v>93279.523046602146</v>
      </c>
      <c r="AB103" s="792">
        <f>Income_Expense!$F$30-Income_Expense!$F$16-Income_Expense!$F$17</f>
        <v>72071.756895887258</v>
      </c>
      <c r="AC103" s="381">
        <f>Income_Expense!$F$33</f>
        <v>11767.920240240295</v>
      </c>
      <c r="AD103" s="380">
        <f t="shared" si="62"/>
        <v>177119.20018272969</v>
      </c>
      <c r="AE103" s="345">
        <f t="shared" si="63"/>
        <v>12195.799817270308</v>
      </c>
      <c r="AF103" s="346">
        <f t="shared" si="64"/>
        <v>30.489499543175771</v>
      </c>
      <c r="AG103" s="347">
        <f t="shared" si="66"/>
        <v>19.798376326737515</v>
      </c>
      <c r="AH103" s="1101">
        <f t="shared" si="65"/>
        <v>21.778743604106069</v>
      </c>
    </row>
    <row r="104" spans="1:34" x14ac:dyDescent="0.2">
      <c r="A104" s="1195" t="s">
        <v>955</v>
      </c>
      <c r="B104" s="488">
        <v>0.05</v>
      </c>
      <c r="C104" s="345">
        <f t="shared" si="58"/>
        <v>16435.778137570422</v>
      </c>
      <c r="D104" s="346">
        <f t="shared" si="59"/>
        <v>41.089445343926052</v>
      </c>
      <c r="E104" s="347">
        <f t="shared" si="60"/>
        <v>26.6814580155364</v>
      </c>
      <c r="F104" s="627">
        <f t="shared" si="61"/>
        <v>28.661825292904954</v>
      </c>
      <c r="Z104" s="393">
        <f>Income_Expense!$F$14</f>
        <v>189315</v>
      </c>
      <c r="AA104" s="372">
        <f t="shared" si="57"/>
        <v>89039.544726302047</v>
      </c>
      <c r="AB104" s="792">
        <f>Income_Expense!$F$30-Income_Expense!$F$16-Income_Expense!$F$17</f>
        <v>72071.756895887258</v>
      </c>
      <c r="AC104" s="381">
        <f>Income_Expense!$F$33</f>
        <v>11767.920240240295</v>
      </c>
      <c r="AD104" s="380">
        <f t="shared" si="62"/>
        <v>172879.22186242958</v>
      </c>
      <c r="AE104" s="345">
        <f t="shared" si="63"/>
        <v>16435.778137570422</v>
      </c>
      <c r="AF104" s="346">
        <f t="shared" si="64"/>
        <v>41.089445343926052</v>
      </c>
      <c r="AG104" s="347">
        <f t="shared" si="66"/>
        <v>26.6814580155364</v>
      </c>
      <c r="AH104" s="1101">
        <f t="shared" si="65"/>
        <v>28.661825292904954</v>
      </c>
    </row>
    <row r="105" spans="1:34" x14ac:dyDescent="0.2">
      <c r="A105" s="1195" t="s">
        <v>718</v>
      </c>
      <c r="B105" s="499" t="s">
        <v>718</v>
      </c>
      <c r="C105" s="339">
        <f t="shared" si="58"/>
        <v>20675.756457870506</v>
      </c>
      <c r="D105" s="344">
        <f t="shared" si="59"/>
        <v>51.689391144676264</v>
      </c>
      <c r="E105" s="340">
        <f t="shared" si="60"/>
        <v>33.564539704335239</v>
      </c>
      <c r="F105" s="485">
        <f t="shared" si="61"/>
        <v>35.544906981703797</v>
      </c>
      <c r="Z105" s="382">
        <f>Income_Expense!$F$14</f>
        <v>189315</v>
      </c>
      <c r="AA105" s="339">
        <f>Income_Expense!$F$16+Income_Expense!$F$17</f>
        <v>84799.566406001948</v>
      </c>
      <c r="AB105" s="376">
        <f>Income_Expense!$F$30-Income_Expense!$F$16-Income_Expense!$F$17</f>
        <v>72071.756895887258</v>
      </c>
      <c r="AC105" s="382">
        <f>Income_Expense!$F$33</f>
        <v>11767.920240240295</v>
      </c>
      <c r="AD105" s="374">
        <f t="shared" si="62"/>
        <v>168639.24354212949</v>
      </c>
      <c r="AE105" s="339">
        <f t="shared" si="63"/>
        <v>20675.756457870506</v>
      </c>
      <c r="AF105" s="344">
        <f t="shared" si="64"/>
        <v>51.689391144676264</v>
      </c>
      <c r="AG105" s="340">
        <f t="shared" si="66"/>
        <v>33.564539704335239</v>
      </c>
      <c r="AH105" s="485">
        <f t="shared" si="65"/>
        <v>35.544906981703797</v>
      </c>
    </row>
    <row r="106" spans="1:34" x14ac:dyDescent="0.2">
      <c r="B106" s="488">
        <v>-0.05</v>
      </c>
      <c r="C106" s="345">
        <f>AE106</f>
        <v>24915.73477817059</v>
      </c>
      <c r="D106" s="346">
        <f>AF106</f>
        <v>62.289336945426477</v>
      </c>
      <c r="E106" s="347">
        <f>AG106</f>
        <v>40.447621393134078</v>
      </c>
      <c r="F106" s="627">
        <f t="shared" si="61"/>
        <v>42.427988670502636</v>
      </c>
      <c r="Z106" s="393">
        <f>Income_Expense!$F$14</f>
        <v>189315</v>
      </c>
      <c r="AA106" s="372">
        <f>$AA$105*(1+B106)</f>
        <v>80559.588085701849</v>
      </c>
      <c r="AB106" s="792">
        <f>Income_Expense!$F$30-Income_Expense!$F$16-Income_Expense!$F$17</f>
        <v>72071.756895887258</v>
      </c>
      <c r="AC106" s="381">
        <f>Income_Expense!$F$33</f>
        <v>11767.920240240295</v>
      </c>
      <c r="AD106" s="380">
        <f t="shared" si="62"/>
        <v>164399.26522182941</v>
      </c>
      <c r="AE106" s="345">
        <f t="shared" si="63"/>
        <v>24915.73477817059</v>
      </c>
      <c r="AF106" s="346">
        <f t="shared" si="64"/>
        <v>62.289336945426477</v>
      </c>
      <c r="AG106" s="347">
        <f t="shared" si="66"/>
        <v>40.447621393134078</v>
      </c>
      <c r="AH106" s="1101">
        <f t="shared" si="65"/>
        <v>42.427988670502636</v>
      </c>
    </row>
    <row r="107" spans="1:34" x14ac:dyDescent="0.2">
      <c r="B107" s="488">
        <f>B106-0.05</f>
        <v>-0.1</v>
      </c>
      <c r="C107" s="345">
        <f t="shared" ref="C107:C115" si="67">AE107</f>
        <v>29155.713098470704</v>
      </c>
      <c r="D107" s="346">
        <f t="shared" ref="D107:D115" si="68">AF107</f>
        <v>72.889282746176761</v>
      </c>
      <c r="E107" s="347">
        <f t="shared" ref="E107:E115" si="69">AG107</f>
        <v>47.33070308193296</v>
      </c>
      <c r="F107" s="627">
        <f t="shared" si="61"/>
        <v>49.311070359301517</v>
      </c>
      <c r="Z107" s="393">
        <f>Income_Expense!$F$14</f>
        <v>189315</v>
      </c>
      <c r="AA107" s="372">
        <f t="shared" ref="AA107:AA115" si="70">$AA$105*(1+B107)</f>
        <v>76319.60976540175</v>
      </c>
      <c r="AB107" s="792">
        <f>Income_Expense!$F$30-Income_Expense!$F$16-Income_Expense!$F$17</f>
        <v>72071.756895887258</v>
      </c>
      <c r="AC107" s="381">
        <f>Income_Expense!$F$33</f>
        <v>11767.920240240295</v>
      </c>
      <c r="AD107" s="380">
        <f t="shared" si="62"/>
        <v>160159.2869015293</v>
      </c>
      <c r="AE107" s="345">
        <f t="shared" si="63"/>
        <v>29155.713098470704</v>
      </c>
      <c r="AF107" s="346">
        <f t="shared" si="64"/>
        <v>72.889282746176761</v>
      </c>
      <c r="AG107" s="347">
        <f t="shared" si="66"/>
        <v>47.33070308193296</v>
      </c>
      <c r="AH107" s="1101">
        <f t="shared" si="65"/>
        <v>49.311070359301517</v>
      </c>
    </row>
    <row r="108" spans="1:34" x14ac:dyDescent="0.2">
      <c r="B108" s="488">
        <f t="shared" ref="B108:B115" si="71">B107-0.05</f>
        <v>-0.15000000000000002</v>
      </c>
      <c r="C108" s="345">
        <f t="shared" si="67"/>
        <v>33395.691418770817</v>
      </c>
      <c r="D108" s="346">
        <f t="shared" si="68"/>
        <v>83.489228546927038</v>
      </c>
      <c r="E108" s="347">
        <f t="shared" si="69"/>
        <v>54.213784770731849</v>
      </c>
      <c r="F108" s="627">
        <f t="shared" si="61"/>
        <v>56.194152048100406</v>
      </c>
      <c r="Z108" s="393">
        <f>Income_Expense!$F$14</f>
        <v>189315</v>
      </c>
      <c r="AA108" s="372">
        <f t="shared" si="70"/>
        <v>72079.631445101651</v>
      </c>
      <c r="AB108" s="792">
        <f>Income_Expense!$F$30-Income_Expense!$F$16-Income_Expense!$F$17</f>
        <v>72071.756895887258</v>
      </c>
      <c r="AC108" s="381">
        <f>Income_Expense!$F$33</f>
        <v>11767.920240240295</v>
      </c>
      <c r="AD108" s="380">
        <f t="shared" si="62"/>
        <v>155919.30858122918</v>
      </c>
      <c r="AE108" s="345">
        <f t="shared" si="63"/>
        <v>33395.691418770817</v>
      </c>
      <c r="AF108" s="346">
        <f t="shared" si="64"/>
        <v>83.489228546927038</v>
      </c>
      <c r="AG108" s="347">
        <f t="shared" si="66"/>
        <v>54.213784770731849</v>
      </c>
      <c r="AH108" s="1101">
        <f t="shared" si="65"/>
        <v>56.194152048100406</v>
      </c>
    </row>
    <row r="109" spans="1:34" x14ac:dyDescent="0.2">
      <c r="B109" s="488">
        <f t="shared" si="71"/>
        <v>-0.2</v>
      </c>
      <c r="C109" s="345">
        <f t="shared" si="67"/>
        <v>37635.669739070872</v>
      </c>
      <c r="D109" s="346">
        <f t="shared" si="68"/>
        <v>94.089174347677186</v>
      </c>
      <c r="E109" s="347">
        <f t="shared" si="69"/>
        <v>61.096866459530638</v>
      </c>
      <c r="F109" s="627">
        <f t="shared" si="61"/>
        <v>63.077233736899196</v>
      </c>
      <c r="Z109" s="393">
        <f>Income_Expense!$F$14</f>
        <v>189315</v>
      </c>
      <c r="AA109" s="372">
        <f t="shared" si="70"/>
        <v>67839.653124801567</v>
      </c>
      <c r="AB109" s="792">
        <f>Income_Expense!$F$30-Income_Expense!$F$16-Income_Expense!$F$17</f>
        <v>72071.756895887258</v>
      </c>
      <c r="AC109" s="381">
        <f>Income_Expense!$F$33</f>
        <v>11767.920240240295</v>
      </c>
      <c r="AD109" s="380">
        <f t="shared" si="62"/>
        <v>151679.33026092913</v>
      </c>
      <c r="AE109" s="345">
        <f t="shared" si="63"/>
        <v>37635.669739070872</v>
      </c>
      <c r="AF109" s="346">
        <f t="shared" si="64"/>
        <v>94.089174347677186</v>
      </c>
      <c r="AG109" s="347">
        <f t="shared" si="66"/>
        <v>61.096866459530638</v>
      </c>
      <c r="AH109" s="1101">
        <f t="shared" si="65"/>
        <v>63.077233736899196</v>
      </c>
    </row>
    <row r="110" spans="1:34" x14ac:dyDescent="0.2">
      <c r="B110" s="488">
        <f t="shared" si="71"/>
        <v>-0.25</v>
      </c>
      <c r="C110" s="345">
        <f t="shared" si="67"/>
        <v>41875.648059370986</v>
      </c>
      <c r="D110" s="346">
        <f t="shared" si="68"/>
        <v>104.68912014842746</v>
      </c>
      <c r="E110" s="347">
        <f t="shared" si="69"/>
        <v>67.979948148329527</v>
      </c>
      <c r="F110" s="627">
        <f t="shared" si="61"/>
        <v>69.960315425698084</v>
      </c>
      <c r="Z110" s="393">
        <f>Income_Expense!$F$14</f>
        <v>189315</v>
      </c>
      <c r="AA110" s="372">
        <f t="shared" si="70"/>
        <v>63599.674804501461</v>
      </c>
      <c r="AB110" s="792">
        <f>Income_Expense!$F$30-Income_Expense!$F$16-Income_Expense!$F$17</f>
        <v>72071.756895887258</v>
      </c>
      <c r="AC110" s="381">
        <f>Income_Expense!$F$33</f>
        <v>11767.920240240295</v>
      </c>
      <c r="AD110" s="380">
        <f t="shared" si="62"/>
        <v>147439.35194062901</v>
      </c>
      <c r="AE110" s="345">
        <f t="shared" si="63"/>
        <v>41875.648059370986</v>
      </c>
      <c r="AF110" s="346">
        <f t="shared" si="64"/>
        <v>104.68912014842746</v>
      </c>
      <c r="AG110" s="347">
        <f t="shared" si="66"/>
        <v>67.979948148329527</v>
      </c>
      <c r="AH110" s="1101">
        <f t="shared" si="65"/>
        <v>69.960315425698084</v>
      </c>
    </row>
    <row r="111" spans="1:34" x14ac:dyDescent="0.2">
      <c r="B111" s="488">
        <f t="shared" si="71"/>
        <v>-0.3</v>
      </c>
      <c r="C111" s="345">
        <f t="shared" si="67"/>
        <v>46115.626379671099</v>
      </c>
      <c r="D111" s="346">
        <f t="shared" si="68"/>
        <v>115.28906594917775</v>
      </c>
      <c r="E111" s="347">
        <f t="shared" si="69"/>
        <v>74.863029837128408</v>
      </c>
      <c r="F111" s="627">
        <f t="shared" si="61"/>
        <v>76.843397114496966</v>
      </c>
      <c r="Z111" s="393">
        <f>Income_Expense!$F$14</f>
        <v>189315</v>
      </c>
      <c r="AA111" s="372">
        <f t="shared" si="70"/>
        <v>59359.696484201362</v>
      </c>
      <c r="AB111" s="792">
        <f>Income_Expense!$F$30-Income_Expense!$F$16-Income_Expense!$F$17</f>
        <v>72071.756895887258</v>
      </c>
      <c r="AC111" s="381">
        <f>Income_Expense!$F$33</f>
        <v>11767.920240240295</v>
      </c>
      <c r="AD111" s="380">
        <f t="shared" si="62"/>
        <v>143199.3736203289</v>
      </c>
      <c r="AE111" s="345">
        <f t="shared" si="63"/>
        <v>46115.626379671099</v>
      </c>
      <c r="AF111" s="346">
        <f t="shared" si="64"/>
        <v>115.28906594917775</v>
      </c>
      <c r="AG111" s="347">
        <f t="shared" si="66"/>
        <v>74.863029837128408</v>
      </c>
      <c r="AH111" s="1101">
        <f t="shared" si="65"/>
        <v>76.843397114496966</v>
      </c>
    </row>
    <row r="112" spans="1:34" x14ac:dyDescent="0.2">
      <c r="B112" s="488">
        <f t="shared" si="71"/>
        <v>-0.35</v>
      </c>
      <c r="C112" s="345">
        <f t="shared" si="67"/>
        <v>50355.604699971183</v>
      </c>
      <c r="D112" s="346">
        <f t="shared" si="68"/>
        <v>125.88901174992796</v>
      </c>
      <c r="E112" s="347">
        <f t="shared" si="69"/>
        <v>81.746111525927247</v>
      </c>
      <c r="F112" s="627">
        <f t="shared" si="61"/>
        <v>83.726478803295805</v>
      </c>
      <c r="Z112" s="393">
        <f>Income_Expense!$F$14</f>
        <v>189315</v>
      </c>
      <c r="AA112" s="372">
        <f t="shared" si="70"/>
        <v>55119.718163901271</v>
      </c>
      <c r="AB112" s="792">
        <f>Income_Expense!$F$30-Income_Expense!$F$16-Income_Expense!$F$17</f>
        <v>72071.756895887258</v>
      </c>
      <c r="AC112" s="381">
        <f>Income_Expense!$F$33</f>
        <v>11767.920240240295</v>
      </c>
      <c r="AD112" s="380">
        <f t="shared" si="62"/>
        <v>138959.39530002882</v>
      </c>
      <c r="AE112" s="345">
        <f t="shared" si="63"/>
        <v>50355.604699971183</v>
      </c>
      <c r="AF112" s="346">
        <f t="shared" si="64"/>
        <v>125.88901174992796</v>
      </c>
      <c r="AG112" s="347">
        <f t="shared" si="66"/>
        <v>81.746111525927247</v>
      </c>
      <c r="AH112" s="1101">
        <f t="shared" si="65"/>
        <v>83.726478803295805</v>
      </c>
    </row>
    <row r="113" spans="2:34" x14ac:dyDescent="0.2">
      <c r="B113" s="488">
        <f t="shared" si="71"/>
        <v>-0.39999999999999997</v>
      </c>
      <c r="C113" s="345">
        <f t="shared" si="67"/>
        <v>54595.583020271268</v>
      </c>
      <c r="D113" s="346">
        <f t="shared" si="68"/>
        <v>136.48895755067818</v>
      </c>
      <c r="E113" s="347">
        <f t="shared" si="69"/>
        <v>88.629193214726087</v>
      </c>
      <c r="F113" s="627">
        <f t="shared" si="61"/>
        <v>90.609560492094644</v>
      </c>
      <c r="Z113" s="393">
        <f>Income_Expense!$F$14</f>
        <v>189315</v>
      </c>
      <c r="AA113" s="372">
        <f t="shared" si="70"/>
        <v>50879.739843601179</v>
      </c>
      <c r="AB113" s="792">
        <f>Income_Expense!$F$30-Income_Expense!$F$16-Income_Expense!$F$17</f>
        <v>72071.756895887258</v>
      </c>
      <c r="AC113" s="381">
        <f>Income_Expense!$F$33</f>
        <v>11767.920240240295</v>
      </c>
      <c r="AD113" s="380">
        <f t="shared" si="62"/>
        <v>134719.41697972873</v>
      </c>
      <c r="AE113" s="345">
        <f t="shared" si="63"/>
        <v>54595.583020271268</v>
      </c>
      <c r="AF113" s="346">
        <f t="shared" si="64"/>
        <v>136.48895755067818</v>
      </c>
      <c r="AG113" s="347">
        <f t="shared" si="66"/>
        <v>88.629193214726087</v>
      </c>
      <c r="AH113" s="1101">
        <f t="shared" si="65"/>
        <v>90.609560492094644</v>
      </c>
    </row>
    <row r="114" spans="2:34" x14ac:dyDescent="0.2">
      <c r="B114" s="488">
        <f t="shared" si="71"/>
        <v>-0.44999999999999996</v>
      </c>
      <c r="C114" s="345">
        <f t="shared" si="67"/>
        <v>58835.561340571381</v>
      </c>
      <c r="D114" s="346">
        <f t="shared" si="68"/>
        <v>147.08890335142846</v>
      </c>
      <c r="E114" s="347">
        <f t="shared" si="69"/>
        <v>95.512274903524968</v>
      </c>
      <c r="F114" s="627">
        <f t="shared" si="61"/>
        <v>97.492642180893526</v>
      </c>
      <c r="Z114" s="393">
        <f>Income_Expense!$F$14</f>
        <v>189315</v>
      </c>
      <c r="AA114" s="372">
        <f t="shared" si="70"/>
        <v>46639.761523301073</v>
      </c>
      <c r="AB114" s="792">
        <f>Income_Expense!$F$30-Income_Expense!$F$16-Income_Expense!$F$17</f>
        <v>72071.756895887258</v>
      </c>
      <c r="AC114" s="381">
        <f>Income_Expense!$F$33</f>
        <v>11767.920240240295</v>
      </c>
      <c r="AD114" s="380">
        <f t="shared" si="62"/>
        <v>130479.43865942862</v>
      </c>
      <c r="AE114" s="345">
        <f t="shared" si="63"/>
        <v>58835.561340571381</v>
      </c>
      <c r="AF114" s="346">
        <f t="shared" si="64"/>
        <v>147.08890335142846</v>
      </c>
      <c r="AG114" s="347">
        <f t="shared" si="66"/>
        <v>95.512274903524968</v>
      </c>
      <c r="AH114" s="1101">
        <f t="shared" si="65"/>
        <v>97.492642180893526</v>
      </c>
    </row>
    <row r="115" spans="2:34" ht="13.5" thickBot="1" x14ac:dyDescent="0.25">
      <c r="B115" s="500">
        <f t="shared" si="71"/>
        <v>-0.49999999999999994</v>
      </c>
      <c r="C115" s="369">
        <f t="shared" si="67"/>
        <v>63075.539660871465</v>
      </c>
      <c r="D115" s="370">
        <f t="shared" si="68"/>
        <v>157.68884915217868</v>
      </c>
      <c r="E115" s="371">
        <f t="shared" si="69"/>
        <v>102.39535659232381</v>
      </c>
      <c r="F115" s="851">
        <f t="shared" si="61"/>
        <v>104.37572386969237</v>
      </c>
      <c r="Z115" s="393">
        <f>Income_Expense!$F$14</f>
        <v>189315</v>
      </c>
      <c r="AA115" s="397">
        <f t="shared" si="70"/>
        <v>42399.783203000974</v>
      </c>
      <c r="AB115" s="792">
        <f>Income_Expense!$F$30-Income_Expense!$F$16-Income_Expense!$F$17</f>
        <v>72071.756895887258</v>
      </c>
      <c r="AC115" s="381">
        <f>Income_Expense!$F$33</f>
        <v>11767.920240240295</v>
      </c>
      <c r="AD115" s="398">
        <f t="shared" si="62"/>
        <v>126239.46033912853</v>
      </c>
      <c r="AE115" s="369">
        <f t="shared" si="63"/>
        <v>63075.539660871465</v>
      </c>
      <c r="AF115" s="370">
        <f t="shared" si="64"/>
        <v>157.68884915217868</v>
      </c>
      <c r="AG115" s="371">
        <f t="shared" si="66"/>
        <v>102.39535659232381</v>
      </c>
      <c r="AH115" s="1104">
        <f t="shared" si="65"/>
        <v>104.37572386969237</v>
      </c>
    </row>
    <row r="116" spans="2:34" x14ac:dyDescent="0.2">
      <c r="AF116" s="338">
        <f>Income_Expense!$F$99</f>
        <v>400</v>
      </c>
      <c r="AG116" s="338">
        <f>AG76</f>
        <v>616</v>
      </c>
    </row>
  </sheetData>
  <sheetProtection sheet="1" objects="1" scenarios="1"/>
  <phoneticPr fontId="10" type="noConversion"/>
  <pageMargins left="0.75" right="0.75" top="1" bottom="1" header="0.5" footer="0.5"/>
  <pageSetup scale="23" orientation="landscape" r:id="rId1"/>
  <headerFooter alignWithMargins="0">
    <oddFooter>&amp;RPage 3</odd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pageSetUpPr fitToPage="1"/>
  </sheetPr>
  <dimension ref="A1:I54"/>
  <sheetViews>
    <sheetView showGridLines="0" showRowColHeaders="0" workbookViewId="0">
      <selection activeCell="D3" sqref="D3"/>
    </sheetView>
  </sheetViews>
  <sheetFormatPr defaultRowHeight="12.75" x14ac:dyDescent="0.2"/>
  <cols>
    <col min="2" max="2" width="40.7109375" customWidth="1"/>
    <col min="3" max="9" width="10.7109375" customWidth="1"/>
    <col min="10" max="12" width="12.7109375" customWidth="1"/>
  </cols>
  <sheetData>
    <row r="1" spans="1:9" x14ac:dyDescent="0.2">
      <c r="A1" s="29"/>
      <c r="B1" s="29"/>
      <c r="C1" s="29"/>
      <c r="D1" s="29"/>
      <c r="E1" s="29"/>
      <c r="F1" s="29"/>
      <c r="G1" s="29"/>
      <c r="H1" s="29"/>
      <c r="I1" s="29"/>
    </row>
    <row r="2" spans="1:9" x14ac:dyDescent="0.2">
      <c r="A2" s="29"/>
      <c r="B2" s="29"/>
      <c r="C2" s="29"/>
      <c r="D2" s="29"/>
      <c r="E2" s="29"/>
      <c r="F2" s="29"/>
      <c r="G2" s="29"/>
      <c r="H2" s="29"/>
      <c r="I2" s="29"/>
    </row>
    <row r="3" spans="1:9" x14ac:dyDescent="0.2">
      <c r="A3" s="29"/>
      <c r="B3" s="29"/>
      <c r="C3" s="29"/>
      <c r="D3" s="29"/>
      <c r="E3" s="29"/>
      <c r="F3" s="29"/>
      <c r="G3" s="29"/>
      <c r="H3" s="29"/>
      <c r="I3" s="29"/>
    </row>
    <row r="4" spans="1:9" x14ac:dyDescent="0.2">
      <c r="A4" s="29"/>
      <c r="B4" s="29"/>
      <c r="C4" s="29"/>
      <c r="D4" s="29"/>
      <c r="E4" s="29"/>
      <c r="F4" s="29"/>
      <c r="G4" s="29"/>
      <c r="H4" s="29"/>
      <c r="I4" s="29"/>
    </row>
    <row r="5" spans="1:9" x14ac:dyDescent="0.2">
      <c r="A5" s="29"/>
      <c r="B5" s="29"/>
      <c r="C5" s="29"/>
      <c r="D5" s="29"/>
      <c r="E5" s="29"/>
      <c r="F5" s="29"/>
      <c r="G5" s="29"/>
      <c r="H5" s="29"/>
      <c r="I5" s="29"/>
    </row>
    <row r="6" spans="1:9" ht="16.5" thickBot="1" x14ac:dyDescent="0.3">
      <c r="B6" s="124" t="str">
        <f>Input!$C$10</f>
        <v>Base 400 Herd</v>
      </c>
      <c r="D6" s="125" t="s">
        <v>431</v>
      </c>
    </row>
    <row r="7" spans="1:9" x14ac:dyDescent="0.2">
      <c r="B7" s="43"/>
      <c r="C7" s="126" t="s">
        <v>432</v>
      </c>
      <c r="D7" s="126" t="s">
        <v>4</v>
      </c>
      <c r="E7" s="126" t="s">
        <v>5</v>
      </c>
      <c r="F7" s="126" t="s">
        <v>6</v>
      </c>
      <c r="G7" s="126" t="s">
        <v>7</v>
      </c>
      <c r="H7" s="127" t="s">
        <v>8</v>
      </c>
    </row>
    <row r="8" spans="1:9" x14ac:dyDescent="0.2">
      <c r="B8" s="4" t="s">
        <v>433</v>
      </c>
      <c r="C8" s="128" t="s">
        <v>434</v>
      </c>
      <c r="D8" s="129"/>
      <c r="E8" s="128"/>
      <c r="F8" s="128"/>
      <c r="G8" s="128"/>
      <c r="H8" s="130"/>
    </row>
    <row r="9" spans="1:9" x14ac:dyDescent="0.2">
      <c r="B9" s="50" t="str">
        <f>Input!C385</f>
        <v>Cash</v>
      </c>
      <c r="C9" s="131">
        <f>Input!E385</f>
        <v>0</v>
      </c>
      <c r="D9" s="131">
        <f>Input!F385</f>
        <v>24300.57531183862</v>
      </c>
      <c r="E9" s="131">
        <f>Input!G385</f>
        <v>47362.634154499843</v>
      </c>
      <c r="F9" s="131">
        <f>Input!H385</f>
        <v>69258.296855229375</v>
      </c>
      <c r="G9" s="131">
        <f>Input!I385</f>
        <v>89964.235491188563</v>
      </c>
      <c r="H9" s="132">
        <f>IF((G9+Income_Expense!H43)&gt;0,(G9+Income_Expense!H43),0)</f>
        <v>109456.655581082</v>
      </c>
    </row>
    <row r="10" spans="1:9" x14ac:dyDescent="0.2">
      <c r="B10" s="50" t="str">
        <f>Input!C386</f>
        <v>Accounts Receivable</v>
      </c>
      <c r="C10" s="88">
        <f>Input!E386</f>
        <v>0</v>
      </c>
      <c r="D10" s="88">
        <f>Input!F386</f>
        <v>0</v>
      </c>
      <c r="E10" s="88">
        <f>Input!G386</f>
        <v>0</v>
      </c>
      <c r="F10" s="88">
        <f>Input!H386</f>
        <v>0</v>
      </c>
      <c r="G10" s="88">
        <f>Input!I386</f>
        <v>0</v>
      </c>
      <c r="H10" s="54">
        <f>G10</f>
        <v>0</v>
      </c>
    </row>
    <row r="11" spans="1:9" x14ac:dyDescent="0.2">
      <c r="B11" s="50" t="str">
        <f>Input!C387</f>
        <v>Market Inventory - Lambs</v>
      </c>
      <c r="C11" s="88">
        <f>Input!E387</f>
        <v>0</v>
      </c>
      <c r="D11" s="88">
        <f>Input!F387</f>
        <v>0</v>
      </c>
      <c r="E11" s="88">
        <f>Input!G387</f>
        <v>0</v>
      </c>
      <c r="F11" s="88">
        <f>Input!H387</f>
        <v>0</v>
      </c>
      <c r="G11" s="88">
        <f>Input!I387</f>
        <v>0</v>
      </c>
      <c r="H11" s="54">
        <f>G11</f>
        <v>0</v>
      </c>
    </row>
    <row r="12" spans="1:9" x14ac:dyDescent="0.2">
      <c r="B12" s="50" t="str">
        <f>Input!C390</f>
        <v>Feed Supplies/Hay/Grain</v>
      </c>
      <c r="C12" s="88">
        <f>Input!E390</f>
        <v>0</v>
      </c>
      <c r="D12" s="88">
        <f>Input!F390</f>
        <v>0</v>
      </c>
      <c r="E12" s="88">
        <f>Input!G390</f>
        <v>0</v>
      </c>
      <c r="F12" s="88">
        <f>Input!H390</f>
        <v>0</v>
      </c>
      <c r="G12" s="88">
        <f>Input!I390</f>
        <v>0</v>
      </c>
      <c r="H12" s="54">
        <f>G12</f>
        <v>0</v>
      </c>
    </row>
    <row r="13" spans="1:9" ht="13.5" thickBot="1" x14ac:dyDescent="0.25">
      <c r="B13" s="50" t="str">
        <f>Input!C391</f>
        <v>General Farm Supplies/Medication</v>
      </c>
      <c r="C13" s="88">
        <f>Input!E391</f>
        <v>0</v>
      </c>
      <c r="D13" s="88">
        <f>Input!F391</f>
        <v>0</v>
      </c>
      <c r="E13" s="88">
        <f>Input!G391</f>
        <v>0</v>
      </c>
      <c r="F13" s="88">
        <f>Input!H391</f>
        <v>0</v>
      </c>
      <c r="G13" s="88">
        <f>Input!I391</f>
        <v>0</v>
      </c>
      <c r="H13" s="54">
        <f>G13</f>
        <v>0</v>
      </c>
    </row>
    <row r="14" spans="1:9" ht="14.25" thickTop="1" thickBot="1" x14ac:dyDescent="0.25">
      <c r="B14" s="133" t="s">
        <v>435</v>
      </c>
      <c r="C14" s="134">
        <f t="shared" ref="C14:H14" si="0">SUM(C9:C13)</f>
        <v>0</v>
      </c>
      <c r="D14" s="134">
        <f t="shared" si="0"/>
        <v>24300.57531183862</v>
      </c>
      <c r="E14" s="134">
        <f t="shared" si="0"/>
        <v>47362.634154499843</v>
      </c>
      <c r="F14" s="134">
        <f t="shared" si="0"/>
        <v>69258.296855229375</v>
      </c>
      <c r="G14" s="134">
        <f t="shared" si="0"/>
        <v>89964.235491188563</v>
      </c>
      <c r="H14" s="135">
        <f t="shared" si="0"/>
        <v>109456.655581082</v>
      </c>
    </row>
    <row r="15" spans="1:9" ht="13.5" thickTop="1" x14ac:dyDescent="0.2">
      <c r="B15" s="4" t="s">
        <v>436</v>
      </c>
      <c r="C15" s="136"/>
      <c r="D15" s="137"/>
      <c r="E15" s="137"/>
      <c r="F15" s="137"/>
      <c r="G15" s="137"/>
      <c r="H15" s="138"/>
    </row>
    <row r="16" spans="1:9" x14ac:dyDescent="0.2">
      <c r="B16" s="50" t="str">
        <f>Input!$C388</f>
        <v>Breeding Stock - Ewes</v>
      </c>
      <c r="C16" s="88">
        <f>Input!E$388</f>
        <v>170000</v>
      </c>
      <c r="D16" s="88">
        <f>Input!F$388</f>
        <v>170000</v>
      </c>
      <c r="E16" s="88">
        <f>Input!G$388</f>
        <v>170000</v>
      </c>
      <c r="F16" s="88">
        <f>Input!H$388</f>
        <v>170000</v>
      </c>
      <c r="G16" s="88">
        <f>Input!I$388</f>
        <v>170000</v>
      </c>
      <c r="H16" s="54">
        <f>G16</f>
        <v>170000</v>
      </c>
    </row>
    <row r="17" spans="2:8" x14ac:dyDescent="0.2">
      <c r="B17" s="50" t="str">
        <f>Input!$C389</f>
        <v>Breeding Stock - Rams</v>
      </c>
      <c r="C17" s="88">
        <f>Input!E$389</f>
        <v>6500</v>
      </c>
      <c r="D17" s="88">
        <f>Input!F$389</f>
        <v>6500</v>
      </c>
      <c r="E17" s="88">
        <f>Input!G$389</f>
        <v>6500</v>
      </c>
      <c r="F17" s="88">
        <f>Input!H$389</f>
        <v>6500</v>
      </c>
      <c r="G17" s="88">
        <f>Input!I$389</f>
        <v>6500</v>
      </c>
      <c r="H17" s="54">
        <f>G17</f>
        <v>6500</v>
      </c>
    </row>
    <row r="18" spans="2:8" x14ac:dyDescent="0.2">
      <c r="B18" s="50" t="s">
        <v>438</v>
      </c>
      <c r="C18" s="88">
        <f>Input!E$393</f>
        <v>75000</v>
      </c>
      <c r="D18" s="88">
        <f>Input!F$393</f>
        <v>71250</v>
      </c>
      <c r="E18" s="88">
        <f>Input!G$393</f>
        <v>67687.5</v>
      </c>
      <c r="F18" s="88">
        <f>Input!H$393</f>
        <v>64303.125</v>
      </c>
      <c r="G18" s="88">
        <f>Input!I$393</f>
        <v>61087.96875</v>
      </c>
      <c r="H18" s="54">
        <f>Depreciation!N6</f>
        <v>58033.5703125</v>
      </c>
    </row>
    <row r="19" spans="2:8" x14ac:dyDescent="0.2">
      <c r="B19" s="50" t="s">
        <v>437</v>
      </c>
      <c r="C19" s="88">
        <f>Input!E$394</f>
        <v>50000</v>
      </c>
      <c r="D19" s="88">
        <f>Input!F$394</f>
        <v>45000</v>
      </c>
      <c r="E19" s="88">
        <f>Input!G$394</f>
        <v>40500</v>
      </c>
      <c r="F19" s="88">
        <f>Input!H$394</f>
        <v>36450</v>
      </c>
      <c r="G19" s="88">
        <f>Input!I$394</f>
        <v>32805</v>
      </c>
      <c r="H19" s="54">
        <f>Depreciation!N7</f>
        <v>29524.5</v>
      </c>
    </row>
    <row r="20" spans="2:8" x14ac:dyDescent="0.2">
      <c r="B20" s="50" t="s">
        <v>420</v>
      </c>
      <c r="C20" s="88">
        <f>Input!E$392</f>
        <v>100000</v>
      </c>
      <c r="D20" s="88">
        <f>Input!F$392</f>
        <v>100000</v>
      </c>
      <c r="E20" s="88">
        <f>Input!G$392</f>
        <v>100000</v>
      </c>
      <c r="F20" s="88">
        <f>Input!H$392</f>
        <v>100000</v>
      </c>
      <c r="G20" s="88">
        <f>Input!I$392</f>
        <v>100000</v>
      </c>
      <c r="H20" s="54">
        <f>Depreciation!N5</f>
        <v>100000</v>
      </c>
    </row>
    <row r="21" spans="2:8" ht="13.5" thickBot="1" x14ac:dyDescent="0.25">
      <c r="B21" s="50" t="s">
        <v>439</v>
      </c>
      <c r="C21" s="88">
        <f>Input!E$395</f>
        <v>0</v>
      </c>
      <c r="D21" s="88">
        <f>Input!F$395</f>
        <v>0</v>
      </c>
      <c r="E21" s="88">
        <f>Input!G$395</f>
        <v>0</v>
      </c>
      <c r="F21" s="88">
        <f>Input!H$395</f>
        <v>0</v>
      </c>
      <c r="G21" s="88">
        <f>Input!I$395</f>
        <v>0</v>
      </c>
      <c r="H21" s="54">
        <f>Depreciation!N8</f>
        <v>0</v>
      </c>
    </row>
    <row r="22" spans="2:8" ht="14.25" thickTop="1" thickBot="1" x14ac:dyDescent="0.25">
      <c r="B22" s="139" t="s">
        <v>440</v>
      </c>
      <c r="C22" s="140">
        <f t="shared" ref="C22:H22" si="1">SUM(C16:C21)</f>
        <v>401500</v>
      </c>
      <c r="D22" s="140">
        <f t="shared" si="1"/>
        <v>392750</v>
      </c>
      <c r="E22" s="140">
        <f t="shared" si="1"/>
        <v>384687.5</v>
      </c>
      <c r="F22" s="140">
        <f t="shared" si="1"/>
        <v>377253.125</v>
      </c>
      <c r="G22" s="140">
        <f t="shared" si="1"/>
        <v>370392.96875</v>
      </c>
      <c r="H22" s="141">
        <f t="shared" si="1"/>
        <v>364058.0703125</v>
      </c>
    </row>
    <row r="23" spans="2:8" ht="13.5" thickBot="1" x14ac:dyDescent="0.25">
      <c r="B23" s="142" t="s">
        <v>421</v>
      </c>
      <c r="C23" s="65">
        <f t="shared" ref="C23:H23" si="2">C14+C22</f>
        <v>401500</v>
      </c>
      <c r="D23" s="65">
        <f t="shared" si="2"/>
        <v>417050.57531183865</v>
      </c>
      <c r="E23" s="65">
        <f t="shared" si="2"/>
        <v>432050.13415449986</v>
      </c>
      <c r="F23" s="65">
        <f t="shared" si="2"/>
        <v>446511.42185522936</v>
      </c>
      <c r="G23" s="65">
        <f t="shared" si="2"/>
        <v>460357.20424118859</v>
      </c>
      <c r="H23" s="66">
        <f t="shared" si="2"/>
        <v>473514.72589358198</v>
      </c>
    </row>
    <row r="24" spans="2:8" x14ac:dyDescent="0.2">
      <c r="B24" s="2" t="s">
        <v>441</v>
      </c>
      <c r="C24" s="143"/>
      <c r="D24" s="44"/>
      <c r="E24" s="44"/>
      <c r="F24" s="44"/>
      <c r="G24" s="44"/>
      <c r="H24" s="144"/>
    </row>
    <row r="25" spans="2:8" x14ac:dyDescent="0.2">
      <c r="B25" s="50" t="s">
        <v>425</v>
      </c>
      <c r="C25" s="88">
        <f>Input!E$399</f>
        <v>0</v>
      </c>
      <c r="D25" s="88">
        <f>Input!F$399</f>
        <v>0</v>
      </c>
      <c r="E25" s="88">
        <f>Input!G$399</f>
        <v>0</v>
      </c>
      <c r="F25" s="88">
        <f>Input!H$399</f>
        <v>0</v>
      </c>
      <c r="G25" s="88">
        <f>Input!I$399</f>
        <v>0</v>
      </c>
      <c r="H25" s="132">
        <f>IF(Income_Expense!V54&lt;0,Income_Expense!V54*(-1),0)</f>
        <v>0</v>
      </c>
    </row>
    <row r="26" spans="2:8" x14ac:dyDescent="0.2">
      <c r="B26" s="50" t="s">
        <v>426</v>
      </c>
      <c r="C26" s="88">
        <f>Input!E$400</f>
        <v>0</v>
      </c>
      <c r="D26" s="88">
        <f>Input!F$400</f>
        <v>0</v>
      </c>
      <c r="E26" s="88">
        <f>Input!G$400</f>
        <v>0</v>
      </c>
      <c r="F26" s="88">
        <f>Input!H$400</f>
        <v>0</v>
      </c>
      <c r="G26" s="88">
        <f>Input!I$400</f>
        <v>0</v>
      </c>
      <c r="H26" s="54">
        <f>Input!J$400</f>
        <v>0</v>
      </c>
    </row>
    <row r="27" spans="2:8" x14ac:dyDescent="0.2">
      <c r="B27" s="50" t="s">
        <v>427</v>
      </c>
      <c r="C27" s="88">
        <f>Input!E$401</f>
        <v>0</v>
      </c>
      <c r="D27" s="88">
        <f>Input!F$401</f>
        <v>0</v>
      </c>
      <c r="E27" s="88">
        <f>Input!G$401</f>
        <v>0</v>
      </c>
      <c r="F27" s="88">
        <f>Input!H$401</f>
        <v>0</v>
      </c>
      <c r="G27" s="88">
        <f>Input!I$401</f>
        <v>0</v>
      </c>
      <c r="H27" s="54">
        <f>Input!J$401</f>
        <v>0</v>
      </c>
    </row>
    <row r="28" spans="2:8" ht="13.5" thickBot="1" x14ac:dyDescent="0.25">
      <c r="B28" s="50" t="s">
        <v>428</v>
      </c>
      <c r="C28" s="90">
        <f>Input!E402</f>
        <v>5573.0139973812647</v>
      </c>
      <c r="D28" s="90">
        <f>Input!F402</f>
        <v>5884.997782700917</v>
      </c>
      <c r="E28" s="90">
        <f>Input!G402</f>
        <v>6214.4687571409704</v>
      </c>
      <c r="F28" s="90">
        <f>Input!H402</f>
        <v>6562.4084009587168</v>
      </c>
      <c r="G28" s="90">
        <f>Input!I402</f>
        <v>6929.8533569169385</v>
      </c>
      <c r="H28" s="101">
        <f>Financing!E45</f>
        <v>1463.4876304423678</v>
      </c>
    </row>
    <row r="29" spans="2:8" ht="14.25" thickTop="1" thickBot="1" x14ac:dyDescent="0.25">
      <c r="B29" s="133" t="s">
        <v>442</v>
      </c>
      <c r="C29" s="145">
        <f t="shared" ref="C29:H29" si="3">SUM(C25:C28)</f>
        <v>5573.0139973812647</v>
      </c>
      <c r="D29" s="134">
        <f t="shared" si="3"/>
        <v>5884.997782700917</v>
      </c>
      <c r="E29" s="134">
        <f t="shared" si="3"/>
        <v>6214.4687571409704</v>
      </c>
      <c r="F29" s="134">
        <f t="shared" si="3"/>
        <v>6562.4084009587168</v>
      </c>
      <c r="G29" s="134">
        <f t="shared" si="3"/>
        <v>6929.8533569169385</v>
      </c>
      <c r="H29" s="135">
        <f t="shared" si="3"/>
        <v>1463.4876304423678</v>
      </c>
    </row>
    <row r="30" spans="2:8" ht="13.5" thickTop="1" x14ac:dyDescent="0.2">
      <c r="B30" s="4" t="s">
        <v>443</v>
      </c>
      <c r="C30" s="146"/>
      <c r="H30" s="87"/>
    </row>
    <row r="31" spans="2:8" x14ac:dyDescent="0.2">
      <c r="B31" s="147" t="str">
        <f>Input!C411</f>
        <v>Loan#1 - Land and Buildings</v>
      </c>
      <c r="C31" s="148">
        <f>Input!E412</f>
        <v>60000</v>
      </c>
      <c r="D31" s="88">
        <f>Financing!$F$12</f>
        <v>58906.396907263559</v>
      </c>
      <c r="E31" s="88">
        <f>Financing!$F$13</f>
        <v>57747.177628962934</v>
      </c>
      <c r="F31" s="88">
        <f>Financing!$F$14</f>
        <v>56518.405193964274</v>
      </c>
      <c r="G31" s="88">
        <f>Financing!$F$15</f>
        <v>55215.90641286569</v>
      </c>
      <c r="H31" s="54">
        <f>Financing!$F$16</f>
        <v>53835.257704901189</v>
      </c>
    </row>
    <row r="32" spans="2:8" x14ac:dyDescent="0.2">
      <c r="B32" s="147" t="str">
        <f>Input!C417</f>
        <v>Loan#2 - Machinery and Equipment</v>
      </c>
      <c r="C32" s="148">
        <f>Input!E418</f>
        <v>25000</v>
      </c>
      <c r="D32" s="88">
        <f>Financing!$L$12</f>
        <v>20520.589095355175</v>
      </c>
      <c r="E32" s="88">
        <f>Financing!$L$13</f>
        <v>15794.810590954883</v>
      </c>
      <c r="F32" s="88">
        <f>Financing!$L$14</f>
        <v>10809.114268812576</v>
      </c>
      <c r="G32" s="88">
        <f>Financing!$L$15</f>
        <v>5549.2046489524428</v>
      </c>
      <c r="H32" s="54">
        <f>Financing!$L$16</f>
        <v>0</v>
      </c>
    </row>
    <row r="33" spans="2:8" x14ac:dyDescent="0.2">
      <c r="B33" s="147" t="str">
        <f>Input!C423</f>
        <v>Loan#3 - Sheep Loan Purchase #1 (Year #1)</v>
      </c>
      <c r="C33" s="148">
        <v>0</v>
      </c>
      <c r="D33" s="148">
        <f>Input!E424</f>
        <v>0</v>
      </c>
      <c r="E33" s="88">
        <f>Financing!$R$13</f>
        <v>0</v>
      </c>
      <c r="F33" s="88">
        <f>Financing!$R$14</f>
        <v>0</v>
      </c>
      <c r="G33" s="88">
        <f>Financing!$R$15</f>
        <v>0</v>
      </c>
      <c r="H33" s="54">
        <f>Financing!$R$16</f>
        <v>0</v>
      </c>
    </row>
    <row r="34" spans="2:8" x14ac:dyDescent="0.2">
      <c r="B34" s="147" t="str">
        <f>Input!C429</f>
        <v>Loan#4 - Sheep Loan Purchase #2 (Year #2)</v>
      </c>
      <c r="C34" s="148">
        <v>0</v>
      </c>
      <c r="D34" s="148">
        <v>0</v>
      </c>
      <c r="E34" s="88">
        <f>Financing!$X$13</f>
        <v>0</v>
      </c>
      <c r="F34" s="88">
        <f>Financing!$X$14</f>
        <v>0</v>
      </c>
      <c r="G34" s="88">
        <f>Financing!$X$15</f>
        <v>0</v>
      </c>
      <c r="H34" s="54">
        <f>Financing!$X$16</f>
        <v>0</v>
      </c>
    </row>
    <row r="35" spans="2:8" x14ac:dyDescent="0.2">
      <c r="B35" s="147" t="str">
        <f>Input!C435</f>
        <v>Loan#5 - Building Purchase #3 (Year #3)</v>
      </c>
      <c r="C35" s="148">
        <v>0</v>
      </c>
      <c r="D35" s="88">
        <v>0</v>
      </c>
      <c r="E35" s="88">
        <f>Financing!$AD$14</f>
        <v>0</v>
      </c>
      <c r="F35" s="88">
        <f>Financing!$AD$15</f>
        <v>0</v>
      </c>
      <c r="G35" s="88">
        <f>Financing!$AD$16</f>
        <v>0</v>
      </c>
      <c r="H35" s="54">
        <f>Financing!$AD$17</f>
        <v>0</v>
      </c>
    </row>
    <row r="36" spans="2:8" x14ac:dyDescent="0.2">
      <c r="B36" s="147" t="str">
        <f>Input!C441</f>
        <v>Loan#6 - Sheep Loan Purchase #4 (Year #4)</v>
      </c>
      <c r="C36" s="148">
        <v>0</v>
      </c>
      <c r="D36" s="88">
        <v>0</v>
      </c>
      <c r="E36" s="88">
        <v>0</v>
      </c>
      <c r="F36" s="88">
        <f>Financing!$AJ$15</f>
        <v>0</v>
      </c>
      <c r="G36" s="88">
        <f>Financing!$AJ$16</f>
        <v>0</v>
      </c>
      <c r="H36" s="54">
        <f>Financing!$AJ$17</f>
        <v>0</v>
      </c>
    </row>
    <row r="37" spans="2:8" ht="13.5" thickBot="1" x14ac:dyDescent="0.25">
      <c r="B37" s="147" t="str">
        <f>Input!C447</f>
        <v>Loan#7 - Sheep Loan Purchase #5 (Year #5)</v>
      </c>
      <c r="C37" s="149">
        <v>0</v>
      </c>
      <c r="D37" s="88">
        <v>0</v>
      </c>
      <c r="E37" s="88">
        <v>0</v>
      </c>
      <c r="F37" s="88">
        <v>0</v>
      </c>
      <c r="G37" s="88">
        <f>Financing!$AP$16</f>
        <v>0</v>
      </c>
      <c r="H37" s="54">
        <f>Financing!$AP$17</f>
        <v>0</v>
      </c>
    </row>
    <row r="38" spans="2:8" ht="14.25" thickTop="1" thickBot="1" x14ac:dyDescent="0.25">
      <c r="B38" s="133" t="s">
        <v>444</v>
      </c>
      <c r="C38" s="150">
        <f t="shared" ref="C38:H38" si="4">SUM(C31:C37)</f>
        <v>85000</v>
      </c>
      <c r="D38" s="150">
        <f t="shared" si="4"/>
        <v>79426.986002618738</v>
      </c>
      <c r="E38" s="150">
        <f t="shared" si="4"/>
        <v>73541.98821991781</v>
      </c>
      <c r="F38" s="150">
        <f t="shared" si="4"/>
        <v>67327.519462776851</v>
      </c>
      <c r="G38" s="150">
        <f t="shared" si="4"/>
        <v>60765.111061818134</v>
      </c>
      <c r="H38" s="199">
        <f t="shared" si="4"/>
        <v>53835.257704901189</v>
      </c>
    </row>
    <row r="39" spans="2:8" ht="14.25" thickTop="1" thickBot="1" x14ac:dyDescent="0.25">
      <c r="B39" s="151" t="s">
        <v>445</v>
      </c>
      <c r="C39" s="152">
        <f t="shared" ref="C39:H39" si="5">C29+C38</f>
        <v>90573.013997381262</v>
      </c>
      <c r="D39" s="152">
        <f t="shared" si="5"/>
        <v>85311.983785319651</v>
      </c>
      <c r="E39" s="152">
        <f t="shared" si="5"/>
        <v>79756.456977058784</v>
      </c>
      <c r="F39" s="152">
        <f t="shared" si="5"/>
        <v>73889.92786373556</v>
      </c>
      <c r="G39" s="152">
        <f t="shared" si="5"/>
        <v>67694.964418735079</v>
      </c>
      <c r="H39" s="153">
        <f t="shared" si="5"/>
        <v>55298.745335343556</v>
      </c>
    </row>
    <row r="40" spans="2:8" ht="13.5" thickBot="1" x14ac:dyDescent="0.25">
      <c r="B40" s="142" t="s">
        <v>446</v>
      </c>
      <c r="C40" s="65">
        <f t="shared" ref="C40:H40" si="6">C23-C39</f>
        <v>310926.98600261874</v>
      </c>
      <c r="D40" s="65">
        <f t="shared" si="6"/>
        <v>331738.59152651898</v>
      </c>
      <c r="E40" s="65">
        <f t="shared" si="6"/>
        <v>352293.67717744107</v>
      </c>
      <c r="F40" s="65">
        <f t="shared" si="6"/>
        <v>372621.49399149383</v>
      </c>
      <c r="G40" s="65">
        <f t="shared" si="6"/>
        <v>392662.23982245353</v>
      </c>
      <c r="H40" s="154">
        <f t="shared" si="6"/>
        <v>418215.98055823846</v>
      </c>
    </row>
    <row r="50" spans="2:8" x14ac:dyDescent="0.2">
      <c r="C50" s="28" t="str">
        <f t="shared" ref="C50:H50" si="7">C7</f>
        <v>Initial</v>
      </c>
      <c r="D50" s="28" t="str">
        <f t="shared" si="7"/>
        <v>Year 1</v>
      </c>
      <c r="E50" s="28" t="str">
        <f t="shared" si="7"/>
        <v>Year 2</v>
      </c>
      <c r="F50" s="28" t="str">
        <f t="shared" si="7"/>
        <v>Year 3</v>
      </c>
      <c r="G50" s="28" t="str">
        <f t="shared" si="7"/>
        <v>Year 4</v>
      </c>
      <c r="H50" s="28" t="str">
        <f t="shared" si="7"/>
        <v>Year 5</v>
      </c>
    </row>
    <row r="51" spans="2:8" x14ac:dyDescent="0.2">
      <c r="B51" s="155" t="s">
        <v>480</v>
      </c>
      <c r="C51" s="88">
        <f t="shared" ref="C51:H51" si="8">C11+C12+C13+C16+C17</f>
        <v>176500</v>
      </c>
      <c r="D51" s="88">
        <f t="shared" si="8"/>
        <v>176500</v>
      </c>
      <c r="E51" s="88">
        <f t="shared" si="8"/>
        <v>176500</v>
      </c>
      <c r="F51" s="88">
        <f t="shared" si="8"/>
        <v>176500</v>
      </c>
      <c r="G51" s="88">
        <f t="shared" si="8"/>
        <v>176500</v>
      </c>
      <c r="H51" s="88">
        <f t="shared" si="8"/>
        <v>176500</v>
      </c>
    </row>
    <row r="52" spans="2:8" x14ac:dyDescent="0.2">
      <c r="B52" s="155" t="s">
        <v>417</v>
      </c>
      <c r="C52" s="88">
        <f t="shared" ref="C52:H52" si="9">C10</f>
        <v>0</v>
      </c>
      <c r="D52" s="88">
        <f t="shared" si="9"/>
        <v>0</v>
      </c>
      <c r="E52" s="88">
        <f t="shared" si="9"/>
        <v>0</v>
      </c>
      <c r="F52" s="88">
        <f t="shared" si="9"/>
        <v>0</v>
      </c>
      <c r="G52" s="88">
        <f t="shared" si="9"/>
        <v>0</v>
      </c>
      <c r="H52" s="88">
        <f t="shared" si="9"/>
        <v>0</v>
      </c>
    </row>
    <row r="53" spans="2:8" x14ac:dyDescent="0.2">
      <c r="B53" s="155" t="s">
        <v>426</v>
      </c>
      <c r="C53" s="88">
        <f t="shared" ref="C53:H53" si="10">C26</f>
        <v>0</v>
      </c>
      <c r="D53" s="88">
        <f t="shared" si="10"/>
        <v>0</v>
      </c>
      <c r="E53" s="88">
        <f t="shared" si="10"/>
        <v>0</v>
      </c>
      <c r="F53" s="88">
        <f t="shared" si="10"/>
        <v>0</v>
      </c>
      <c r="G53" s="88">
        <f t="shared" si="10"/>
        <v>0</v>
      </c>
      <c r="H53" s="88">
        <f t="shared" si="10"/>
        <v>0</v>
      </c>
    </row>
    <row r="54" spans="2:8" x14ac:dyDescent="0.2">
      <c r="B54" s="156" t="s">
        <v>481</v>
      </c>
      <c r="D54" s="67">
        <f>D51-C51+C53-D53+D52-C52</f>
        <v>0</v>
      </c>
      <c r="E54" s="67">
        <f>E51-D51+D53-E53+E52-D52</f>
        <v>0</v>
      </c>
      <c r="F54" s="67">
        <f>F51-E51+E53-F53+F52-E52</f>
        <v>0</v>
      </c>
      <c r="G54" s="67">
        <f>G51-F51+F53-G53+G52-F52</f>
        <v>0</v>
      </c>
      <c r="H54" s="67">
        <f>H51-G51+G53-H53+H52-G52</f>
        <v>0</v>
      </c>
    </row>
  </sheetData>
  <sheetProtection sheet="1" objects="1" scenarios="1"/>
  <phoneticPr fontId="10" type="noConversion"/>
  <pageMargins left="0.75" right="0.75" top="1" bottom="1" header="0.5" footer="0.5"/>
  <pageSetup scale="68" orientation="landscape" r:id="rId1"/>
  <headerFooter alignWithMargins="0">
    <oddFooter>&amp;CEwePLAN Copyright Government of Saskatchewan, Developed by Brad Marceniuk</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PrintBalanceSheet">
                <anchor moveWithCells="1" sizeWithCells="1">
                  <from>
                    <xdr:col>1</xdr:col>
                    <xdr:colOff>9525</xdr:colOff>
                    <xdr:row>1</xdr:row>
                    <xdr:rowOff>104775</xdr:rowOff>
                  </from>
                  <to>
                    <xdr:col>2</xdr:col>
                    <xdr:colOff>447675</xdr:colOff>
                    <xdr:row>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B2:R12"/>
  <sheetViews>
    <sheetView showGridLines="0" showRowColHeaders="0" workbookViewId="0">
      <selection activeCell="G10" sqref="G10"/>
    </sheetView>
  </sheetViews>
  <sheetFormatPr defaultRowHeight="12.75" x14ac:dyDescent="0.2"/>
  <cols>
    <col min="2" max="2" width="15.7109375" customWidth="1"/>
    <col min="3" max="12" width="12.7109375" customWidth="1"/>
    <col min="13" max="16" width="9.7109375" customWidth="1"/>
  </cols>
  <sheetData>
    <row r="2" spans="2:18" ht="16.5" thickBot="1" x14ac:dyDescent="0.3">
      <c r="E2" s="598" t="s">
        <v>846</v>
      </c>
    </row>
    <row r="3" spans="2:18" x14ac:dyDescent="0.2">
      <c r="B3" s="43"/>
      <c r="C3" s="234" t="s">
        <v>844</v>
      </c>
      <c r="D3" s="44"/>
      <c r="E3" s="44"/>
      <c r="F3" s="44"/>
      <c r="G3" s="44"/>
      <c r="H3" s="144"/>
    </row>
    <row r="4" spans="2:18" x14ac:dyDescent="0.2">
      <c r="B4" s="599"/>
      <c r="C4" s="600" t="s">
        <v>4</v>
      </c>
      <c r="D4" s="600" t="s">
        <v>5</v>
      </c>
      <c r="E4" s="600" t="s">
        <v>6</v>
      </c>
      <c r="F4" s="600" t="s">
        <v>7</v>
      </c>
      <c r="G4" s="600" t="s">
        <v>8</v>
      </c>
      <c r="H4" s="601" t="s">
        <v>843</v>
      </c>
    </row>
    <row r="5" spans="2:18" x14ac:dyDescent="0.2">
      <c r="B5" s="602" t="s">
        <v>838</v>
      </c>
      <c r="C5" s="88">
        <f>Balance_Sheet!C23</f>
        <v>401500</v>
      </c>
      <c r="D5" s="88">
        <f>Balance_Sheet!D23</f>
        <v>417050.57531183865</v>
      </c>
      <c r="E5" s="88">
        <f>Balance_Sheet!E23</f>
        <v>432050.13415449986</v>
      </c>
      <c r="F5" s="88">
        <f>Balance_Sheet!F23</f>
        <v>446511.42185522936</v>
      </c>
      <c r="G5" s="88">
        <f>Balance_Sheet!G23</f>
        <v>460357.20424118859</v>
      </c>
      <c r="H5" s="603">
        <f>AVERAGE(C5:G5)</f>
        <v>431493.86711255135</v>
      </c>
      <c r="I5" s="28"/>
      <c r="J5" s="28"/>
      <c r="K5" s="28"/>
      <c r="L5" s="28"/>
      <c r="M5" s="28"/>
      <c r="N5" s="28"/>
      <c r="O5" s="28"/>
      <c r="P5" s="28"/>
      <c r="Q5" s="28"/>
      <c r="R5" s="28"/>
    </row>
    <row r="6" spans="2:18" x14ac:dyDescent="0.2">
      <c r="B6" s="602" t="s">
        <v>839</v>
      </c>
      <c r="C6" s="88">
        <f>Balance_Sheet!C39</f>
        <v>90573.013997381262</v>
      </c>
      <c r="D6" s="88">
        <f>Balance_Sheet!D39</f>
        <v>85311.983785319651</v>
      </c>
      <c r="E6" s="88">
        <f>Balance_Sheet!E39</f>
        <v>79756.456977058784</v>
      </c>
      <c r="F6" s="88">
        <f>Balance_Sheet!F39</f>
        <v>73889.92786373556</v>
      </c>
      <c r="G6" s="88">
        <f>Balance_Sheet!G39</f>
        <v>67694.964418735079</v>
      </c>
      <c r="H6" s="603">
        <f>AVERAGE(C6:G6)</f>
        <v>79445.269408446067</v>
      </c>
      <c r="I6" s="555"/>
      <c r="J6" s="555"/>
      <c r="K6" s="555"/>
      <c r="L6" s="555"/>
    </row>
    <row r="7" spans="2:18" x14ac:dyDescent="0.2">
      <c r="B7" s="602" t="s">
        <v>840</v>
      </c>
      <c r="C7" s="88">
        <f>C5-C6</f>
        <v>310926.98600261874</v>
      </c>
      <c r="D7" s="88">
        <f>D5-D6</f>
        <v>331738.59152651898</v>
      </c>
      <c r="E7" s="88">
        <f>E5-E6</f>
        <v>352293.67717744107</v>
      </c>
      <c r="F7" s="88">
        <f>F5-F6</f>
        <v>372621.49399149383</v>
      </c>
      <c r="G7" s="88">
        <f>G5-G6</f>
        <v>392662.23982245353</v>
      </c>
      <c r="H7" s="603">
        <f>AVERAGE(C7:G7)</f>
        <v>352048.5977041052</v>
      </c>
    </row>
    <row r="8" spans="2:18" x14ac:dyDescent="0.2">
      <c r="B8" s="443"/>
      <c r="C8" s="68" t="s">
        <v>847</v>
      </c>
      <c r="H8" s="87"/>
    </row>
    <row r="9" spans="2:18" x14ac:dyDescent="0.2">
      <c r="B9" s="604" t="s">
        <v>845</v>
      </c>
      <c r="C9" s="600" t="s">
        <v>4</v>
      </c>
      <c r="D9" s="600" t="s">
        <v>5</v>
      </c>
      <c r="E9" s="600" t="s">
        <v>6</v>
      </c>
      <c r="F9" s="600" t="s">
        <v>7</v>
      </c>
      <c r="G9" s="600" t="s">
        <v>8</v>
      </c>
      <c r="H9" s="601" t="s">
        <v>843</v>
      </c>
    </row>
    <row r="10" spans="2:18" x14ac:dyDescent="0.2">
      <c r="B10" s="602" t="s">
        <v>841</v>
      </c>
      <c r="C10" s="564">
        <f>Income_Expense!D36</f>
        <v>21123.589309219911</v>
      </c>
      <c r="D10" s="564">
        <f>Income_Expense!E36</f>
        <v>20884.556625362136</v>
      </c>
      <c r="E10" s="564">
        <f>Income_Expense!F36</f>
        <v>20675.756457870506</v>
      </c>
      <c r="F10" s="564">
        <f>Income_Expense!G36</f>
        <v>20408.190786917898</v>
      </c>
      <c r="G10" s="564">
        <f>Income_Expense!H36</f>
        <v>20087.375009310374</v>
      </c>
      <c r="H10" s="605">
        <f>AVERAGE(C10:G10)</f>
        <v>20635.893637736164</v>
      </c>
    </row>
    <row r="11" spans="2:18" ht="13.5" thickBot="1" x14ac:dyDescent="0.25">
      <c r="B11" s="606" t="s">
        <v>842</v>
      </c>
      <c r="C11" s="607">
        <f>C10/C7</f>
        <v>6.7937458825275465E-2</v>
      </c>
      <c r="D11" s="607">
        <f>D10/D7</f>
        <v>6.2954860118204364E-2</v>
      </c>
      <c r="E11" s="607">
        <f>E10/E7</f>
        <v>5.8688979670380718E-2</v>
      </c>
      <c r="F11" s="607">
        <f>F10/F7</f>
        <v>5.4769225919597042E-2</v>
      </c>
      <c r="G11" s="607">
        <f>G10/G7</f>
        <v>5.1156879812006111E-2</v>
      </c>
      <c r="H11" s="608">
        <f>AVERAGE(C11:G11)</f>
        <v>5.910148086909274E-2</v>
      </c>
    </row>
    <row r="12" spans="2:18" x14ac:dyDescent="0.2">
      <c r="B12" s="261" t="s">
        <v>848</v>
      </c>
    </row>
  </sheetData>
  <sheetProtection sheet="1"/>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pageSetUpPr fitToPage="1"/>
  </sheetPr>
  <dimension ref="B3:AP203"/>
  <sheetViews>
    <sheetView showGridLines="0" showRowColHeaders="0" workbookViewId="0">
      <selection activeCell="AB15" sqref="AB15"/>
    </sheetView>
  </sheetViews>
  <sheetFormatPr defaultRowHeight="12.75" x14ac:dyDescent="0.2"/>
  <cols>
    <col min="2" max="6" width="14.7109375" customWidth="1"/>
    <col min="7" max="7" width="8.7109375" customWidth="1"/>
    <col min="8" max="12" width="14.7109375" customWidth="1"/>
    <col min="13" max="13" width="8.7109375" customWidth="1"/>
    <col min="14" max="18" width="14.7109375" customWidth="1"/>
    <col min="20" max="24" width="14.7109375" customWidth="1"/>
    <col min="26" max="30" width="14.7109375" customWidth="1"/>
    <col min="31" max="31" width="8.7109375" customWidth="1"/>
    <col min="32" max="36" width="14.7109375" customWidth="1"/>
    <col min="37" max="37" width="8.7109375" customWidth="1"/>
    <col min="38" max="43" width="14.7109375" customWidth="1"/>
  </cols>
  <sheetData>
    <row r="3" spans="2:42" ht="13.5" thickBot="1" x14ac:dyDescent="0.25"/>
    <row r="4" spans="2:42" x14ac:dyDescent="0.2">
      <c r="B4" s="2" t="str">
        <f>Input!C411</f>
        <v>Loan#1 - Land and Buildings</v>
      </c>
      <c r="C4" s="3"/>
      <c r="D4" s="3"/>
      <c r="E4" s="3"/>
      <c r="F4" s="14"/>
      <c r="G4" s="11"/>
      <c r="H4" s="2" t="str">
        <f>Input!C417</f>
        <v>Loan#2 - Machinery and Equipment</v>
      </c>
      <c r="I4" s="3"/>
      <c r="J4" s="3"/>
      <c r="K4" s="3"/>
      <c r="L4" s="14"/>
      <c r="N4" s="2" t="str">
        <f>Input!C423</f>
        <v>Loan#3 - Sheep Loan Purchase #1 (Year #1)</v>
      </c>
      <c r="O4" s="3"/>
      <c r="P4" s="3"/>
      <c r="Q4" s="3"/>
      <c r="R4" s="14"/>
      <c r="T4" s="2" t="str">
        <f>Input!C429</f>
        <v>Loan#4 - Sheep Loan Purchase #2 (Year #2)</v>
      </c>
      <c r="U4" s="3"/>
      <c r="V4" s="3"/>
      <c r="W4" s="3"/>
      <c r="X4" s="14"/>
      <c r="Z4" s="2" t="str">
        <f>Input!C435</f>
        <v>Loan#5 - Building Purchase #3 (Year #3)</v>
      </c>
      <c r="AA4" s="3"/>
      <c r="AB4" s="3"/>
      <c r="AC4" s="3"/>
      <c r="AD4" s="14"/>
      <c r="AF4" s="2" t="str">
        <f>Input!C441</f>
        <v>Loan#6 - Sheep Loan Purchase #4 (Year #4)</v>
      </c>
      <c r="AG4" s="3"/>
      <c r="AH4" s="3"/>
      <c r="AI4" s="3"/>
      <c r="AJ4" s="14"/>
      <c r="AL4" s="2" t="str">
        <f>Input!C447</f>
        <v>Loan#7 - Sheep Loan Purchase #5 (Year #5)</v>
      </c>
      <c r="AM4" s="3"/>
      <c r="AN4" s="3"/>
      <c r="AO4" s="3"/>
      <c r="AP4" s="14"/>
    </row>
    <row r="5" spans="2:42" x14ac:dyDescent="0.2">
      <c r="B5" s="4"/>
      <c r="C5" s="5"/>
      <c r="D5" s="5"/>
      <c r="E5" s="5"/>
      <c r="F5" s="15"/>
      <c r="G5" s="12"/>
      <c r="H5" s="4"/>
      <c r="I5" s="5"/>
      <c r="J5" s="5"/>
      <c r="K5" s="5"/>
      <c r="L5" s="15"/>
      <c r="N5" s="4"/>
      <c r="O5" s="5"/>
      <c r="P5" s="5"/>
      <c r="Q5" s="5"/>
      <c r="R5" s="15"/>
      <c r="T5" s="4"/>
      <c r="U5" s="5"/>
      <c r="V5" s="5"/>
      <c r="W5" s="5"/>
      <c r="X5" s="15"/>
      <c r="Z5" s="4"/>
      <c r="AA5" s="5"/>
      <c r="AB5" s="5"/>
      <c r="AC5" s="5"/>
      <c r="AD5" s="15"/>
      <c r="AF5" s="4"/>
      <c r="AG5" s="5"/>
      <c r="AH5" s="5"/>
      <c r="AI5" s="5"/>
      <c r="AJ5" s="15"/>
      <c r="AL5" s="4"/>
      <c r="AM5" s="5"/>
      <c r="AN5" s="5"/>
      <c r="AO5" s="5"/>
      <c r="AP5" s="15"/>
    </row>
    <row r="6" spans="2:42" x14ac:dyDescent="0.2">
      <c r="B6" s="30"/>
      <c r="C6" s="68" t="s">
        <v>134</v>
      </c>
      <c r="D6" s="27">
        <f>Input!E412</f>
        <v>60000</v>
      </c>
      <c r="E6" s="178">
        <f>IF(D6&gt;0,1,0)</f>
        <v>1</v>
      </c>
      <c r="F6" s="16"/>
      <c r="G6" s="13"/>
      <c r="H6" s="30"/>
      <c r="I6" s="68" t="s">
        <v>134</v>
      </c>
      <c r="J6" s="27">
        <f>Input!E418</f>
        <v>25000</v>
      </c>
      <c r="K6" s="5"/>
      <c r="L6" s="16"/>
      <c r="N6" s="4"/>
      <c r="O6" s="68" t="s">
        <v>134</v>
      </c>
      <c r="P6" s="27">
        <f>Input!E424</f>
        <v>0</v>
      </c>
      <c r="Q6" s="5"/>
      <c r="R6" s="16"/>
      <c r="T6" s="30"/>
      <c r="U6" s="68" t="s">
        <v>134</v>
      </c>
      <c r="V6" s="27">
        <f>Input!E430</f>
        <v>0</v>
      </c>
      <c r="W6" s="5"/>
      <c r="X6" s="16"/>
      <c r="Z6" s="30"/>
      <c r="AA6" s="68" t="s">
        <v>134</v>
      </c>
      <c r="AB6" s="27">
        <f>Input!E436</f>
        <v>0</v>
      </c>
      <c r="AC6" s="5"/>
      <c r="AD6" s="16"/>
      <c r="AF6" s="30"/>
      <c r="AG6" s="68" t="s">
        <v>134</v>
      </c>
      <c r="AH6" s="27">
        <f>Input!E442</f>
        <v>0</v>
      </c>
      <c r="AI6" s="5"/>
      <c r="AJ6" s="16"/>
      <c r="AL6" s="30"/>
      <c r="AM6" s="68" t="s">
        <v>134</v>
      </c>
      <c r="AN6" s="27">
        <f>Input!E448</f>
        <v>0</v>
      </c>
      <c r="AO6" s="5"/>
      <c r="AP6" s="16"/>
    </row>
    <row r="7" spans="2:42" x14ac:dyDescent="0.2">
      <c r="B7" s="30"/>
      <c r="C7" s="5" t="s">
        <v>124</v>
      </c>
      <c r="D7" s="25">
        <f>Input!E413</f>
        <v>0.06</v>
      </c>
      <c r="E7" s="8">
        <f>D7/12</f>
        <v>5.0000000000000001E-3</v>
      </c>
      <c r="F7" s="17"/>
      <c r="G7" s="6"/>
      <c r="H7" s="30"/>
      <c r="I7" s="5" t="s">
        <v>124</v>
      </c>
      <c r="J7" s="25">
        <f>Input!E419</f>
        <v>5.5E-2</v>
      </c>
      <c r="K7" s="5"/>
      <c r="L7" s="17"/>
      <c r="N7" s="30"/>
      <c r="O7" s="5" t="s">
        <v>124</v>
      </c>
      <c r="P7" s="25">
        <f>Input!E425</f>
        <v>0</v>
      </c>
      <c r="Q7" s="5"/>
      <c r="R7" s="17"/>
      <c r="T7" s="30"/>
      <c r="U7" s="5" t="s">
        <v>124</v>
      </c>
      <c r="V7" s="25">
        <f>Input!E431</f>
        <v>0</v>
      </c>
      <c r="W7" s="5"/>
      <c r="X7" s="17"/>
      <c r="Z7" s="30"/>
      <c r="AA7" s="5" t="s">
        <v>124</v>
      </c>
      <c r="AB7" s="25">
        <f>Input!E437</f>
        <v>0</v>
      </c>
      <c r="AC7" s="5"/>
      <c r="AD7" s="17"/>
      <c r="AF7" s="30"/>
      <c r="AG7" s="5" t="s">
        <v>124</v>
      </c>
      <c r="AH7" s="25">
        <f>Input!E443</f>
        <v>0</v>
      </c>
      <c r="AI7" s="5"/>
      <c r="AJ7" s="17"/>
      <c r="AL7" s="30"/>
      <c r="AM7" s="5" t="s">
        <v>124</v>
      </c>
      <c r="AN7" s="25">
        <f>Input!E449</f>
        <v>0</v>
      </c>
      <c r="AO7" s="5"/>
      <c r="AP7" s="17"/>
    </row>
    <row r="8" spans="2:42" x14ac:dyDescent="0.2">
      <c r="B8" s="30"/>
      <c r="C8" s="5" t="s">
        <v>140</v>
      </c>
      <c r="D8" s="26">
        <f>Input!E414</f>
        <v>25</v>
      </c>
      <c r="E8" s="9">
        <f>D8*12</f>
        <v>300</v>
      </c>
      <c r="F8" s="17"/>
      <c r="G8" s="6"/>
      <c r="H8" s="30"/>
      <c r="I8" s="5" t="s">
        <v>140</v>
      </c>
      <c r="J8" s="91">
        <f>Input!E420</f>
        <v>5</v>
      </c>
      <c r="K8" s="5"/>
      <c r="L8" s="17"/>
      <c r="N8" s="30"/>
      <c r="O8" s="5" t="s">
        <v>140</v>
      </c>
      <c r="P8" s="92">
        <f>Input!E426</f>
        <v>5</v>
      </c>
      <c r="Q8" s="5"/>
      <c r="R8" s="17"/>
      <c r="T8" s="30"/>
      <c r="U8" s="5" t="s">
        <v>140</v>
      </c>
      <c r="V8" s="92">
        <f>Input!E432</f>
        <v>5</v>
      </c>
      <c r="W8" s="185" t="s">
        <v>498</v>
      </c>
      <c r="X8" s="93">
        <f>V8+1</f>
        <v>6</v>
      </c>
      <c r="Z8" s="30"/>
      <c r="AA8" s="5" t="s">
        <v>140</v>
      </c>
      <c r="AB8" s="92">
        <f>Input!E438</f>
        <v>0</v>
      </c>
      <c r="AC8" s="185" t="s">
        <v>498</v>
      </c>
      <c r="AD8" s="93">
        <f>AB8+2</f>
        <v>2</v>
      </c>
      <c r="AF8" s="30"/>
      <c r="AG8" s="5" t="s">
        <v>140</v>
      </c>
      <c r="AH8" s="92">
        <f>Input!E444</f>
        <v>0</v>
      </c>
      <c r="AI8" s="5" t="s">
        <v>498</v>
      </c>
      <c r="AJ8" s="93">
        <f>AH8+3</f>
        <v>3</v>
      </c>
      <c r="AL8" s="30"/>
      <c r="AM8" s="5" t="s">
        <v>140</v>
      </c>
      <c r="AN8" s="92">
        <f>Input!E450</f>
        <v>0</v>
      </c>
      <c r="AO8" s="185" t="s">
        <v>498</v>
      </c>
      <c r="AP8" s="93">
        <f>AN8+4</f>
        <v>4</v>
      </c>
    </row>
    <row r="9" spans="2:42" x14ac:dyDescent="0.2">
      <c r="B9" s="30"/>
      <c r="C9" s="5" t="s">
        <v>135</v>
      </c>
      <c r="D9" s="31">
        <f>IF(D6&gt;0,PMT(D7,D8,D6,0,0)*(-1),0)</f>
        <v>4693.6030927364391</v>
      </c>
      <c r="E9" s="170">
        <f>IF(D6&gt;0,-PMT(E7,E8,D6),0)</f>
        <v>386.58084089130512</v>
      </c>
      <c r="F9" s="17"/>
      <c r="G9" s="6"/>
      <c r="H9" s="30"/>
      <c r="I9" s="5" t="s">
        <v>135</v>
      </c>
      <c r="J9" s="31">
        <f>IF(J6&gt;0,PMT(J7,J8,J6,0,0)*(-1),0)</f>
        <v>5854.4109046448257</v>
      </c>
      <c r="K9" s="5"/>
      <c r="L9" s="17"/>
      <c r="N9" s="30"/>
      <c r="O9" s="5" t="s">
        <v>135</v>
      </c>
      <c r="P9" s="31">
        <f>IF(P6&gt;0,PMT(P7,P8,P6,0,0)*(-1),0)</f>
        <v>0</v>
      </c>
      <c r="Q9" s="5"/>
      <c r="R9" s="17"/>
      <c r="T9" s="30"/>
      <c r="U9" s="5" t="s">
        <v>135</v>
      </c>
      <c r="V9" s="31">
        <f>IF(V6&gt;0,PMT(V7,V8,V6,0,0)*(-1),0)</f>
        <v>0</v>
      </c>
      <c r="X9" s="87"/>
      <c r="Z9" s="30"/>
      <c r="AA9" s="5" t="s">
        <v>135</v>
      </c>
      <c r="AB9" s="31">
        <f>IF(AB6&gt;0,PMT(AB7,AB8,AB6,0,0)*(-1),0)</f>
        <v>0</v>
      </c>
      <c r="AD9" s="87"/>
      <c r="AF9" s="30"/>
      <c r="AG9" s="5" t="s">
        <v>135</v>
      </c>
      <c r="AH9" s="31">
        <f>IF(AH6&gt;0,PMT(AH7,AH8,AH6,0,0)*(-1),0)</f>
        <v>0</v>
      </c>
      <c r="AJ9" s="87"/>
      <c r="AL9" s="30"/>
      <c r="AM9" s="5" t="s">
        <v>135</v>
      </c>
      <c r="AN9" s="31">
        <f>IF(AN6&gt;0,PMT(AN7,AN8,AN6,0,0)*(-1),0)</f>
        <v>0</v>
      </c>
      <c r="AP9" s="87"/>
    </row>
    <row r="10" spans="2:42" ht="13.5" thickBot="1" x14ac:dyDescent="0.25">
      <c r="B10" s="197"/>
      <c r="C10" s="198"/>
      <c r="D10" s="198"/>
      <c r="E10" s="10"/>
      <c r="F10" s="18"/>
      <c r="G10" s="6"/>
      <c r="H10" s="197"/>
      <c r="J10" s="24"/>
      <c r="K10" s="10"/>
      <c r="L10" s="18"/>
      <c r="N10" s="197"/>
      <c r="P10" s="24"/>
      <c r="Q10" s="10"/>
      <c r="R10" s="18"/>
      <c r="T10" s="197"/>
      <c r="U10" s="198"/>
      <c r="V10" s="24"/>
      <c r="W10" s="10"/>
      <c r="X10" s="18"/>
      <c r="Z10" s="197"/>
      <c r="AA10" s="198"/>
      <c r="AB10" s="24"/>
      <c r="AC10" s="10"/>
      <c r="AD10" s="18"/>
      <c r="AF10" s="197"/>
      <c r="AG10" s="198"/>
      <c r="AH10" s="24"/>
      <c r="AI10" s="10"/>
      <c r="AJ10" s="18"/>
      <c r="AL10" s="197"/>
      <c r="AM10" s="198"/>
      <c r="AN10" s="24"/>
      <c r="AO10" s="10"/>
      <c r="AP10" s="18"/>
    </row>
    <row r="11" spans="2:42" x14ac:dyDescent="0.2">
      <c r="B11" s="21" t="s">
        <v>497</v>
      </c>
      <c r="C11" s="22" t="s">
        <v>139</v>
      </c>
      <c r="D11" s="22" t="s">
        <v>138</v>
      </c>
      <c r="E11" s="22" t="s">
        <v>136</v>
      </c>
      <c r="F11" s="23" t="s">
        <v>137</v>
      </c>
      <c r="G11" s="6"/>
      <c r="H11" s="21" t="s">
        <v>497</v>
      </c>
      <c r="I11" s="22" t="s">
        <v>139</v>
      </c>
      <c r="J11" s="22" t="s">
        <v>138</v>
      </c>
      <c r="K11" s="22" t="s">
        <v>136</v>
      </c>
      <c r="L11" s="23" t="s">
        <v>137</v>
      </c>
      <c r="N11" s="21" t="s">
        <v>497</v>
      </c>
      <c r="O11" s="22" t="s">
        <v>139</v>
      </c>
      <c r="P11" s="22" t="s">
        <v>138</v>
      </c>
      <c r="Q11" s="22" t="s">
        <v>136</v>
      </c>
      <c r="R11" s="23" t="s">
        <v>137</v>
      </c>
      <c r="T11" s="21" t="s">
        <v>497</v>
      </c>
      <c r="U11" s="22" t="s">
        <v>139</v>
      </c>
      <c r="V11" s="22" t="s">
        <v>138</v>
      </c>
      <c r="W11" s="22" t="s">
        <v>136</v>
      </c>
      <c r="X11" s="23" t="s">
        <v>137</v>
      </c>
      <c r="Z11" s="21" t="s">
        <v>497</v>
      </c>
      <c r="AA11" s="22" t="s">
        <v>139</v>
      </c>
      <c r="AB11" s="22" t="s">
        <v>138</v>
      </c>
      <c r="AC11" s="22" t="s">
        <v>136</v>
      </c>
      <c r="AD11" s="23" t="s">
        <v>137</v>
      </c>
      <c r="AF11" s="21" t="s">
        <v>497</v>
      </c>
      <c r="AG11" s="22" t="s">
        <v>139</v>
      </c>
      <c r="AH11" s="22" t="s">
        <v>138</v>
      </c>
      <c r="AI11" s="22" t="s">
        <v>136</v>
      </c>
      <c r="AJ11" s="23" t="s">
        <v>137</v>
      </c>
      <c r="AL11" s="21" t="s">
        <v>497</v>
      </c>
      <c r="AM11" s="22" t="s">
        <v>139</v>
      </c>
      <c r="AN11" s="22" t="s">
        <v>138</v>
      </c>
      <c r="AO11" s="22" t="s">
        <v>136</v>
      </c>
      <c r="AP11" s="23" t="s">
        <v>137</v>
      </c>
    </row>
    <row r="12" spans="2:42" x14ac:dyDescent="0.2">
      <c r="B12" s="20">
        <v>1</v>
      </c>
      <c r="C12" s="7">
        <f>IF(B12&lt;=$D$8,$D$9,0)</f>
        <v>4693.6030927364391</v>
      </c>
      <c r="D12" s="32">
        <f>IF(D6&gt;0,D6*$D$7,0)</f>
        <v>3600</v>
      </c>
      <c r="E12" s="32">
        <f>C12-D12</f>
        <v>1093.6030927364391</v>
      </c>
      <c r="F12" s="33">
        <f>D6-E12</f>
        <v>58906.396907263559</v>
      </c>
      <c r="G12" s="5"/>
      <c r="H12" s="20">
        <v>1</v>
      </c>
      <c r="I12" s="7">
        <f>IF(H12&lt;=$J$8,$J$9,0)</f>
        <v>5854.4109046448257</v>
      </c>
      <c r="J12" s="32">
        <f>IF(J6&gt;0,J6*$J$7,0)</f>
        <v>1375</v>
      </c>
      <c r="K12" s="32">
        <f>I12-J12</f>
        <v>4479.4109046448257</v>
      </c>
      <c r="L12" s="33">
        <f>J6-K12</f>
        <v>20520.589095355175</v>
      </c>
      <c r="N12" s="20">
        <v>1</v>
      </c>
      <c r="O12" s="586"/>
      <c r="P12" s="586"/>
      <c r="Q12" s="586"/>
      <c r="R12" s="33">
        <f>P6-Q12</f>
        <v>0</v>
      </c>
      <c r="T12" s="20">
        <v>1</v>
      </c>
      <c r="U12" s="7" t="s">
        <v>1</v>
      </c>
      <c r="V12" s="32"/>
      <c r="W12" s="32"/>
      <c r="X12" s="33"/>
      <c r="Z12" s="20">
        <v>1</v>
      </c>
      <c r="AA12" s="7"/>
      <c r="AB12" s="32"/>
      <c r="AC12" s="32"/>
      <c r="AD12" s="33"/>
      <c r="AF12" s="20">
        <v>1</v>
      </c>
      <c r="AG12" s="7"/>
      <c r="AH12" s="32"/>
      <c r="AI12" s="32"/>
      <c r="AJ12" s="33"/>
      <c r="AL12" s="20">
        <v>1</v>
      </c>
      <c r="AM12" s="7"/>
      <c r="AN12" s="32"/>
      <c r="AO12" s="32"/>
      <c r="AP12" s="33"/>
    </row>
    <row r="13" spans="2:42" x14ac:dyDescent="0.2">
      <c r="B13" s="19">
        <f>B12+1</f>
        <v>2</v>
      </c>
      <c r="C13" s="7">
        <f t="shared" ref="C13:C36" si="0">IF(B13&lt;=$D$8,$D$9,0)</f>
        <v>4693.6030927364391</v>
      </c>
      <c r="D13" s="32">
        <f>IF(F12&gt;0,F12*$D$7,0)</f>
        <v>3534.3838144358133</v>
      </c>
      <c r="E13" s="32">
        <f t="shared" ref="E13:E36" si="1">C13-D13</f>
        <v>1159.2192783006258</v>
      </c>
      <c r="F13" s="34">
        <f>F12-E13</f>
        <v>57747.177628962934</v>
      </c>
      <c r="G13" s="5"/>
      <c r="H13" s="19">
        <f t="shared" ref="H13:H36" si="2">H12+1</f>
        <v>2</v>
      </c>
      <c r="I13" s="7">
        <f t="shared" ref="I13:I36" si="3">IF(H13&lt;=$J$8,$J$9,0)</f>
        <v>5854.4109046448257</v>
      </c>
      <c r="J13" s="32">
        <f>IF(L12&gt;0,L12*$J$7,0)</f>
        <v>1128.6324002445347</v>
      </c>
      <c r="K13" s="32">
        <f t="shared" ref="K13:K36" si="4">I13-J13</f>
        <v>4725.7785044002912</v>
      </c>
      <c r="L13" s="34">
        <f t="shared" ref="L13:L36" si="5">L12-K13</f>
        <v>15794.810590954883</v>
      </c>
      <c r="N13" s="20">
        <f t="shared" ref="N13:N36" si="6">N12+1</f>
        <v>2</v>
      </c>
      <c r="O13" s="7">
        <f t="shared" ref="O13:O36" si="7">IF(N12&lt;=$P$8,$P$9,0)</f>
        <v>0</v>
      </c>
      <c r="P13" s="32">
        <f>IF(P6&gt;0,P6*$P$7,0)</f>
        <v>0</v>
      </c>
      <c r="Q13" s="32">
        <f t="shared" ref="Q13:Q36" si="8">O13-P13</f>
        <v>0</v>
      </c>
      <c r="R13" s="33">
        <f>P6-Q13</f>
        <v>0</v>
      </c>
      <c r="T13" s="19">
        <f t="shared" ref="T13:T36" si="9">T12+1</f>
        <v>2</v>
      </c>
      <c r="V13" s="586"/>
      <c r="W13" s="586"/>
      <c r="X13" s="34">
        <f>V6-W13</f>
        <v>0</v>
      </c>
      <c r="Z13" s="19">
        <f t="shared" ref="Z13:Z36" si="10">Z12+1</f>
        <v>2</v>
      </c>
      <c r="AA13" s="7"/>
      <c r="AB13" s="32"/>
      <c r="AC13" s="32"/>
      <c r="AD13" s="34"/>
      <c r="AF13" s="19">
        <f t="shared" ref="AF13:AF36" si="11">AF12+1</f>
        <v>2</v>
      </c>
      <c r="AG13" s="7"/>
      <c r="AH13" s="32"/>
      <c r="AI13" s="32"/>
      <c r="AJ13" s="34"/>
      <c r="AL13" s="19">
        <f t="shared" ref="AL13:AL36" si="12">AL12+1</f>
        <v>2</v>
      </c>
      <c r="AM13" s="7"/>
      <c r="AN13" s="32"/>
      <c r="AO13" s="32"/>
      <c r="AP13" s="34"/>
    </row>
    <row r="14" spans="2:42" x14ac:dyDescent="0.2">
      <c r="B14" s="19">
        <f t="shared" ref="B14:B32" si="13">B13+1</f>
        <v>3</v>
      </c>
      <c r="C14" s="7">
        <f t="shared" si="0"/>
        <v>4693.6030927364391</v>
      </c>
      <c r="D14" s="32">
        <f t="shared" ref="D14:D36" si="14">IF(F13&gt;0,F13*$D$7,0)</f>
        <v>3464.8306577377757</v>
      </c>
      <c r="E14" s="32">
        <f t="shared" si="1"/>
        <v>1228.7724349986634</v>
      </c>
      <c r="F14" s="34">
        <f t="shared" ref="F14:F36" si="15">F13-E14</f>
        <v>56518.405193964274</v>
      </c>
      <c r="G14" s="5"/>
      <c r="H14" s="19">
        <f t="shared" si="2"/>
        <v>3</v>
      </c>
      <c r="I14" s="7">
        <f t="shared" si="3"/>
        <v>5854.4109046448257</v>
      </c>
      <c r="J14" s="32">
        <f t="shared" ref="J14:J36" si="16">IF(L13&gt;0,L13*$J$7,0)</f>
        <v>868.71458250251862</v>
      </c>
      <c r="K14" s="32">
        <f t="shared" si="4"/>
        <v>4985.6963221423066</v>
      </c>
      <c r="L14" s="34">
        <f t="shared" si="5"/>
        <v>10809.114268812576</v>
      </c>
      <c r="N14" s="20">
        <f t="shared" si="6"/>
        <v>3</v>
      </c>
      <c r="O14" s="7">
        <f t="shared" si="7"/>
        <v>0</v>
      </c>
      <c r="P14" s="32">
        <f t="shared" ref="P14:P36" si="17">IF(R13&gt;0,R13*$P$7,0)</f>
        <v>0</v>
      </c>
      <c r="Q14" s="32">
        <f t="shared" si="8"/>
        <v>0</v>
      </c>
      <c r="R14" s="33">
        <f t="shared" ref="R14:R36" si="18">R13-Q14</f>
        <v>0</v>
      </c>
      <c r="T14" s="19">
        <f t="shared" si="9"/>
        <v>3</v>
      </c>
      <c r="U14" s="7">
        <f t="shared" ref="U14:U36" si="19">IF(T13&lt;=$X$8,$V$9,0)</f>
        <v>0</v>
      </c>
      <c r="V14" s="32">
        <f>IF(V6&gt;0,V6*$V$7,0)</f>
        <v>0</v>
      </c>
      <c r="W14" s="32">
        <f t="shared" ref="W14:W36" si="20">U14-V14</f>
        <v>0</v>
      </c>
      <c r="X14" s="34">
        <f>V6-W14</f>
        <v>0</v>
      </c>
      <c r="Z14" s="19">
        <f t="shared" si="10"/>
        <v>3</v>
      </c>
      <c r="AB14" s="586"/>
      <c r="AC14" s="586"/>
      <c r="AD14" s="34">
        <f>AB6-AC14</f>
        <v>0</v>
      </c>
      <c r="AF14" s="19">
        <f t="shared" si="11"/>
        <v>3</v>
      </c>
      <c r="AG14" s="7"/>
      <c r="AH14" s="32"/>
      <c r="AI14" s="32"/>
      <c r="AJ14" s="34"/>
      <c r="AL14" s="19">
        <f t="shared" si="12"/>
        <v>3</v>
      </c>
      <c r="AM14" s="7"/>
      <c r="AN14" s="32"/>
      <c r="AO14" s="32"/>
      <c r="AP14" s="34"/>
    </row>
    <row r="15" spans="2:42" x14ac:dyDescent="0.2">
      <c r="B15" s="19">
        <f t="shared" si="13"/>
        <v>4</v>
      </c>
      <c r="C15" s="7">
        <f t="shared" si="0"/>
        <v>4693.6030927364391</v>
      </c>
      <c r="D15" s="32">
        <f t="shared" si="14"/>
        <v>3391.1043116378564</v>
      </c>
      <c r="E15" s="32">
        <f t="shared" si="1"/>
        <v>1302.4987810985826</v>
      </c>
      <c r="F15" s="34">
        <f t="shared" si="15"/>
        <v>55215.90641286569</v>
      </c>
      <c r="G15" s="5"/>
      <c r="H15" s="19">
        <f t="shared" si="2"/>
        <v>4</v>
      </c>
      <c r="I15" s="7">
        <f t="shared" si="3"/>
        <v>5854.4109046448257</v>
      </c>
      <c r="J15" s="32">
        <f t="shared" si="16"/>
        <v>594.50128478469173</v>
      </c>
      <c r="K15" s="32">
        <f t="shared" si="4"/>
        <v>5259.9096198601337</v>
      </c>
      <c r="L15" s="34">
        <f t="shared" si="5"/>
        <v>5549.2046489524428</v>
      </c>
      <c r="N15" s="20">
        <f t="shared" si="6"/>
        <v>4</v>
      </c>
      <c r="O15" s="7">
        <f t="shared" si="7"/>
        <v>0</v>
      </c>
      <c r="P15" s="32">
        <f t="shared" si="17"/>
        <v>0</v>
      </c>
      <c r="Q15" s="32">
        <f t="shared" si="8"/>
        <v>0</v>
      </c>
      <c r="R15" s="33">
        <f t="shared" si="18"/>
        <v>0</v>
      </c>
      <c r="T15" s="19">
        <f t="shared" si="9"/>
        <v>4</v>
      </c>
      <c r="U15" s="7">
        <f t="shared" si="19"/>
        <v>0</v>
      </c>
      <c r="V15" s="32">
        <f>IF(X14&gt;0,X14*$V$7,0)</f>
        <v>0</v>
      </c>
      <c r="W15" s="32">
        <f t="shared" si="20"/>
        <v>0</v>
      </c>
      <c r="X15" s="34">
        <f t="shared" ref="X15:X36" si="21">X14-W15</f>
        <v>0</v>
      </c>
      <c r="Z15" s="19">
        <f t="shared" si="10"/>
        <v>4</v>
      </c>
      <c r="AA15" s="587">
        <f t="shared" ref="AA15:AA36" si="22">IF(Z14&lt;=$AD$8,$AB$9,0)</f>
        <v>0</v>
      </c>
      <c r="AB15" s="32">
        <f>IF(AB6&gt;0,AB6*$AB$7,0)</f>
        <v>0</v>
      </c>
      <c r="AC15" s="32">
        <f t="shared" ref="AC15:AC36" si="23">AA15-AB15</f>
        <v>0</v>
      </c>
      <c r="AD15" s="34">
        <f>AB6-AC15</f>
        <v>0</v>
      </c>
      <c r="AF15" s="19">
        <f t="shared" si="11"/>
        <v>4</v>
      </c>
      <c r="AH15" s="586"/>
      <c r="AI15" s="586"/>
      <c r="AJ15" s="34">
        <f>AH6-AI15</f>
        <v>0</v>
      </c>
      <c r="AL15" s="19">
        <f t="shared" si="12"/>
        <v>4</v>
      </c>
      <c r="AM15" s="7"/>
      <c r="AN15" s="32"/>
      <c r="AO15" s="32"/>
      <c r="AP15" s="34"/>
    </row>
    <row r="16" spans="2:42" x14ac:dyDescent="0.2">
      <c r="B16" s="19">
        <f t="shared" si="13"/>
        <v>5</v>
      </c>
      <c r="C16" s="7">
        <f t="shared" si="0"/>
        <v>4693.6030927364391</v>
      </c>
      <c r="D16" s="32">
        <f t="shared" si="14"/>
        <v>3312.9543847719415</v>
      </c>
      <c r="E16" s="32">
        <f t="shared" si="1"/>
        <v>1380.6487079644976</v>
      </c>
      <c r="F16" s="34">
        <f t="shared" si="15"/>
        <v>53835.257704901189</v>
      </c>
      <c r="G16" s="5"/>
      <c r="H16" s="19">
        <f t="shared" si="2"/>
        <v>5</v>
      </c>
      <c r="I16" s="7">
        <f t="shared" si="3"/>
        <v>5854.4109046448257</v>
      </c>
      <c r="J16" s="32">
        <f t="shared" si="16"/>
        <v>305.20625569238433</v>
      </c>
      <c r="K16" s="32">
        <f t="shared" si="4"/>
        <v>5549.2046489524409</v>
      </c>
      <c r="L16" s="34">
        <f t="shared" si="5"/>
        <v>0</v>
      </c>
      <c r="N16" s="19">
        <f t="shared" si="6"/>
        <v>5</v>
      </c>
      <c r="O16" s="7">
        <f t="shared" si="7"/>
        <v>0</v>
      </c>
      <c r="P16" s="32">
        <f t="shared" si="17"/>
        <v>0</v>
      </c>
      <c r="Q16" s="32">
        <f t="shared" si="8"/>
        <v>0</v>
      </c>
      <c r="R16" s="34">
        <f t="shared" si="18"/>
        <v>0</v>
      </c>
      <c r="T16" s="19">
        <f t="shared" si="9"/>
        <v>5</v>
      </c>
      <c r="U16" s="7">
        <f t="shared" si="19"/>
        <v>0</v>
      </c>
      <c r="V16" s="32">
        <f t="shared" ref="V16:V36" si="24">IF(X15&gt;0,X15*$V$7,0)</f>
        <v>0</v>
      </c>
      <c r="W16" s="32">
        <f t="shared" si="20"/>
        <v>0</v>
      </c>
      <c r="X16" s="34">
        <f t="shared" si="21"/>
        <v>0</v>
      </c>
      <c r="Z16" s="19">
        <f t="shared" si="10"/>
        <v>5</v>
      </c>
      <c r="AA16" s="587">
        <f t="shared" si="22"/>
        <v>0</v>
      </c>
      <c r="AB16" s="32">
        <f t="shared" ref="AB16:AB36" si="25">IF(AD15&gt;0,AD15*$AB$7,0)</f>
        <v>0</v>
      </c>
      <c r="AC16" s="32">
        <f t="shared" si="23"/>
        <v>0</v>
      </c>
      <c r="AD16" s="34">
        <f t="shared" ref="AD16:AD36" si="26">AD15-AC16</f>
        <v>0</v>
      </c>
      <c r="AF16" s="19">
        <f t="shared" si="11"/>
        <v>5</v>
      </c>
      <c r="AG16" s="587">
        <f t="shared" ref="AG16:AG36" si="27">IF(AF15&lt;=$AJ$8,$AH$9,0)</f>
        <v>0</v>
      </c>
      <c r="AH16" s="32">
        <f>IF(AH6&gt;0,AH6*$AH$7,0)</f>
        <v>0</v>
      </c>
      <c r="AI16" s="32">
        <f t="shared" ref="AI16:AI36" si="28">AG16-AH16</f>
        <v>0</v>
      </c>
      <c r="AJ16" s="34">
        <f>AH6-AI16</f>
        <v>0</v>
      </c>
      <c r="AL16" s="19">
        <f t="shared" si="12"/>
        <v>5</v>
      </c>
      <c r="AN16" s="586"/>
      <c r="AO16" s="586"/>
      <c r="AP16" s="34">
        <f>AN6-AO16</f>
        <v>0</v>
      </c>
    </row>
    <row r="17" spans="2:42" x14ac:dyDescent="0.2">
      <c r="B17" s="19">
        <f t="shared" si="13"/>
        <v>6</v>
      </c>
      <c r="C17" s="7">
        <f t="shared" si="0"/>
        <v>4693.6030927364391</v>
      </c>
      <c r="D17" s="32">
        <f t="shared" si="14"/>
        <v>3230.1154622940712</v>
      </c>
      <c r="E17" s="32">
        <f t="shared" si="1"/>
        <v>1463.4876304423678</v>
      </c>
      <c r="F17" s="34">
        <f t="shared" si="15"/>
        <v>52371.770074458822</v>
      </c>
      <c r="G17" s="5"/>
      <c r="H17" s="19">
        <f t="shared" si="2"/>
        <v>6</v>
      </c>
      <c r="I17" s="7">
        <f t="shared" si="3"/>
        <v>0</v>
      </c>
      <c r="J17" s="32">
        <f t="shared" si="16"/>
        <v>0</v>
      </c>
      <c r="K17" s="32">
        <f t="shared" si="4"/>
        <v>0</v>
      </c>
      <c r="L17" s="34">
        <f t="shared" si="5"/>
        <v>0</v>
      </c>
      <c r="N17" s="19">
        <f t="shared" si="6"/>
        <v>6</v>
      </c>
      <c r="O17" s="7">
        <f t="shared" si="7"/>
        <v>0</v>
      </c>
      <c r="P17" s="32">
        <f t="shared" si="17"/>
        <v>0</v>
      </c>
      <c r="Q17" s="32">
        <f t="shared" si="8"/>
        <v>0</v>
      </c>
      <c r="R17" s="34">
        <f t="shared" si="18"/>
        <v>0</v>
      </c>
      <c r="T17" s="19">
        <f t="shared" si="9"/>
        <v>6</v>
      </c>
      <c r="U17" s="7">
        <f t="shared" si="19"/>
        <v>0</v>
      </c>
      <c r="V17" s="32">
        <f t="shared" si="24"/>
        <v>0</v>
      </c>
      <c r="W17" s="32">
        <f t="shared" si="20"/>
        <v>0</v>
      </c>
      <c r="X17" s="34">
        <f t="shared" si="21"/>
        <v>0</v>
      </c>
      <c r="Z17" s="19">
        <f t="shared" si="10"/>
        <v>6</v>
      </c>
      <c r="AA17" s="587">
        <f t="shared" si="22"/>
        <v>0</v>
      </c>
      <c r="AB17" s="32">
        <f t="shared" si="25"/>
        <v>0</v>
      </c>
      <c r="AC17" s="32">
        <f t="shared" si="23"/>
        <v>0</v>
      </c>
      <c r="AD17" s="34">
        <f t="shared" si="26"/>
        <v>0</v>
      </c>
      <c r="AF17" s="19">
        <f t="shared" si="11"/>
        <v>6</v>
      </c>
      <c r="AG17" s="587">
        <f t="shared" si="27"/>
        <v>0</v>
      </c>
      <c r="AH17" s="32">
        <f t="shared" ref="AH17:AH36" si="29">IF(AJ16&gt;0,AJ16*$AH$7,0)</f>
        <v>0</v>
      </c>
      <c r="AI17" s="32">
        <f t="shared" si="28"/>
        <v>0</v>
      </c>
      <c r="AJ17" s="34">
        <f t="shared" ref="AJ17:AJ36" si="30">AJ16-AI17</f>
        <v>0</v>
      </c>
      <c r="AL17" s="19">
        <f t="shared" si="12"/>
        <v>6</v>
      </c>
      <c r="AM17" s="7">
        <f t="shared" ref="AM17:AM36" si="31">IF(AL16&lt;=$AP$8,$AN$9,0)</f>
        <v>0</v>
      </c>
      <c r="AN17" s="32">
        <f>IF(AN6&gt;0,AN6*$AN$7,0)</f>
        <v>0</v>
      </c>
      <c r="AO17" s="32">
        <f t="shared" ref="AO17:AO36" si="32">AM17-AN17</f>
        <v>0</v>
      </c>
      <c r="AP17" s="34">
        <f>AN6-AO17</f>
        <v>0</v>
      </c>
    </row>
    <row r="18" spans="2:42" x14ac:dyDescent="0.2">
      <c r="B18" s="19">
        <f t="shared" si="13"/>
        <v>7</v>
      </c>
      <c r="C18" s="7">
        <f t="shared" si="0"/>
        <v>4693.6030927364391</v>
      </c>
      <c r="D18" s="32">
        <f t="shared" si="14"/>
        <v>3142.3062044675294</v>
      </c>
      <c r="E18" s="32">
        <f t="shared" si="1"/>
        <v>1551.2968882689097</v>
      </c>
      <c r="F18" s="34">
        <f t="shared" si="15"/>
        <v>50820.473186189913</v>
      </c>
      <c r="G18" s="5"/>
      <c r="H18" s="19">
        <f t="shared" si="2"/>
        <v>7</v>
      </c>
      <c r="I18" s="7">
        <f t="shared" si="3"/>
        <v>0</v>
      </c>
      <c r="J18" s="32">
        <f t="shared" si="16"/>
        <v>0</v>
      </c>
      <c r="K18" s="32">
        <f t="shared" si="4"/>
        <v>0</v>
      </c>
      <c r="L18" s="34">
        <f t="shared" si="5"/>
        <v>0</v>
      </c>
      <c r="N18" s="19">
        <f t="shared" si="6"/>
        <v>7</v>
      </c>
      <c r="O18" s="7">
        <f t="shared" si="7"/>
        <v>0</v>
      </c>
      <c r="P18" s="32">
        <f t="shared" si="17"/>
        <v>0</v>
      </c>
      <c r="Q18" s="32">
        <f t="shared" si="8"/>
        <v>0</v>
      </c>
      <c r="R18" s="34">
        <f t="shared" si="18"/>
        <v>0</v>
      </c>
      <c r="T18" s="19">
        <f t="shared" si="9"/>
        <v>7</v>
      </c>
      <c r="U18" s="7">
        <f t="shared" si="19"/>
        <v>0</v>
      </c>
      <c r="V18" s="32">
        <f t="shared" si="24"/>
        <v>0</v>
      </c>
      <c r="W18" s="32">
        <f t="shared" si="20"/>
        <v>0</v>
      </c>
      <c r="X18" s="34">
        <f t="shared" si="21"/>
        <v>0</v>
      </c>
      <c r="Z18" s="19">
        <f t="shared" si="10"/>
        <v>7</v>
      </c>
      <c r="AA18" s="587">
        <f t="shared" si="22"/>
        <v>0</v>
      </c>
      <c r="AB18" s="32">
        <f t="shared" si="25"/>
        <v>0</v>
      </c>
      <c r="AC18" s="32">
        <f t="shared" si="23"/>
        <v>0</v>
      </c>
      <c r="AD18" s="34">
        <f t="shared" si="26"/>
        <v>0</v>
      </c>
      <c r="AF18" s="19">
        <f t="shared" si="11"/>
        <v>7</v>
      </c>
      <c r="AG18" s="587">
        <f t="shared" si="27"/>
        <v>0</v>
      </c>
      <c r="AH18" s="32">
        <f t="shared" si="29"/>
        <v>0</v>
      </c>
      <c r="AI18" s="32">
        <f t="shared" si="28"/>
        <v>0</v>
      </c>
      <c r="AJ18" s="34">
        <f t="shared" si="30"/>
        <v>0</v>
      </c>
      <c r="AL18" s="19">
        <f t="shared" si="12"/>
        <v>7</v>
      </c>
      <c r="AM18" s="7">
        <f t="shared" si="31"/>
        <v>0</v>
      </c>
      <c r="AN18" s="32">
        <f>IF(AP17&gt;0,AP17*$AN$7,0)</f>
        <v>0</v>
      </c>
      <c r="AO18" s="32">
        <f t="shared" si="32"/>
        <v>0</v>
      </c>
      <c r="AP18" s="34">
        <f t="shared" ref="AP18:AP36" si="33">AP17-AO18</f>
        <v>0</v>
      </c>
    </row>
    <row r="19" spans="2:42" x14ac:dyDescent="0.2">
      <c r="B19" s="19">
        <f t="shared" si="13"/>
        <v>8</v>
      </c>
      <c r="C19" s="7">
        <f t="shared" si="0"/>
        <v>4693.6030927364391</v>
      </c>
      <c r="D19" s="32">
        <f t="shared" si="14"/>
        <v>3049.2283911713948</v>
      </c>
      <c r="E19" s="32">
        <f t="shared" si="1"/>
        <v>1644.3747015650442</v>
      </c>
      <c r="F19" s="34">
        <f t="shared" si="15"/>
        <v>49176.098484624868</v>
      </c>
      <c r="G19" s="5"/>
      <c r="H19" s="19">
        <f t="shared" si="2"/>
        <v>8</v>
      </c>
      <c r="I19" s="7">
        <f t="shared" si="3"/>
        <v>0</v>
      </c>
      <c r="J19" s="32">
        <f t="shared" si="16"/>
        <v>0</v>
      </c>
      <c r="K19" s="32">
        <f t="shared" si="4"/>
        <v>0</v>
      </c>
      <c r="L19" s="34">
        <f t="shared" si="5"/>
        <v>0</v>
      </c>
      <c r="N19" s="19">
        <f t="shared" si="6"/>
        <v>8</v>
      </c>
      <c r="O19" s="7">
        <f t="shared" si="7"/>
        <v>0</v>
      </c>
      <c r="P19" s="32">
        <f t="shared" si="17"/>
        <v>0</v>
      </c>
      <c r="Q19" s="32">
        <f t="shared" si="8"/>
        <v>0</v>
      </c>
      <c r="R19" s="34">
        <f t="shared" si="18"/>
        <v>0</v>
      </c>
      <c r="T19" s="19">
        <f t="shared" si="9"/>
        <v>8</v>
      </c>
      <c r="U19" s="7">
        <f t="shared" si="19"/>
        <v>0</v>
      </c>
      <c r="V19" s="32">
        <f t="shared" si="24"/>
        <v>0</v>
      </c>
      <c r="W19" s="32">
        <f t="shared" si="20"/>
        <v>0</v>
      </c>
      <c r="X19" s="34">
        <f t="shared" si="21"/>
        <v>0</v>
      </c>
      <c r="Z19" s="19">
        <f t="shared" si="10"/>
        <v>8</v>
      </c>
      <c r="AA19" s="7">
        <f t="shared" si="22"/>
        <v>0</v>
      </c>
      <c r="AB19" s="32">
        <f t="shared" si="25"/>
        <v>0</v>
      </c>
      <c r="AC19" s="32">
        <f t="shared" si="23"/>
        <v>0</v>
      </c>
      <c r="AD19" s="34">
        <f t="shared" si="26"/>
        <v>0</v>
      </c>
      <c r="AF19" s="19">
        <f t="shared" si="11"/>
        <v>8</v>
      </c>
      <c r="AG19" s="587">
        <f t="shared" si="27"/>
        <v>0</v>
      </c>
      <c r="AH19" s="32">
        <f t="shared" si="29"/>
        <v>0</v>
      </c>
      <c r="AI19" s="32">
        <f t="shared" si="28"/>
        <v>0</v>
      </c>
      <c r="AJ19" s="34">
        <f t="shared" si="30"/>
        <v>0</v>
      </c>
      <c r="AL19" s="19">
        <f t="shared" si="12"/>
        <v>8</v>
      </c>
      <c r="AM19" s="7">
        <f t="shared" si="31"/>
        <v>0</v>
      </c>
      <c r="AN19" s="32">
        <f t="shared" ref="AN19:AN36" si="34">IF(AP18&gt;0,AP18*$AN$7,0)</f>
        <v>0</v>
      </c>
      <c r="AO19" s="32">
        <f t="shared" si="32"/>
        <v>0</v>
      </c>
      <c r="AP19" s="34">
        <f t="shared" si="33"/>
        <v>0</v>
      </c>
    </row>
    <row r="20" spans="2:42" x14ac:dyDescent="0.2">
      <c r="B20" s="19">
        <f t="shared" si="13"/>
        <v>9</v>
      </c>
      <c r="C20" s="7">
        <f t="shared" si="0"/>
        <v>4693.6030927364391</v>
      </c>
      <c r="D20" s="32">
        <f t="shared" si="14"/>
        <v>2950.5659090774921</v>
      </c>
      <c r="E20" s="32">
        <f t="shared" si="1"/>
        <v>1743.037183658947</v>
      </c>
      <c r="F20" s="34">
        <f t="shared" si="15"/>
        <v>47433.061300965921</v>
      </c>
      <c r="G20" s="5"/>
      <c r="H20" s="19">
        <f t="shared" si="2"/>
        <v>9</v>
      </c>
      <c r="I20" s="7">
        <f t="shared" si="3"/>
        <v>0</v>
      </c>
      <c r="J20" s="32">
        <f t="shared" si="16"/>
        <v>0</v>
      </c>
      <c r="K20" s="32">
        <f t="shared" si="4"/>
        <v>0</v>
      </c>
      <c r="L20" s="34">
        <f t="shared" si="5"/>
        <v>0</v>
      </c>
      <c r="N20" s="19">
        <f t="shared" si="6"/>
        <v>9</v>
      </c>
      <c r="O20" s="7">
        <f t="shared" si="7"/>
        <v>0</v>
      </c>
      <c r="P20" s="32">
        <f t="shared" si="17"/>
        <v>0</v>
      </c>
      <c r="Q20" s="32">
        <f t="shared" si="8"/>
        <v>0</v>
      </c>
      <c r="R20" s="34">
        <f t="shared" si="18"/>
        <v>0</v>
      </c>
      <c r="T20" s="19">
        <f t="shared" si="9"/>
        <v>9</v>
      </c>
      <c r="U20" s="7">
        <f t="shared" si="19"/>
        <v>0</v>
      </c>
      <c r="V20" s="32">
        <f t="shared" si="24"/>
        <v>0</v>
      </c>
      <c r="W20" s="32">
        <f t="shared" si="20"/>
        <v>0</v>
      </c>
      <c r="X20" s="34">
        <f t="shared" si="21"/>
        <v>0</v>
      </c>
      <c r="Z20" s="19">
        <f t="shared" si="10"/>
        <v>9</v>
      </c>
      <c r="AA20" s="7">
        <f t="shared" si="22"/>
        <v>0</v>
      </c>
      <c r="AB20" s="32">
        <f t="shared" si="25"/>
        <v>0</v>
      </c>
      <c r="AC20" s="32">
        <f t="shared" si="23"/>
        <v>0</v>
      </c>
      <c r="AD20" s="34">
        <f t="shared" si="26"/>
        <v>0</v>
      </c>
      <c r="AF20" s="19">
        <f t="shared" si="11"/>
        <v>9</v>
      </c>
      <c r="AG20" s="7">
        <f t="shared" si="27"/>
        <v>0</v>
      </c>
      <c r="AH20" s="32">
        <f t="shared" si="29"/>
        <v>0</v>
      </c>
      <c r="AI20" s="32">
        <f t="shared" si="28"/>
        <v>0</v>
      </c>
      <c r="AJ20" s="34">
        <f t="shared" si="30"/>
        <v>0</v>
      </c>
      <c r="AL20" s="19">
        <f t="shared" si="12"/>
        <v>9</v>
      </c>
      <c r="AM20" s="7">
        <f t="shared" si="31"/>
        <v>0</v>
      </c>
      <c r="AN20" s="32">
        <f t="shared" si="34"/>
        <v>0</v>
      </c>
      <c r="AO20" s="32">
        <f t="shared" si="32"/>
        <v>0</v>
      </c>
      <c r="AP20" s="34">
        <f t="shared" si="33"/>
        <v>0</v>
      </c>
    </row>
    <row r="21" spans="2:42" x14ac:dyDescent="0.2">
      <c r="B21" s="19">
        <f t="shared" si="13"/>
        <v>10</v>
      </c>
      <c r="C21" s="7">
        <f t="shared" si="0"/>
        <v>4693.6030927364391</v>
      </c>
      <c r="D21" s="32">
        <f t="shared" si="14"/>
        <v>2845.9836780579553</v>
      </c>
      <c r="E21" s="32">
        <f t="shared" si="1"/>
        <v>1847.6194146784837</v>
      </c>
      <c r="F21" s="34">
        <f t="shared" si="15"/>
        <v>45585.441886287437</v>
      </c>
      <c r="G21" s="5"/>
      <c r="H21" s="19">
        <f t="shared" si="2"/>
        <v>10</v>
      </c>
      <c r="I21" s="7">
        <f t="shared" si="3"/>
        <v>0</v>
      </c>
      <c r="J21" s="32">
        <f t="shared" si="16"/>
        <v>0</v>
      </c>
      <c r="K21" s="32">
        <f t="shared" si="4"/>
        <v>0</v>
      </c>
      <c r="L21" s="34">
        <f t="shared" si="5"/>
        <v>0</v>
      </c>
      <c r="N21" s="19">
        <f t="shared" si="6"/>
        <v>10</v>
      </c>
      <c r="O21" s="7">
        <f t="shared" si="7"/>
        <v>0</v>
      </c>
      <c r="P21" s="32">
        <f t="shared" si="17"/>
        <v>0</v>
      </c>
      <c r="Q21" s="32">
        <f t="shared" si="8"/>
        <v>0</v>
      </c>
      <c r="R21" s="34">
        <f t="shared" si="18"/>
        <v>0</v>
      </c>
      <c r="T21" s="19">
        <f t="shared" si="9"/>
        <v>10</v>
      </c>
      <c r="U21" s="7">
        <f t="shared" si="19"/>
        <v>0</v>
      </c>
      <c r="V21" s="32">
        <f t="shared" si="24"/>
        <v>0</v>
      </c>
      <c r="W21" s="32">
        <f t="shared" si="20"/>
        <v>0</v>
      </c>
      <c r="X21" s="34">
        <f t="shared" si="21"/>
        <v>0</v>
      </c>
      <c r="Z21" s="19">
        <f t="shared" si="10"/>
        <v>10</v>
      </c>
      <c r="AA21" s="7">
        <f t="shared" si="22"/>
        <v>0</v>
      </c>
      <c r="AB21" s="32">
        <f t="shared" si="25"/>
        <v>0</v>
      </c>
      <c r="AC21" s="32">
        <f t="shared" si="23"/>
        <v>0</v>
      </c>
      <c r="AD21" s="34">
        <f t="shared" si="26"/>
        <v>0</v>
      </c>
      <c r="AF21" s="19">
        <f t="shared" si="11"/>
        <v>10</v>
      </c>
      <c r="AG21" s="7">
        <f t="shared" si="27"/>
        <v>0</v>
      </c>
      <c r="AH21" s="32">
        <f t="shared" si="29"/>
        <v>0</v>
      </c>
      <c r="AI21" s="32">
        <f t="shared" si="28"/>
        <v>0</v>
      </c>
      <c r="AJ21" s="34">
        <f t="shared" si="30"/>
        <v>0</v>
      </c>
      <c r="AL21" s="19">
        <f t="shared" si="12"/>
        <v>10</v>
      </c>
      <c r="AM21" s="7">
        <f t="shared" si="31"/>
        <v>0</v>
      </c>
      <c r="AN21" s="32">
        <f t="shared" si="34"/>
        <v>0</v>
      </c>
      <c r="AO21" s="32">
        <f t="shared" si="32"/>
        <v>0</v>
      </c>
      <c r="AP21" s="34">
        <f t="shared" si="33"/>
        <v>0</v>
      </c>
    </row>
    <row r="22" spans="2:42" x14ac:dyDescent="0.2">
      <c r="B22" s="19">
        <f t="shared" si="13"/>
        <v>11</v>
      </c>
      <c r="C22" s="7">
        <f t="shared" si="0"/>
        <v>4693.6030927364391</v>
      </c>
      <c r="D22" s="32">
        <f t="shared" si="14"/>
        <v>2735.1265131772461</v>
      </c>
      <c r="E22" s="32">
        <f t="shared" si="1"/>
        <v>1958.4765795591929</v>
      </c>
      <c r="F22" s="34">
        <f t="shared" si="15"/>
        <v>43626.965306728242</v>
      </c>
      <c r="H22" s="19">
        <f t="shared" si="2"/>
        <v>11</v>
      </c>
      <c r="I22" s="7">
        <f t="shared" si="3"/>
        <v>0</v>
      </c>
      <c r="J22" s="32">
        <f t="shared" si="16"/>
        <v>0</v>
      </c>
      <c r="K22" s="32">
        <f t="shared" si="4"/>
        <v>0</v>
      </c>
      <c r="L22" s="34">
        <f t="shared" si="5"/>
        <v>0</v>
      </c>
      <c r="N22" s="19">
        <f t="shared" si="6"/>
        <v>11</v>
      </c>
      <c r="O22" s="7">
        <f t="shared" si="7"/>
        <v>0</v>
      </c>
      <c r="P22" s="32">
        <f t="shared" si="17"/>
        <v>0</v>
      </c>
      <c r="Q22" s="32">
        <f t="shared" si="8"/>
        <v>0</v>
      </c>
      <c r="R22" s="34">
        <f t="shared" si="18"/>
        <v>0</v>
      </c>
      <c r="T22" s="19">
        <f t="shared" si="9"/>
        <v>11</v>
      </c>
      <c r="U22" s="7">
        <f t="shared" si="19"/>
        <v>0</v>
      </c>
      <c r="V22" s="32">
        <f t="shared" si="24"/>
        <v>0</v>
      </c>
      <c r="W22" s="32">
        <f t="shared" si="20"/>
        <v>0</v>
      </c>
      <c r="X22" s="34">
        <f t="shared" si="21"/>
        <v>0</v>
      </c>
      <c r="Z22" s="19">
        <f t="shared" si="10"/>
        <v>11</v>
      </c>
      <c r="AA22" s="7">
        <f t="shared" si="22"/>
        <v>0</v>
      </c>
      <c r="AB22" s="32">
        <f t="shared" si="25"/>
        <v>0</v>
      </c>
      <c r="AC22" s="32">
        <f t="shared" si="23"/>
        <v>0</v>
      </c>
      <c r="AD22" s="34">
        <f t="shared" si="26"/>
        <v>0</v>
      </c>
      <c r="AF22" s="19">
        <f t="shared" si="11"/>
        <v>11</v>
      </c>
      <c r="AG22" s="7">
        <f t="shared" si="27"/>
        <v>0</v>
      </c>
      <c r="AH22" s="32">
        <f t="shared" si="29"/>
        <v>0</v>
      </c>
      <c r="AI22" s="32">
        <f t="shared" si="28"/>
        <v>0</v>
      </c>
      <c r="AJ22" s="34">
        <f t="shared" si="30"/>
        <v>0</v>
      </c>
      <c r="AL22" s="19">
        <f t="shared" si="12"/>
        <v>11</v>
      </c>
      <c r="AM22" s="7">
        <f t="shared" si="31"/>
        <v>0</v>
      </c>
      <c r="AN22" s="32">
        <f t="shared" si="34"/>
        <v>0</v>
      </c>
      <c r="AO22" s="32">
        <f t="shared" si="32"/>
        <v>0</v>
      </c>
      <c r="AP22" s="34">
        <f t="shared" si="33"/>
        <v>0</v>
      </c>
    </row>
    <row r="23" spans="2:42" x14ac:dyDescent="0.2">
      <c r="B23" s="19">
        <f t="shared" si="13"/>
        <v>12</v>
      </c>
      <c r="C23" s="7">
        <f t="shared" si="0"/>
        <v>4693.6030927364391</v>
      </c>
      <c r="D23" s="32">
        <f t="shared" si="14"/>
        <v>2617.6179184036946</v>
      </c>
      <c r="E23" s="32">
        <f t="shared" si="1"/>
        <v>2075.9851743327445</v>
      </c>
      <c r="F23" s="34">
        <f t="shared" si="15"/>
        <v>41550.980132395496</v>
      </c>
      <c r="H23" s="19">
        <f t="shared" si="2"/>
        <v>12</v>
      </c>
      <c r="I23" s="7">
        <f t="shared" si="3"/>
        <v>0</v>
      </c>
      <c r="J23" s="32">
        <f t="shared" si="16"/>
        <v>0</v>
      </c>
      <c r="K23" s="32">
        <f t="shared" si="4"/>
        <v>0</v>
      </c>
      <c r="L23" s="34">
        <f t="shared" si="5"/>
        <v>0</v>
      </c>
      <c r="N23" s="19">
        <f t="shared" si="6"/>
        <v>12</v>
      </c>
      <c r="O23" s="7">
        <f t="shared" si="7"/>
        <v>0</v>
      </c>
      <c r="P23" s="32">
        <f t="shared" si="17"/>
        <v>0</v>
      </c>
      <c r="Q23" s="32">
        <f t="shared" si="8"/>
        <v>0</v>
      </c>
      <c r="R23" s="34">
        <f t="shared" si="18"/>
        <v>0</v>
      </c>
      <c r="T23" s="19">
        <f t="shared" si="9"/>
        <v>12</v>
      </c>
      <c r="U23" s="7">
        <f t="shared" si="19"/>
        <v>0</v>
      </c>
      <c r="V23" s="32">
        <f t="shared" si="24"/>
        <v>0</v>
      </c>
      <c r="W23" s="32">
        <f t="shared" si="20"/>
        <v>0</v>
      </c>
      <c r="X23" s="34">
        <f t="shared" si="21"/>
        <v>0</v>
      </c>
      <c r="Z23" s="19">
        <f t="shared" si="10"/>
        <v>12</v>
      </c>
      <c r="AA23" s="7">
        <f t="shared" si="22"/>
        <v>0</v>
      </c>
      <c r="AB23" s="32">
        <f t="shared" si="25"/>
        <v>0</v>
      </c>
      <c r="AC23" s="32">
        <f t="shared" si="23"/>
        <v>0</v>
      </c>
      <c r="AD23" s="34">
        <f t="shared" si="26"/>
        <v>0</v>
      </c>
      <c r="AF23" s="19">
        <f t="shared" si="11"/>
        <v>12</v>
      </c>
      <c r="AG23" s="7">
        <f t="shared" si="27"/>
        <v>0</v>
      </c>
      <c r="AH23" s="32">
        <f t="shared" si="29"/>
        <v>0</v>
      </c>
      <c r="AI23" s="32">
        <f t="shared" si="28"/>
        <v>0</v>
      </c>
      <c r="AJ23" s="34">
        <f t="shared" si="30"/>
        <v>0</v>
      </c>
      <c r="AL23" s="19">
        <f t="shared" si="12"/>
        <v>12</v>
      </c>
      <c r="AM23" s="7">
        <f t="shared" si="31"/>
        <v>0</v>
      </c>
      <c r="AN23" s="32">
        <f t="shared" si="34"/>
        <v>0</v>
      </c>
      <c r="AO23" s="32">
        <f t="shared" si="32"/>
        <v>0</v>
      </c>
      <c r="AP23" s="34">
        <f t="shared" si="33"/>
        <v>0</v>
      </c>
    </row>
    <row r="24" spans="2:42" x14ac:dyDescent="0.2">
      <c r="B24" s="19">
        <f t="shared" si="13"/>
        <v>13</v>
      </c>
      <c r="C24" s="7">
        <f t="shared" si="0"/>
        <v>4693.6030927364391</v>
      </c>
      <c r="D24" s="32">
        <f t="shared" si="14"/>
        <v>2493.0588079437298</v>
      </c>
      <c r="E24" s="32">
        <f t="shared" si="1"/>
        <v>2200.5442847927093</v>
      </c>
      <c r="F24" s="34">
        <f t="shared" si="15"/>
        <v>39350.435847602785</v>
      </c>
      <c r="H24" s="19">
        <f t="shared" si="2"/>
        <v>13</v>
      </c>
      <c r="I24" s="7">
        <f t="shared" si="3"/>
        <v>0</v>
      </c>
      <c r="J24" s="32">
        <f t="shared" si="16"/>
        <v>0</v>
      </c>
      <c r="K24" s="32">
        <f t="shared" si="4"/>
        <v>0</v>
      </c>
      <c r="L24" s="34">
        <f t="shared" si="5"/>
        <v>0</v>
      </c>
      <c r="N24" s="19">
        <f t="shared" si="6"/>
        <v>13</v>
      </c>
      <c r="O24" s="7">
        <f t="shared" si="7"/>
        <v>0</v>
      </c>
      <c r="P24" s="32">
        <f t="shared" si="17"/>
        <v>0</v>
      </c>
      <c r="Q24" s="32">
        <f t="shared" si="8"/>
        <v>0</v>
      </c>
      <c r="R24" s="34">
        <f t="shared" si="18"/>
        <v>0</v>
      </c>
      <c r="T24" s="19">
        <f t="shared" si="9"/>
        <v>13</v>
      </c>
      <c r="U24" s="7">
        <f t="shared" si="19"/>
        <v>0</v>
      </c>
      <c r="V24" s="32">
        <f t="shared" si="24"/>
        <v>0</v>
      </c>
      <c r="W24" s="32">
        <f t="shared" si="20"/>
        <v>0</v>
      </c>
      <c r="X24" s="34">
        <f t="shared" si="21"/>
        <v>0</v>
      </c>
      <c r="Z24" s="19">
        <f t="shared" si="10"/>
        <v>13</v>
      </c>
      <c r="AA24" s="7">
        <f t="shared" si="22"/>
        <v>0</v>
      </c>
      <c r="AB24" s="32">
        <f t="shared" si="25"/>
        <v>0</v>
      </c>
      <c r="AC24" s="32">
        <f t="shared" si="23"/>
        <v>0</v>
      </c>
      <c r="AD24" s="34">
        <f t="shared" si="26"/>
        <v>0</v>
      </c>
      <c r="AF24" s="19">
        <f t="shared" si="11"/>
        <v>13</v>
      </c>
      <c r="AG24" s="7">
        <f t="shared" si="27"/>
        <v>0</v>
      </c>
      <c r="AH24" s="32">
        <f t="shared" si="29"/>
        <v>0</v>
      </c>
      <c r="AI24" s="32">
        <f t="shared" si="28"/>
        <v>0</v>
      </c>
      <c r="AJ24" s="34">
        <f t="shared" si="30"/>
        <v>0</v>
      </c>
      <c r="AL24" s="19">
        <f t="shared" si="12"/>
        <v>13</v>
      </c>
      <c r="AM24" s="7">
        <f t="shared" si="31"/>
        <v>0</v>
      </c>
      <c r="AN24" s="32">
        <f t="shared" si="34"/>
        <v>0</v>
      </c>
      <c r="AO24" s="32">
        <f t="shared" si="32"/>
        <v>0</v>
      </c>
      <c r="AP24" s="34">
        <f t="shared" si="33"/>
        <v>0</v>
      </c>
    </row>
    <row r="25" spans="2:42" x14ac:dyDescent="0.2">
      <c r="B25" s="19">
        <f t="shared" si="13"/>
        <v>14</v>
      </c>
      <c r="C25" s="7">
        <f t="shared" si="0"/>
        <v>4693.6030927364391</v>
      </c>
      <c r="D25" s="32">
        <f t="shared" si="14"/>
        <v>2361.0261508561671</v>
      </c>
      <c r="E25" s="32">
        <f t="shared" si="1"/>
        <v>2332.576941880272</v>
      </c>
      <c r="F25" s="34">
        <f t="shared" si="15"/>
        <v>37017.858905722511</v>
      </c>
      <c r="H25" s="19">
        <f t="shared" si="2"/>
        <v>14</v>
      </c>
      <c r="I25" s="7">
        <f t="shared" si="3"/>
        <v>0</v>
      </c>
      <c r="J25" s="32">
        <f t="shared" si="16"/>
        <v>0</v>
      </c>
      <c r="K25" s="32">
        <f t="shared" si="4"/>
        <v>0</v>
      </c>
      <c r="L25" s="34">
        <f t="shared" si="5"/>
        <v>0</v>
      </c>
      <c r="N25" s="19">
        <f t="shared" si="6"/>
        <v>14</v>
      </c>
      <c r="O25" s="7">
        <f t="shared" si="7"/>
        <v>0</v>
      </c>
      <c r="P25" s="32">
        <f t="shared" si="17"/>
        <v>0</v>
      </c>
      <c r="Q25" s="32">
        <f t="shared" si="8"/>
        <v>0</v>
      </c>
      <c r="R25" s="34">
        <f t="shared" si="18"/>
        <v>0</v>
      </c>
      <c r="T25" s="19">
        <f t="shared" si="9"/>
        <v>14</v>
      </c>
      <c r="U25" s="7">
        <f t="shared" si="19"/>
        <v>0</v>
      </c>
      <c r="V25" s="32">
        <f t="shared" si="24"/>
        <v>0</v>
      </c>
      <c r="W25" s="32">
        <f t="shared" si="20"/>
        <v>0</v>
      </c>
      <c r="X25" s="34">
        <f t="shared" si="21"/>
        <v>0</v>
      </c>
      <c r="Z25" s="19">
        <f t="shared" si="10"/>
        <v>14</v>
      </c>
      <c r="AA25" s="7">
        <f t="shared" si="22"/>
        <v>0</v>
      </c>
      <c r="AB25" s="32">
        <f t="shared" si="25"/>
        <v>0</v>
      </c>
      <c r="AC25" s="32">
        <f t="shared" si="23"/>
        <v>0</v>
      </c>
      <c r="AD25" s="34">
        <f t="shared" si="26"/>
        <v>0</v>
      </c>
      <c r="AF25" s="19">
        <f t="shared" si="11"/>
        <v>14</v>
      </c>
      <c r="AG25" s="7">
        <f t="shared" si="27"/>
        <v>0</v>
      </c>
      <c r="AH25" s="32">
        <f t="shared" si="29"/>
        <v>0</v>
      </c>
      <c r="AI25" s="32">
        <f t="shared" si="28"/>
        <v>0</v>
      </c>
      <c r="AJ25" s="34">
        <f t="shared" si="30"/>
        <v>0</v>
      </c>
      <c r="AL25" s="19">
        <f t="shared" si="12"/>
        <v>14</v>
      </c>
      <c r="AM25" s="7">
        <f t="shared" si="31"/>
        <v>0</v>
      </c>
      <c r="AN25" s="32">
        <f t="shared" si="34"/>
        <v>0</v>
      </c>
      <c r="AO25" s="32">
        <f t="shared" si="32"/>
        <v>0</v>
      </c>
      <c r="AP25" s="34">
        <f t="shared" si="33"/>
        <v>0</v>
      </c>
    </row>
    <row r="26" spans="2:42" x14ac:dyDescent="0.2">
      <c r="B26" s="19">
        <f t="shared" si="13"/>
        <v>15</v>
      </c>
      <c r="C26" s="7">
        <f t="shared" si="0"/>
        <v>4693.6030927364391</v>
      </c>
      <c r="D26" s="32">
        <f t="shared" si="14"/>
        <v>2221.0715343433508</v>
      </c>
      <c r="E26" s="32">
        <f t="shared" si="1"/>
        <v>2472.5315583930883</v>
      </c>
      <c r="F26" s="34">
        <f t="shared" si="15"/>
        <v>34545.327347329425</v>
      </c>
      <c r="H26" s="19">
        <f t="shared" si="2"/>
        <v>15</v>
      </c>
      <c r="I26" s="7">
        <f t="shared" si="3"/>
        <v>0</v>
      </c>
      <c r="J26" s="32">
        <f t="shared" si="16"/>
        <v>0</v>
      </c>
      <c r="K26" s="32">
        <f t="shared" si="4"/>
        <v>0</v>
      </c>
      <c r="L26" s="34">
        <f t="shared" si="5"/>
        <v>0</v>
      </c>
      <c r="N26" s="19">
        <f t="shared" si="6"/>
        <v>15</v>
      </c>
      <c r="O26" s="7">
        <f t="shared" si="7"/>
        <v>0</v>
      </c>
      <c r="P26" s="32">
        <f t="shared" si="17"/>
        <v>0</v>
      </c>
      <c r="Q26" s="32">
        <f t="shared" si="8"/>
        <v>0</v>
      </c>
      <c r="R26" s="34">
        <f t="shared" si="18"/>
        <v>0</v>
      </c>
      <c r="T26" s="19">
        <f t="shared" si="9"/>
        <v>15</v>
      </c>
      <c r="U26" s="7">
        <f t="shared" si="19"/>
        <v>0</v>
      </c>
      <c r="V26" s="32">
        <f t="shared" si="24"/>
        <v>0</v>
      </c>
      <c r="W26" s="32">
        <f t="shared" si="20"/>
        <v>0</v>
      </c>
      <c r="X26" s="34">
        <f t="shared" si="21"/>
        <v>0</v>
      </c>
      <c r="Z26" s="19">
        <f t="shared" si="10"/>
        <v>15</v>
      </c>
      <c r="AA26" s="7">
        <f t="shared" si="22"/>
        <v>0</v>
      </c>
      <c r="AB26" s="32">
        <f t="shared" si="25"/>
        <v>0</v>
      </c>
      <c r="AC26" s="32">
        <f t="shared" si="23"/>
        <v>0</v>
      </c>
      <c r="AD26" s="34">
        <f t="shared" si="26"/>
        <v>0</v>
      </c>
      <c r="AF26" s="19">
        <f t="shared" si="11"/>
        <v>15</v>
      </c>
      <c r="AG26" s="7">
        <f t="shared" si="27"/>
        <v>0</v>
      </c>
      <c r="AH26" s="32">
        <f t="shared" si="29"/>
        <v>0</v>
      </c>
      <c r="AI26" s="32">
        <f t="shared" si="28"/>
        <v>0</v>
      </c>
      <c r="AJ26" s="34">
        <f t="shared" si="30"/>
        <v>0</v>
      </c>
      <c r="AL26" s="19">
        <f t="shared" si="12"/>
        <v>15</v>
      </c>
      <c r="AM26" s="7">
        <f t="shared" si="31"/>
        <v>0</v>
      </c>
      <c r="AN26" s="32">
        <f t="shared" si="34"/>
        <v>0</v>
      </c>
      <c r="AO26" s="32">
        <f t="shared" si="32"/>
        <v>0</v>
      </c>
      <c r="AP26" s="34">
        <f t="shared" si="33"/>
        <v>0</v>
      </c>
    </row>
    <row r="27" spans="2:42" x14ac:dyDescent="0.2">
      <c r="B27" s="19">
        <f t="shared" si="13"/>
        <v>16</v>
      </c>
      <c r="C27" s="7">
        <f t="shared" si="0"/>
        <v>4693.6030927364391</v>
      </c>
      <c r="D27" s="32">
        <f t="shared" si="14"/>
        <v>2072.7196408397654</v>
      </c>
      <c r="E27" s="32">
        <f t="shared" si="1"/>
        <v>2620.8834518966737</v>
      </c>
      <c r="F27" s="34">
        <f t="shared" si="15"/>
        <v>31924.443895432752</v>
      </c>
      <c r="H27" s="19">
        <f t="shared" si="2"/>
        <v>16</v>
      </c>
      <c r="I27" s="7">
        <f t="shared" si="3"/>
        <v>0</v>
      </c>
      <c r="J27" s="32">
        <f t="shared" si="16"/>
        <v>0</v>
      </c>
      <c r="K27" s="32">
        <f t="shared" si="4"/>
        <v>0</v>
      </c>
      <c r="L27" s="34">
        <f t="shared" si="5"/>
        <v>0</v>
      </c>
      <c r="N27" s="19">
        <f t="shared" si="6"/>
        <v>16</v>
      </c>
      <c r="O27" s="7">
        <f t="shared" si="7"/>
        <v>0</v>
      </c>
      <c r="P27" s="32">
        <f t="shared" si="17"/>
        <v>0</v>
      </c>
      <c r="Q27" s="32">
        <f t="shared" si="8"/>
        <v>0</v>
      </c>
      <c r="R27" s="34">
        <f t="shared" si="18"/>
        <v>0</v>
      </c>
      <c r="T27" s="19">
        <f t="shared" si="9"/>
        <v>16</v>
      </c>
      <c r="U27" s="7">
        <f t="shared" si="19"/>
        <v>0</v>
      </c>
      <c r="V27" s="32">
        <f t="shared" si="24"/>
        <v>0</v>
      </c>
      <c r="W27" s="32">
        <f t="shared" si="20"/>
        <v>0</v>
      </c>
      <c r="X27" s="34">
        <f t="shared" si="21"/>
        <v>0</v>
      </c>
      <c r="Z27" s="19">
        <f t="shared" si="10"/>
        <v>16</v>
      </c>
      <c r="AA27" s="7">
        <f t="shared" si="22"/>
        <v>0</v>
      </c>
      <c r="AB27" s="32">
        <f t="shared" si="25"/>
        <v>0</v>
      </c>
      <c r="AC27" s="32">
        <f t="shared" si="23"/>
        <v>0</v>
      </c>
      <c r="AD27" s="34">
        <f t="shared" si="26"/>
        <v>0</v>
      </c>
      <c r="AF27" s="19">
        <f t="shared" si="11"/>
        <v>16</v>
      </c>
      <c r="AG27" s="7">
        <f t="shared" si="27"/>
        <v>0</v>
      </c>
      <c r="AH27" s="32">
        <f t="shared" si="29"/>
        <v>0</v>
      </c>
      <c r="AI27" s="32">
        <f t="shared" si="28"/>
        <v>0</v>
      </c>
      <c r="AJ27" s="34">
        <f t="shared" si="30"/>
        <v>0</v>
      </c>
      <c r="AL27" s="19">
        <f t="shared" si="12"/>
        <v>16</v>
      </c>
      <c r="AM27" s="7">
        <f t="shared" si="31"/>
        <v>0</v>
      </c>
      <c r="AN27" s="32">
        <f t="shared" si="34"/>
        <v>0</v>
      </c>
      <c r="AO27" s="32">
        <f t="shared" si="32"/>
        <v>0</v>
      </c>
      <c r="AP27" s="34">
        <f t="shared" si="33"/>
        <v>0</v>
      </c>
    </row>
    <row r="28" spans="2:42" x14ac:dyDescent="0.2">
      <c r="B28" s="19">
        <f t="shared" si="13"/>
        <v>17</v>
      </c>
      <c r="C28" s="7">
        <f t="shared" si="0"/>
        <v>4693.6030927364391</v>
      </c>
      <c r="D28" s="32">
        <f t="shared" si="14"/>
        <v>1915.466633725965</v>
      </c>
      <c r="E28" s="32">
        <f t="shared" si="1"/>
        <v>2778.136459010474</v>
      </c>
      <c r="F28" s="34">
        <f t="shared" si="15"/>
        <v>29146.307436422278</v>
      </c>
      <c r="H28" s="19">
        <f t="shared" si="2"/>
        <v>17</v>
      </c>
      <c r="I28" s="7">
        <f t="shared" si="3"/>
        <v>0</v>
      </c>
      <c r="J28" s="32">
        <f t="shared" si="16"/>
        <v>0</v>
      </c>
      <c r="K28" s="32">
        <f t="shared" si="4"/>
        <v>0</v>
      </c>
      <c r="L28" s="34">
        <f t="shared" si="5"/>
        <v>0</v>
      </c>
      <c r="N28" s="19">
        <f t="shared" si="6"/>
        <v>17</v>
      </c>
      <c r="O28" s="7">
        <f t="shared" si="7"/>
        <v>0</v>
      </c>
      <c r="P28" s="32">
        <f t="shared" si="17"/>
        <v>0</v>
      </c>
      <c r="Q28" s="32">
        <f t="shared" si="8"/>
        <v>0</v>
      </c>
      <c r="R28" s="34">
        <f t="shared" si="18"/>
        <v>0</v>
      </c>
      <c r="T28" s="19">
        <f t="shared" si="9"/>
        <v>17</v>
      </c>
      <c r="U28" s="7">
        <f t="shared" si="19"/>
        <v>0</v>
      </c>
      <c r="V28" s="32">
        <f t="shared" si="24"/>
        <v>0</v>
      </c>
      <c r="W28" s="32">
        <f t="shared" si="20"/>
        <v>0</v>
      </c>
      <c r="X28" s="34">
        <f t="shared" si="21"/>
        <v>0</v>
      </c>
      <c r="Z28" s="19">
        <f t="shared" si="10"/>
        <v>17</v>
      </c>
      <c r="AA28" s="7">
        <f t="shared" si="22"/>
        <v>0</v>
      </c>
      <c r="AB28" s="32">
        <f t="shared" si="25"/>
        <v>0</v>
      </c>
      <c r="AC28" s="32">
        <f t="shared" si="23"/>
        <v>0</v>
      </c>
      <c r="AD28" s="34">
        <f t="shared" si="26"/>
        <v>0</v>
      </c>
      <c r="AF28" s="19">
        <f t="shared" si="11"/>
        <v>17</v>
      </c>
      <c r="AG28" s="7">
        <f t="shared" si="27"/>
        <v>0</v>
      </c>
      <c r="AH28" s="32">
        <f t="shared" si="29"/>
        <v>0</v>
      </c>
      <c r="AI28" s="32">
        <f t="shared" si="28"/>
        <v>0</v>
      </c>
      <c r="AJ28" s="34">
        <f t="shared" si="30"/>
        <v>0</v>
      </c>
      <c r="AL28" s="19">
        <f t="shared" si="12"/>
        <v>17</v>
      </c>
      <c r="AM28" s="7">
        <f t="shared" si="31"/>
        <v>0</v>
      </c>
      <c r="AN28" s="32">
        <f t="shared" si="34"/>
        <v>0</v>
      </c>
      <c r="AO28" s="32">
        <f t="shared" si="32"/>
        <v>0</v>
      </c>
      <c r="AP28" s="34">
        <f t="shared" si="33"/>
        <v>0</v>
      </c>
    </row>
    <row r="29" spans="2:42" x14ac:dyDescent="0.2">
      <c r="B29" s="19">
        <f t="shared" si="13"/>
        <v>18</v>
      </c>
      <c r="C29" s="7">
        <f t="shared" si="0"/>
        <v>4693.6030927364391</v>
      </c>
      <c r="D29" s="32">
        <f t="shared" si="14"/>
        <v>1748.7784461853366</v>
      </c>
      <c r="E29" s="32">
        <f t="shared" si="1"/>
        <v>2944.8246465511024</v>
      </c>
      <c r="F29" s="34">
        <f t="shared" si="15"/>
        <v>26201.482789871174</v>
      </c>
      <c r="H29" s="19">
        <f t="shared" si="2"/>
        <v>18</v>
      </c>
      <c r="I29" s="7">
        <f t="shared" si="3"/>
        <v>0</v>
      </c>
      <c r="J29" s="32">
        <f t="shared" si="16"/>
        <v>0</v>
      </c>
      <c r="K29" s="32">
        <f t="shared" si="4"/>
        <v>0</v>
      </c>
      <c r="L29" s="34">
        <f t="shared" si="5"/>
        <v>0</v>
      </c>
      <c r="N29" s="19">
        <f t="shared" si="6"/>
        <v>18</v>
      </c>
      <c r="O29" s="7">
        <f t="shared" si="7"/>
        <v>0</v>
      </c>
      <c r="P29" s="32">
        <f t="shared" si="17"/>
        <v>0</v>
      </c>
      <c r="Q29" s="32">
        <f t="shared" si="8"/>
        <v>0</v>
      </c>
      <c r="R29" s="34">
        <f t="shared" si="18"/>
        <v>0</v>
      </c>
      <c r="T29" s="19">
        <f t="shared" si="9"/>
        <v>18</v>
      </c>
      <c r="U29" s="7">
        <f t="shared" si="19"/>
        <v>0</v>
      </c>
      <c r="V29" s="32">
        <f t="shared" si="24"/>
        <v>0</v>
      </c>
      <c r="W29" s="32">
        <f t="shared" si="20"/>
        <v>0</v>
      </c>
      <c r="X29" s="34">
        <f t="shared" si="21"/>
        <v>0</v>
      </c>
      <c r="Z29" s="19">
        <f t="shared" si="10"/>
        <v>18</v>
      </c>
      <c r="AA29" s="7">
        <f t="shared" si="22"/>
        <v>0</v>
      </c>
      <c r="AB29" s="32">
        <f t="shared" si="25"/>
        <v>0</v>
      </c>
      <c r="AC29" s="32">
        <f t="shared" si="23"/>
        <v>0</v>
      </c>
      <c r="AD29" s="34">
        <f t="shared" si="26"/>
        <v>0</v>
      </c>
      <c r="AF29" s="19">
        <f t="shared" si="11"/>
        <v>18</v>
      </c>
      <c r="AG29" s="7">
        <f t="shared" si="27"/>
        <v>0</v>
      </c>
      <c r="AH29" s="32">
        <f t="shared" si="29"/>
        <v>0</v>
      </c>
      <c r="AI29" s="32">
        <f t="shared" si="28"/>
        <v>0</v>
      </c>
      <c r="AJ29" s="34">
        <f t="shared" si="30"/>
        <v>0</v>
      </c>
      <c r="AL29" s="19">
        <f t="shared" si="12"/>
        <v>18</v>
      </c>
      <c r="AM29" s="7">
        <f t="shared" si="31"/>
        <v>0</v>
      </c>
      <c r="AN29" s="32">
        <f t="shared" si="34"/>
        <v>0</v>
      </c>
      <c r="AO29" s="32">
        <f t="shared" si="32"/>
        <v>0</v>
      </c>
      <c r="AP29" s="34">
        <f t="shared" si="33"/>
        <v>0</v>
      </c>
    </row>
    <row r="30" spans="2:42" x14ac:dyDescent="0.2">
      <c r="B30" s="19">
        <f t="shared" si="13"/>
        <v>19</v>
      </c>
      <c r="C30" s="7">
        <f t="shared" si="0"/>
        <v>4693.6030927364391</v>
      </c>
      <c r="D30" s="32">
        <f t="shared" si="14"/>
        <v>1572.0889673922704</v>
      </c>
      <c r="E30" s="32">
        <f t="shared" si="1"/>
        <v>3121.5141253441689</v>
      </c>
      <c r="F30" s="34">
        <f t="shared" si="15"/>
        <v>23079.968664527005</v>
      </c>
      <c r="H30" s="19">
        <f t="shared" si="2"/>
        <v>19</v>
      </c>
      <c r="I30" s="7">
        <f t="shared" si="3"/>
        <v>0</v>
      </c>
      <c r="J30" s="32">
        <f t="shared" si="16"/>
        <v>0</v>
      </c>
      <c r="K30" s="32">
        <f t="shared" si="4"/>
        <v>0</v>
      </c>
      <c r="L30" s="34">
        <f t="shared" si="5"/>
        <v>0</v>
      </c>
      <c r="N30" s="19">
        <f t="shared" si="6"/>
        <v>19</v>
      </c>
      <c r="O30" s="7">
        <f t="shared" si="7"/>
        <v>0</v>
      </c>
      <c r="P30" s="32">
        <f t="shared" si="17"/>
        <v>0</v>
      </c>
      <c r="Q30" s="32">
        <f t="shared" si="8"/>
        <v>0</v>
      </c>
      <c r="R30" s="34">
        <f t="shared" si="18"/>
        <v>0</v>
      </c>
      <c r="T30" s="19">
        <f t="shared" si="9"/>
        <v>19</v>
      </c>
      <c r="U30" s="7">
        <f t="shared" si="19"/>
        <v>0</v>
      </c>
      <c r="V30" s="32">
        <f t="shared" si="24"/>
        <v>0</v>
      </c>
      <c r="W30" s="32">
        <f t="shared" si="20"/>
        <v>0</v>
      </c>
      <c r="X30" s="34">
        <f t="shared" si="21"/>
        <v>0</v>
      </c>
      <c r="Z30" s="19">
        <f t="shared" si="10"/>
        <v>19</v>
      </c>
      <c r="AA30" s="7">
        <f t="shared" si="22"/>
        <v>0</v>
      </c>
      <c r="AB30" s="32">
        <f t="shared" si="25"/>
        <v>0</v>
      </c>
      <c r="AC30" s="32">
        <f t="shared" si="23"/>
        <v>0</v>
      </c>
      <c r="AD30" s="34">
        <f t="shared" si="26"/>
        <v>0</v>
      </c>
      <c r="AF30" s="19">
        <f t="shared" si="11"/>
        <v>19</v>
      </c>
      <c r="AG30" s="7">
        <f t="shared" si="27"/>
        <v>0</v>
      </c>
      <c r="AH30" s="32">
        <f t="shared" si="29"/>
        <v>0</v>
      </c>
      <c r="AI30" s="32">
        <f t="shared" si="28"/>
        <v>0</v>
      </c>
      <c r="AJ30" s="34">
        <f t="shared" si="30"/>
        <v>0</v>
      </c>
      <c r="AL30" s="19">
        <f t="shared" si="12"/>
        <v>19</v>
      </c>
      <c r="AM30" s="7">
        <f t="shared" si="31"/>
        <v>0</v>
      </c>
      <c r="AN30" s="32">
        <f t="shared" si="34"/>
        <v>0</v>
      </c>
      <c r="AO30" s="32">
        <f t="shared" si="32"/>
        <v>0</v>
      </c>
      <c r="AP30" s="34">
        <f t="shared" si="33"/>
        <v>0</v>
      </c>
    </row>
    <row r="31" spans="2:42" x14ac:dyDescent="0.2">
      <c r="B31" s="19">
        <f t="shared" si="13"/>
        <v>20</v>
      </c>
      <c r="C31" s="7">
        <f t="shared" si="0"/>
        <v>4693.6030927364391</v>
      </c>
      <c r="D31" s="32">
        <f t="shared" si="14"/>
        <v>1384.7981198716202</v>
      </c>
      <c r="E31" s="32">
        <f t="shared" si="1"/>
        <v>3308.8049728648189</v>
      </c>
      <c r="F31" s="34">
        <f t="shared" si="15"/>
        <v>19771.163691662186</v>
      </c>
      <c r="H31" s="19">
        <f t="shared" si="2"/>
        <v>20</v>
      </c>
      <c r="I31" s="7">
        <f t="shared" si="3"/>
        <v>0</v>
      </c>
      <c r="J31" s="32">
        <f t="shared" si="16"/>
        <v>0</v>
      </c>
      <c r="K31" s="32">
        <f t="shared" si="4"/>
        <v>0</v>
      </c>
      <c r="L31" s="34">
        <f t="shared" si="5"/>
        <v>0</v>
      </c>
      <c r="N31" s="19">
        <f t="shared" si="6"/>
        <v>20</v>
      </c>
      <c r="O31" s="7">
        <f t="shared" si="7"/>
        <v>0</v>
      </c>
      <c r="P31" s="32">
        <f t="shared" si="17"/>
        <v>0</v>
      </c>
      <c r="Q31" s="32">
        <f t="shared" si="8"/>
        <v>0</v>
      </c>
      <c r="R31" s="34">
        <f t="shared" si="18"/>
        <v>0</v>
      </c>
      <c r="T31" s="19">
        <f t="shared" si="9"/>
        <v>20</v>
      </c>
      <c r="U31" s="7">
        <f t="shared" si="19"/>
        <v>0</v>
      </c>
      <c r="V31" s="32">
        <f t="shared" si="24"/>
        <v>0</v>
      </c>
      <c r="W31" s="32">
        <f t="shared" si="20"/>
        <v>0</v>
      </c>
      <c r="X31" s="34">
        <f t="shared" si="21"/>
        <v>0</v>
      </c>
      <c r="Z31" s="19">
        <f t="shared" si="10"/>
        <v>20</v>
      </c>
      <c r="AA31" s="7">
        <f t="shared" si="22"/>
        <v>0</v>
      </c>
      <c r="AB31" s="32">
        <f t="shared" si="25"/>
        <v>0</v>
      </c>
      <c r="AC31" s="32">
        <f t="shared" si="23"/>
        <v>0</v>
      </c>
      <c r="AD31" s="34">
        <f t="shared" si="26"/>
        <v>0</v>
      </c>
      <c r="AF31" s="19">
        <f t="shared" si="11"/>
        <v>20</v>
      </c>
      <c r="AG31" s="7">
        <f t="shared" si="27"/>
        <v>0</v>
      </c>
      <c r="AH31" s="32">
        <f t="shared" si="29"/>
        <v>0</v>
      </c>
      <c r="AI31" s="32">
        <f t="shared" si="28"/>
        <v>0</v>
      </c>
      <c r="AJ31" s="34">
        <f t="shared" si="30"/>
        <v>0</v>
      </c>
      <c r="AL31" s="19">
        <f t="shared" si="12"/>
        <v>20</v>
      </c>
      <c r="AM31" s="7">
        <f t="shared" si="31"/>
        <v>0</v>
      </c>
      <c r="AN31" s="32">
        <f t="shared" si="34"/>
        <v>0</v>
      </c>
      <c r="AO31" s="32">
        <f t="shared" si="32"/>
        <v>0</v>
      </c>
      <c r="AP31" s="34">
        <f t="shared" si="33"/>
        <v>0</v>
      </c>
    </row>
    <row r="32" spans="2:42" x14ac:dyDescent="0.2">
      <c r="B32" s="19">
        <f t="shared" si="13"/>
        <v>21</v>
      </c>
      <c r="C32" s="7">
        <f t="shared" si="0"/>
        <v>4693.6030927364391</v>
      </c>
      <c r="D32" s="32">
        <f t="shared" si="14"/>
        <v>1186.2698214997311</v>
      </c>
      <c r="E32" s="32">
        <f t="shared" si="1"/>
        <v>3507.3332712367082</v>
      </c>
      <c r="F32" s="34">
        <f t="shared" si="15"/>
        <v>16263.830420425478</v>
      </c>
      <c r="H32" s="19">
        <f t="shared" si="2"/>
        <v>21</v>
      </c>
      <c r="I32" s="7">
        <f t="shared" si="3"/>
        <v>0</v>
      </c>
      <c r="J32" s="32">
        <f t="shared" si="16"/>
        <v>0</v>
      </c>
      <c r="K32" s="32">
        <f t="shared" si="4"/>
        <v>0</v>
      </c>
      <c r="L32" s="34">
        <f t="shared" si="5"/>
        <v>0</v>
      </c>
      <c r="N32" s="19">
        <f t="shared" si="6"/>
        <v>21</v>
      </c>
      <c r="O32" s="7">
        <f t="shared" si="7"/>
        <v>0</v>
      </c>
      <c r="P32" s="32">
        <f t="shared" si="17"/>
        <v>0</v>
      </c>
      <c r="Q32" s="32">
        <f t="shared" si="8"/>
        <v>0</v>
      </c>
      <c r="R32" s="34">
        <f t="shared" si="18"/>
        <v>0</v>
      </c>
      <c r="T32" s="19">
        <f t="shared" si="9"/>
        <v>21</v>
      </c>
      <c r="U32" s="7">
        <f t="shared" si="19"/>
        <v>0</v>
      </c>
      <c r="V32" s="32">
        <f t="shared" si="24"/>
        <v>0</v>
      </c>
      <c r="W32" s="32">
        <f t="shared" si="20"/>
        <v>0</v>
      </c>
      <c r="X32" s="34">
        <f t="shared" si="21"/>
        <v>0</v>
      </c>
      <c r="Z32" s="19">
        <f t="shared" si="10"/>
        <v>21</v>
      </c>
      <c r="AA32" s="7">
        <f t="shared" si="22"/>
        <v>0</v>
      </c>
      <c r="AB32" s="32">
        <f t="shared" si="25"/>
        <v>0</v>
      </c>
      <c r="AC32" s="32">
        <f t="shared" si="23"/>
        <v>0</v>
      </c>
      <c r="AD32" s="34">
        <f t="shared" si="26"/>
        <v>0</v>
      </c>
      <c r="AF32" s="19">
        <f t="shared" si="11"/>
        <v>21</v>
      </c>
      <c r="AG32" s="7">
        <f t="shared" si="27"/>
        <v>0</v>
      </c>
      <c r="AH32" s="32">
        <f t="shared" si="29"/>
        <v>0</v>
      </c>
      <c r="AI32" s="32">
        <f t="shared" si="28"/>
        <v>0</v>
      </c>
      <c r="AJ32" s="34">
        <f t="shared" si="30"/>
        <v>0</v>
      </c>
      <c r="AL32" s="19">
        <f t="shared" si="12"/>
        <v>21</v>
      </c>
      <c r="AM32" s="7">
        <f t="shared" si="31"/>
        <v>0</v>
      </c>
      <c r="AN32" s="32">
        <f t="shared" si="34"/>
        <v>0</v>
      </c>
      <c r="AO32" s="32">
        <f t="shared" si="32"/>
        <v>0</v>
      </c>
      <c r="AP32" s="34">
        <f t="shared" si="33"/>
        <v>0</v>
      </c>
    </row>
    <row r="33" spans="2:42" x14ac:dyDescent="0.2">
      <c r="B33" s="19">
        <f>B32+1</f>
        <v>22</v>
      </c>
      <c r="C33" s="7">
        <f t="shared" si="0"/>
        <v>4693.6030927364391</v>
      </c>
      <c r="D33" s="32">
        <f t="shared" si="14"/>
        <v>975.82982522552868</v>
      </c>
      <c r="E33" s="32">
        <f t="shared" si="1"/>
        <v>3717.7732675109105</v>
      </c>
      <c r="F33" s="34">
        <f t="shared" si="15"/>
        <v>12546.057152914567</v>
      </c>
      <c r="H33" s="19">
        <f t="shared" si="2"/>
        <v>22</v>
      </c>
      <c r="I33" s="7">
        <f t="shared" si="3"/>
        <v>0</v>
      </c>
      <c r="J33" s="32">
        <f t="shared" si="16"/>
        <v>0</v>
      </c>
      <c r="K33" s="32">
        <f t="shared" si="4"/>
        <v>0</v>
      </c>
      <c r="L33" s="34">
        <f t="shared" si="5"/>
        <v>0</v>
      </c>
      <c r="N33" s="19">
        <f t="shared" si="6"/>
        <v>22</v>
      </c>
      <c r="O33" s="7">
        <f t="shared" si="7"/>
        <v>0</v>
      </c>
      <c r="P33" s="32">
        <f t="shared" si="17"/>
        <v>0</v>
      </c>
      <c r="Q33" s="32">
        <f t="shared" si="8"/>
        <v>0</v>
      </c>
      <c r="R33" s="34">
        <f t="shared" si="18"/>
        <v>0</v>
      </c>
      <c r="T33" s="19">
        <f t="shared" si="9"/>
        <v>22</v>
      </c>
      <c r="U33" s="7">
        <f t="shared" si="19"/>
        <v>0</v>
      </c>
      <c r="V33" s="32">
        <f t="shared" si="24"/>
        <v>0</v>
      </c>
      <c r="W33" s="32">
        <f t="shared" si="20"/>
        <v>0</v>
      </c>
      <c r="X33" s="34">
        <f t="shared" si="21"/>
        <v>0</v>
      </c>
      <c r="Z33" s="19">
        <f t="shared" si="10"/>
        <v>22</v>
      </c>
      <c r="AA33" s="7">
        <f t="shared" si="22"/>
        <v>0</v>
      </c>
      <c r="AB33" s="32">
        <f t="shared" si="25"/>
        <v>0</v>
      </c>
      <c r="AC33" s="32">
        <f t="shared" si="23"/>
        <v>0</v>
      </c>
      <c r="AD33" s="34">
        <f t="shared" si="26"/>
        <v>0</v>
      </c>
      <c r="AF33" s="19">
        <f t="shared" si="11"/>
        <v>22</v>
      </c>
      <c r="AG33" s="7">
        <f t="shared" si="27"/>
        <v>0</v>
      </c>
      <c r="AH33" s="32">
        <f t="shared" si="29"/>
        <v>0</v>
      </c>
      <c r="AI33" s="32">
        <f t="shared" si="28"/>
        <v>0</v>
      </c>
      <c r="AJ33" s="34">
        <f t="shared" si="30"/>
        <v>0</v>
      </c>
      <c r="AL33" s="19">
        <f t="shared" si="12"/>
        <v>22</v>
      </c>
      <c r="AM33" s="7">
        <f t="shared" si="31"/>
        <v>0</v>
      </c>
      <c r="AN33" s="32">
        <f t="shared" si="34"/>
        <v>0</v>
      </c>
      <c r="AO33" s="32">
        <f t="shared" si="32"/>
        <v>0</v>
      </c>
      <c r="AP33" s="34">
        <f t="shared" si="33"/>
        <v>0</v>
      </c>
    </row>
    <row r="34" spans="2:42" x14ac:dyDescent="0.2">
      <c r="B34" s="19">
        <f>B33+1</f>
        <v>23</v>
      </c>
      <c r="C34" s="7">
        <f t="shared" si="0"/>
        <v>4693.6030927364391</v>
      </c>
      <c r="D34" s="32">
        <f t="shared" si="14"/>
        <v>752.76342917487398</v>
      </c>
      <c r="E34" s="32">
        <f t="shared" si="1"/>
        <v>3940.839663561565</v>
      </c>
      <c r="F34" s="34">
        <f t="shared" si="15"/>
        <v>8605.2174893530027</v>
      </c>
      <c r="H34" s="19">
        <f t="shared" si="2"/>
        <v>23</v>
      </c>
      <c r="I34" s="7">
        <f t="shared" si="3"/>
        <v>0</v>
      </c>
      <c r="J34" s="32">
        <f t="shared" si="16"/>
        <v>0</v>
      </c>
      <c r="K34" s="32">
        <f t="shared" si="4"/>
        <v>0</v>
      </c>
      <c r="L34" s="34">
        <f t="shared" si="5"/>
        <v>0</v>
      </c>
      <c r="N34" s="19">
        <f t="shared" si="6"/>
        <v>23</v>
      </c>
      <c r="O34" s="7">
        <f t="shared" si="7"/>
        <v>0</v>
      </c>
      <c r="P34" s="32">
        <f t="shared" si="17"/>
        <v>0</v>
      </c>
      <c r="Q34" s="32">
        <f t="shared" si="8"/>
        <v>0</v>
      </c>
      <c r="R34" s="34">
        <f t="shared" si="18"/>
        <v>0</v>
      </c>
      <c r="T34" s="19">
        <f t="shared" si="9"/>
        <v>23</v>
      </c>
      <c r="U34" s="7">
        <f t="shared" si="19"/>
        <v>0</v>
      </c>
      <c r="V34" s="32">
        <f t="shared" si="24"/>
        <v>0</v>
      </c>
      <c r="W34" s="32">
        <f t="shared" si="20"/>
        <v>0</v>
      </c>
      <c r="X34" s="34">
        <f t="shared" si="21"/>
        <v>0</v>
      </c>
      <c r="Z34" s="19">
        <f t="shared" si="10"/>
        <v>23</v>
      </c>
      <c r="AA34" s="7">
        <f t="shared" si="22"/>
        <v>0</v>
      </c>
      <c r="AB34" s="32">
        <f t="shared" si="25"/>
        <v>0</v>
      </c>
      <c r="AC34" s="32">
        <f t="shared" si="23"/>
        <v>0</v>
      </c>
      <c r="AD34" s="34">
        <f t="shared" si="26"/>
        <v>0</v>
      </c>
      <c r="AF34" s="19">
        <f t="shared" si="11"/>
        <v>23</v>
      </c>
      <c r="AG34" s="7">
        <f t="shared" si="27"/>
        <v>0</v>
      </c>
      <c r="AH34" s="32">
        <f t="shared" si="29"/>
        <v>0</v>
      </c>
      <c r="AI34" s="32">
        <f t="shared" si="28"/>
        <v>0</v>
      </c>
      <c r="AJ34" s="34">
        <f t="shared" si="30"/>
        <v>0</v>
      </c>
      <c r="AL34" s="19">
        <f t="shared" si="12"/>
        <v>23</v>
      </c>
      <c r="AM34" s="7">
        <f t="shared" si="31"/>
        <v>0</v>
      </c>
      <c r="AN34" s="32">
        <f t="shared" si="34"/>
        <v>0</v>
      </c>
      <c r="AO34" s="32">
        <f t="shared" si="32"/>
        <v>0</v>
      </c>
      <c r="AP34" s="34">
        <f t="shared" si="33"/>
        <v>0</v>
      </c>
    </row>
    <row r="35" spans="2:42" x14ac:dyDescent="0.2">
      <c r="B35" s="19">
        <f>B34+1</f>
        <v>24</v>
      </c>
      <c r="C35" s="7">
        <f t="shared" si="0"/>
        <v>4693.6030927364391</v>
      </c>
      <c r="D35" s="32">
        <f t="shared" si="14"/>
        <v>516.31304936118011</v>
      </c>
      <c r="E35" s="32">
        <f t="shared" si="1"/>
        <v>4177.2900433752593</v>
      </c>
      <c r="F35" s="34">
        <f t="shared" si="15"/>
        <v>4427.9274459777434</v>
      </c>
      <c r="H35" s="19">
        <f t="shared" si="2"/>
        <v>24</v>
      </c>
      <c r="I35" s="7">
        <f t="shared" si="3"/>
        <v>0</v>
      </c>
      <c r="J35" s="32">
        <f t="shared" si="16"/>
        <v>0</v>
      </c>
      <c r="K35" s="32">
        <f t="shared" si="4"/>
        <v>0</v>
      </c>
      <c r="L35" s="34">
        <f t="shared" si="5"/>
        <v>0</v>
      </c>
      <c r="N35" s="19">
        <f t="shared" si="6"/>
        <v>24</v>
      </c>
      <c r="O35" s="7">
        <f t="shared" si="7"/>
        <v>0</v>
      </c>
      <c r="P35" s="32">
        <f t="shared" si="17"/>
        <v>0</v>
      </c>
      <c r="Q35" s="32">
        <f t="shared" si="8"/>
        <v>0</v>
      </c>
      <c r="R35" s="34">
        <f t="shared" si="18"/>
        <v>0</v>
      </c>
      <c r="T35" s="19">
        <f t="shared" si="9"/>
        <v>24</v>
      </c>
      <c r="U35" s="7">
        <f t="shared" si="19"/>
        <v>0</v>
      </c>
      <c r="V35" s="32">
        <f t="shared" si="24"/>
        <v>0</v>
      </c>
      <c r="W35" s="32">
        <f t="shared" si="20"/>
        <v>0</v>
      </c>
      <c r="X35" s="34">
        <f t="shared" si="21"/>
        <v>0</v>
      </c>
      <c r="Z35" s="19">
        <f t="shared" si="10"/>
        <v>24</v>
      </c>
      <c r="AA35" s="7">
        <f t="shared" si="22"/>
        <v>0</v>
      </c>
      <c r="AB35" s="32">
        <f t="shared" si="25"/>
        <v>0</v>
      </c>
      <c r="AC35" s="32">
        <f t="shared" si="23"/>
        <v>0</v>
      </c>
      <c r="AD35" s="34">
        <f t="shared" si="26"/>
        <v>0</v>
      </c>
      <c r="AF35" s="19">
        <f t="shared" si="11"/>
        <v>24</v>
      </c>
      <c r="AG35" s="7">
        <f t="shared" si="27"/>
        <v>0</v>
      </c>
      <c r="AH35" s="32">
        <f t="shared" si="29"/>
        <v>0</v>
      </c>
      <c r="AI35" s="32">
        <f t="shared" si="28"/>
        <v>0</v>
      </c>
      <c r="AJ35" s="34">
        <f t="shared" si="30"/>
        <v>0</v>
      </c>
      <c r="AL35" s="19">
        <f t="shared" si="12"/>
        <v>24</v>
      </c>
      <c r="AM35" s="7">
        <f t="shared" si="31"/>
        <v>0</v>
      </c>
      <c r="AN35" s="32">
        <f t="shared" si="34"/>
        <v>0</v>
      </c>
      <c r="AO35" s="32">
        <f t="shared" si="32"/>
        <v>0</v>
      </c>
      <c r="AP35" s="34">
        <f t="shared" si="33"/>
        <v>0</v>
      </c>
    </row>
    <row r="36" spans="2:42" ht="13.5" thickBot="1" x14ac:dyDescent="0.25">
      <c r="B36" s="171">
        <f>B35+1</f>
        <v>25</v>
      </c>
      <c r="C36" s="172">
        <f t="shared" si="0"/>
        <v>4693.6030927364391</v>
      </c>
      <c r="D36" s="173">
        <f t="shared" si="14"/>
        <v>265.67564675866458</v>
      </c>
      <c r="E36" s="173">
        <f t="shared" si="1"/>
        <v>4427.9274459777744</v>
      </c>
      <c r="F36" s="174">
        <f t="shared" si="15"/>
        <v>-3.092281986027956E-11</v>
      </c>
      <c r="H36" s="181">
        <f t="shared" si="2"/>
        <v>25</v>
      </c>
      <c r="I36" s="182">
        <f t="shared" si="3"/>
        <v>0</v>
      </c>
      <c r="J36" s="183">
        <f t="shared" si="16"/>
        <v>0</v>
      </c>
      <c r="K36" s="183">
        <f t="shared" si="4"/>
        <v>0</v>
      </c>
      <c r="L36" s="184">
        <f t="shared" si="5"/>
        <v>0</v>
      </c>
      <c r="N36" s="181">
        <f t="shared" si="6"/>
        <v>25</v>
      </c>
      <c r="O36" s="182">
        <f t="shared" si="7"/>
        <v>0</v>
      </c>
      <c r="P36" s="183">
        <f t="shared" si="17"/>
        <v>0</v>
      </c>
      <c r="Q36" s="183">
        <f t="shared" si="8"/>
        <v>0</v>
      </c>
      <c r="R36" s="184">
        <f t="shared" si="18"/>
        <v>0</v>
      </c>
      <c r="T36" s="181">
        <f t="shared" si="9"/>
        <v>25</v>
      </c>
      <c r="U36" s="182">
        <f t="shared" si="19"/>
        <v>0</v>
      </c>
      <c r="V36" s="183">
        <f t="shared" si="24"/>
        <v>0</v>
      </c>
      <c r="W36" s="183">
        <f t="shared" si="20"/>
        <v>0</v>
      </c>
      <c r="X36" s="184">
        <f t="shared" si="21"/>
        <v>0</v>
      </c>
      <c r="Z36" s="181">
        <f t="shared" si="10"/>
        <v>25</v>
      </c>
      <c r="AA36" s="182">
        <f t="shared" si="22"/>
        <v>0</v>
      </c>
      <c r="AB36" s="183">
        <f t="shared" si="25"/>
        <v>0</v>
      </c>
      <c r="AC36" s="183">
        <f t="shared" si="23"/>
        <v>0</v>
      </c>
      <c r="AD36" s="184">
        <f t="shared" si="26"/>
        <v>0</v>
      </c>
      <c r="AF36" s="181">
        <f t="shared" si="11"/>
        <v>25</v>
      </c>
      <c r="AG36" s="182">
        <f t="shared" si="27"/>
        <v>0</v>
      </c>
      <c r="AH36" s="183">
        <f t="shared" si="29"/>
        <v>0</v>
      </c>
      <c r="AI36" s="183">
        <f t="shared" si="28"/>
        <v>0</v>
      </c>
      <c r="AJ36" s="184">
        <f t="shared" si="30"/>
        <v>0</v>
      </c>
      <c r="AL36" s="181">
        <f t="shared" si="12"/>
        <v>25</v>
      </c>
      <c r="AM36" s="182">
        <f t="shared" si="31"/>
        <v>0</v>
      </c>
      <c r="AN36" s="183">
        <f t="shared" si="34"/>
        <v>0</v>
      </c>
      <c r="AO36" s="183">
        <f t="shared" si="32"/>
        <v>0</v>
      </c>
      <c r="AP36" s="184">
        <f t="shared" si="33"/>
        <v>0</v>
      </c>
    </row>
    <row r="37" spans="2:42" x14ac:dyDescent="0.2">
      <c r="B37" s="175"/>
      <c r="C37" s="176"/>
      <c r="D37" s="177"/>
      <c r="E37" s="177"/>
      <c r="F37" s="177"/>
      <c r="H37" s="178"/>
      <c r="I37" s="179"/>
      <c r="J37" s="180"/>
      <c r="K37" s="180"/>
      <c r="L37" s="180"/>
      <c r="N37" s="178"/>
      <c r="O37" s="179"/>
      <c r="P37" s="180"/>
      <c r="Q37" s="180"/>
      <c r="R37" s="180"/>
      <c r="T37" s="178"/>
      <c r="U37" s="179"/>
      <c r="V37" s="180"/>
      <c r="W37" s="180"/>
      <c r="X37" s="180"/>
      <c r="Z37" s="178"/>
      <c r="AA37" s="179"/>
      <c r="AB37" s="180"/>
      <c r="AC37" s="180"/>
      <c r="AD37" s="180"/>
      <c r="AF37" s="178"/>
      <c r="AG37" s="179"/>
      <c r="AH37" s="180"/>
      <c r="AI37" s="180"/>
      <c r="AJ37" s="180"/>
      <c r="AL37" s="178"/>
      <c r="AM37" s="179"/>
      <c r="AN37" s="180"/>
      <c r="AO37" s="180"/>
      <c r="AP37" s="180"/>
    </row>
    <row r="38" spans="2:42" x14ac:dyDescent="0.2">
      <c r="B38" s="178"/>
      <c r="C38" s="187"/>
      <c r="D38" s="188" t="s">
        <v>500</v>
      </c>
      <c r="E38" s="189" t="s">
        <v>501</v>
      </c>
      <c r="F38" s="180"/>
      <c r="H38" s="178"/>
      <c r="I38" s="179"/>
      <c r="J38" s="180"/>
      <c r="K38" s="180"/>
      <c r="L38" s="180"/>
      <c r="N38" s="178"/>
      <c r="O38" s="179"/>
      <c r="P38" s="180"/>
      <c r="Q38" s="180"/>
      <c r="R38" s="180"/>
      <c r="T38" s="178"/>
      <c r="U38" s="179"/>
      <c r="V38" s="180"/>
      <c r="W38" s="180"/>
      <c r="X38" s="180"/>
      <c r="Z38" s="178"/>
      <c r="AA38" s="179"/>
      <c r="AB38" s="180"/>
      <c r="AC38" s="180"/>
      <c r="AD38" s="180"/>
      <c r="AF38" s="178"/>
      <c r="AG38" s="179"/>
      <c r="AH38" s="180"/>
      <c r="AI38" s="180"/>
      <c r="AJ38" s="180"/>
      <c r="AL38" s="178"/>
      <c r="AM38" s="179"/>
      <c r="AN38" s="180"/>
      <c r="AO38" s="180"/>
      <c r="AP38" s="180"/>
    </row>
    <row r="39" spans="2:42" x14ac:dyDescent="0.2">
      <c r="B39" s="178"/>
      <c r="C39" s="190" t="s">
        <v>497</v>
      </c>
      <c r="D39" s="186" t="s">
        <v>499</v>
      </c>
      <c r="E39" s="191" t="s">
        <v>134</v>
      </c>
      <c r="F39" s="180"/>
      <c r="H39" s="178"/>
      <c r="I39" s="179"/>
      <c r="J39" s="180"/>
      <c r="K39" s="180"/>
      <c r="L39" s="180"/>
      <c r="N39" s="178"/>
      <c r="O39" s="179"/>
      <c r="P39" s="180"/>
      <c r="Q39" s="180"/>
      <c r="R39" s="180"/>
      <c r="T39" s="178"/>
      <c r="U39" s="179"/>
      <c r="V39" s="180"/>
      <c r="W39" s="180"/>
      <c r="X39" s="180"/>
      <c r="Z39" s="178"/>
      <c r="AA39" s="179"/>
      <c r="AB39" s="180"/>
      <c r="AC39" s="180"/>
      <c r="AD39" s="180"/>
      <c r="AF39" s="178"/>
      <c r="AG39" s="179"/>
      <c r="AH39" s="180"/>
      <c r="AI39" s="180"/>
      <c r="AJ39" s="180"/>
      <c r="AL39" s="178"/>
      <c r="AM39" s="179"/>
      <c r="AN39" s="180"/>
      <c r="AO39" s="180"/>
      <c r="AP39" s="180"/>
    </row>
    <row r="40" spans="2:42" x14ac:dyDescent="0.2">
      <c r="B40" s="178"/>
      <c r="C40" s="192">
        <v>1</v>
      </c>
      <c r="D40" s="180">
        <f t="shared" ref="D40:D49" si="35">D12+J12+P12+V12+AB12+AH12+AN12</f>
        <v>4975</v>
      </c>
      <c r="E40" s="193">
        <f t="shared" ref="E40:E49" si="36">E12+K12+Q12+W12+AC12+AI12+AO12</f>
        <v>5573.0139973812647</v>
      </c>
      <c r="F40" s="180"/>
      <c r="H40" s="178"/>
      <c r="I40" s="179"/>
      <c r="J40" s="180"/>
      <c r="K40" s="180"/>
      <c r="L40" s="180"/>
      <c r="N40" s="178"/>
      <c r="O40" s="179"/>
      <c r="P40" s="180"/>
      <c r="Q40" s="180"/>
      <c r="R40" s="180"/>
      <c r="T40" s="178"/>
      <c r="U40" s="179"/>
      <c r="V40" s="180"/>
      <c r="W40" s="180"/>
      <c r="X40" s="180"/>
      <c r="Z40" s="178"/>
      <c r="AA40" s="179"/>
      <c r="AB40" s="180"/>
      <c r="AC40" s="180"/>
      <c r="AD40" s="180"/>
      <c r="AF40" s="178"/>
      <c r="AG40" s="179"/>
      <c r="AH40" s="180"/>
      <c r="AI40" s="180"/>
      <c r="AJ40" s="180"/>
      <c r="AL40" s="178"/>
      <c r="AM40" s="179"/>
      <c r="AN40" s="180"/>
      <c r="AO40" s="180"/>
      <c r="AP40" s="180"/>
    </row>
    <row r="41" spans="2:42" x14ac:dyDescent="0.2">
      <c r="B41" s="178"/>
      <c r="C41" s="192">
        <v>2</v>
      </c>
      <c r="D41" s="180">
        <f t="shared" si="35"/>
        <v>4663.0162146803477</v>
      </c>
      <c r="E41" s="193">
        <f t="shared" si="36"/>
        <v>5884.997782700917</v>
      </c>
      <c r="F41" s="180"/>
      <c r="H41" s="178"/>
      <c r="I41" s="179"/>
      <c r="J41" s="180"/>
      <c r="K41" s="180"/>
      <c r="L41" s="180"/>
      <c r="N41" s="178"/>
      <c r="O41" s="179"/>
      <c r="P41" s="180"/>
      <c r="Q41" s="180"/>
      <c r="R41" s="180"/>
      <c r="T41" s="178"/>
      <c r="U41" s="179"/>
      <c r="V41" s="180"/>
      <c r="W41" s="180"/>
      <c r="X41" s="180"/>
      <c r="Z41" s="178"/>
      <c r="AA41" s="179"/>
      <c r="AB41" s="180"/>
      <c r="AC41" s="180"/>
      <c r="AD41" s="180"/>
      <c r="AF41" s="178"/>
      <c r="AG41" s="179"/>
      <c r="AH41" s="180"/>
      <c r="AI41" s="180"/>
      <c r="AJ41" s="180"/>
      <c r="AL41" s="178"/>
      <c r="AM41" s="179"/>
      <c r="AN41" s="180"/>
      <c r="AO41" s="180"/>
      <c r="AP41" s="180"/>
    </row>
    <row r="42" spans="2:42" x14ac:dyDescent="0.2">
      <c r="B42" s="178"/>
      <c r="C42" s="192">
        <v>3</v>
      </c>
      <c r="D42" s="180">
        <f t="shared" si="35"/>
        <v>4333.5452402402943</v>
      </c>
      <c r="E42" s="193">
        <f t="shared" si="36"/>
        <v>6214.4687571409704</v>
      </c>
      <c r="F42" s="180"/>
      <c r="H42" s="178"/>
      <c r="I42" s="179"/>
      <c r="J42" s="180"/>
      <c r="K42" s="180"/>
      <c r="L42" s="180"/>
      <c r="N42" s="178"/>
      <c r="O42" s="179"/>
      <c r="P42" s="180"/>
      <c r="Q42" s="180"/>
      <c r="R42" s="180"/>
      <c r="T42" s="178"/>
      <c r="U42" s="179"/>
      <c r="V42" s="180"/>
      <c r="W42" s="180"/>
      <c r="X42" s="180"/>
      <c r="Z42" s="178"/>
      <c r="AA42" s="179"/>
      <c r="AB42" s="180"/>
      <c r="AC42" s="180"/>
      <c r="AD42" s="180"/>
      <c r="AF42" s="178"/>
      <c r="AG42" s="179"/>
      <c r="AH42" s="180"/>
      <c r="AI42" s="180"/>
      <c r="AJ42" s="180"/>
      <c r="AL42" s="178"/>
      <c r="AM42" s="179"/>
      <c r="AN42" s="180"/>
      <c r="AO42" s="180"/>
      <c r="AP42" s="180"/>
    </row>
    <row r="43" spans="2:42" x14ac:dyDescent="0.2">
      <c r="B43" s="178"/>
      <c r="C43" s="192">
        <v>4</v>
      </c>
      <c r="D43" s="180">
        <f t="shared" si="35"/>
        <v>3985.6055964225479</v>
      </c>
      <c r="E43" s="193">
        <f t="shared" si="36"/>
        <v>6562.4084009587168</v>
      </c>
      <c r="F43" s="180"/>
      <c r="H43" s="178"/>
      <c r="I43" s="179"/>
      <c r="J43" s="180"/>
      <c r="K43" s="180"/>
      <c r="L43" s="180"/>
      <c r="N43" s="178"/>
      <c r="O43" s="179"/>
      <c r="P43" s="180"/>
      <c r="Q43" s="180"/>
      <c r="R43" s="180"/>
      <c r="T43" s="178"/>
      <c r="U43" s="179"/>
      <c r="V43" s="180"/>
      <c r="W43" s="180"/>
      <c r="X43" s="180"/>
      <c r="Z43" s="178"/>
      <c r="AA43" s="179"/>
      <c r="AB43" s="180"/>
      <c r="AC43" s="180"/>
      <c r="AD43" s="180"/>
      <c r="AF43" s="178"/>
      <c r="AG43" s="179"/>
      <c r="AH43" s="180"/>
      <c r="AI43" s="180"/>
      <c r="AJ43" s="180"/>
      <c r="AL43" s="178"/>
      <c r="AM43" s="179"/>
      <c r="AN43" s="180"/>
      <c r="AO43" s="180"/>
      <c r="AP43" s="180"/>
    </row>
    <row r="44" spans="2:42" x14ac:dyDescent="0.2">
      <c r="B44" s="178"/>
      <c r="C44" s="192">
        <v>5</v>
      </c>
      <c r="D44" s="180">
        <f t="shared" si="35"/>
        <v>3618.1606404643258</v>
      </c>
      <c r="E44" s="193">
        <f t="shared" si="36"/>
        <v>6929.8533569169385</v>
      </c>
      <c r="F44" s="180"/>
      <c r="H44" s="178"/>
      <c r="I44" s="179"/>
      <c r="J44" s="180"/>
      <c r="K44" s="180"/>
      <c r="L44" s="180"/>
      <c r="N44" s="178"/>
      <c r="O44" s="179"/>
      <c r="P44" s="180"/>
      <c r="Q44" s="180"/>
      <c r="R44" s="180"/>
      <c r="T44" s="178"/>
      <c r="U44" s="179"/>
      <c r="V44" s="180"/>
      <c r="W44" s="180"/>
      <c r="X44" s="180"/>
      <c r="Z44" s="178"/>
      <c r="AA44" s="179"/>
      <c r="AB44" s="180"/>
      <c r="AC44" s="180"/>
      <c r="AD44" s="180"/>
      <c r="AF44" s="178"/>
      <c r="AG44" s="179"/>
      <c r="AH44" s="180"/>
      <c r="AI44" s="180"/>
      <c r="AJ44" s="180"/>
      <c r="AL44" s="178"/>
      <c r="AM44" s="179"/>
      <c r="AN44" s="180"/>
      <c r="AO44" s="180"/>
      <c r="AP44" s="180"/>
    </row>
    <row r="45" spans="2:42" x14ac:dyDescent="0.2">
      <c r="B45" s="178"/>
      <c r="C45" s="192">
        <v>6</v>
      </c>
      <c r="D45" s="180">
        <f t="shared" si="35"/>
        <v>3230.1154622940712</v>
      </c>
      <c r="E45" s="193">
        <f t="shared" si="36"/>
        <v>1463.4876304423678</v>
      </c>
      <c r="F45" s="180"/>
      <c r="H45" s="178"/>
      <c r="I45" s="179"/>
      <c r="J45" s="180"/>
      <c r="K45" s="180"/>
      <c r="L45" s="180"/>
      <c r="N45" s="178"/>
      <c r="O45" s="179"/>
      <c r="P45" s="180"/>
      <c r="Q45" s="180"/>
      <c r="R45" s="180"/>
      <c r="T45" s="178"/>
      <c r="U45" s="179"/>
      <c r="V45" s="180"/>
      <c r="W45" s="180"/>
      <c r="X45" s="180"/>
      <c r="Z45" s="178"/>
      <c r="AA45" s="179"/>
      <c r="AB45" s="180"/>
      <c r="AC45" s="180"/>
      <c r="AD45" s="180"/>
      <c r="AF45" s="178"/>
      <c r="AG45" s="179"/>
      <c r="AH45" s="180"/>
      <c r="AI45" s="180"/>
      <c r="AJ45" s="180"/>
      <c r="AL45" s="178"/>
      <c r="AM45" s="179"/>
      <c r="AN45" s="180"/>
      <c r="AO45" s="180"/>
      <c r="AP45" s="180"/>
    </row>
    <row r="46" spans="2:42" x14ac:dyDescent="0.2">
      <c r="B46" s="178"/>
      <c r="C46" s="192">
        <v>7</v>
      </c>
      <c r="D46" s="180">
        <f t="shared" si="35"/>
        <v>3142.3062044675294</v>
      </c>
      <c r="E46" s="193">
        <f t="shared" si="36"/>
        <v>1551.2968882689097</v>
      </c>
      <c r="F46" s="180"/>
      <c r="H46" s="178"/>
      <c r="I46" s="179"/>
      <c r="J46" s="180"/>
      <c r="K46" s="180"/>
      <c r="L46" s="180"/>
      <c r="N46" s="178"/>
      <c r="O46" s="179"/>
      <c r="P46" s="180"/>
      <c r="Q46" s="180"/>
      <c r="R46" s="180"/>
      <c r="T46" s="178"/>
      <c r="U46" s="179"/>
      <c r="V46" s="180"/>
      <c r="W46" s="180"/>
      <c r="X46" s="180"/>
      <c r="Z46" s="178"/>
      <c r="AA46" s="179"/>
      <c r="AB46" s="180"/>
      <c r="AC46" s="180"/>
      <c r="AD46" s="180"/>
      <c r="AF46" s="178"/>
      <c r="AG46" s="179"/>
      <c r="AH46" s="180"/>
      <c r="AI46" s="180"/>
      <c r="AJ46" s="180"/>
      <c r="AL46" s="178"/>
      <c r="AM46" s="179"/>
      <c r="AN46" s="180"/>
      <c r="AO46" s="180"/>
      <c r="AP46" s="180"/>
    </row>
    <row r="47" spans="2:42" x14ac:dyDescent="0.2">
      <c r="B47" s="178"/>
      <c r="C47" s="192">
        <v>8</v>
      </c>
      <c r="D47" s="180">
        <f t="shared" si="35"/>
        <v>3049.2283911713948</v>
      </c>
      <c r="E47" s="193">
        <f t="shared" si="36"/>
        <v>1644.3747015650442</v>
      </c>
      <c r="F47" s="180"/>
      <c r="H47" s="178"/>
      <c r="I47" s="179"/>
      <c r="J47" s="180"/>
      <c r="K47" s="180"/>
      <c r="L47" s="180"/>
      <c r="N47" s="178"/>
      <c r="O47" s="179"/>
      <c r="P47" s="180"/>
      <c r="Q47" s="180"/>
      <c r="R47" s="180"/>
      <c r="T47" s="178"/>
      <c r="U47" s="179"/>
      <c r="V47" s="180"/>
      <c r="W47" s="180"/>
      <c r="X47" s="180"/>
      <c r="Z47" s="178"/>
      <c r="AA47" s="179"/>
      <c r="AB47" s="180"/>
      <c r="AC47" s="180"/>
      <c r="AD47" s="180"/>
      <c r="AF47" s="178"/>
      <c r="AG47" s="179"/>
      <c r="AH47" s="180"/>
      <c r="AI47" s="180"/>
      <c r="AJ47" s="180"/>
      <c r="AL47" s="178"/>
      <c r="AM47" s="179"/>
      <c r="AN47" s="180"/>
      <c r="AO47" s="180"/>
      <c r="AP47" s="180"/>
    </row>
    <row r="48" spans="2:42" x14ac:dyDescent="0.2">
      <c r="B48" s="178"/>
      <c r="C48" s="192">
        <v>9</v>
      </c>
      <c r="D48" s="180">
        <f t="shared" si="35"/>
        <v>2950.5659090774921</v>
      </c>
      <c r="E48" s="193">
        <f t="shared" si="36"/>
        <v>1743.037183658947</v>
      </c>
      <c r="F48" s="180"/>
      <c r="H48" s="178"/>
      <c r="I48" s="179"/>
      <c r="J48" s="180"/>
      <c r="K48" s="180"/>
      <c r="L48" s="180"/>
      <c r="N48" s="178"/>
      <c r="O48" s="179"/>
      <c r="P48" s="180"/>
      <c r="Q48" s="180"/>
      <c r="R48" s="180"/>
      <c r="T48" s="178"/>
      <c r="U48" s="179"/>
      <c r="V48" s="180"/>
      <c r="W48" s="180"/>
      <c r="X48" s="180"/>
      <c r="Z48" s="178"/>
      <c r="AA48" s="179"/>
      <c r="AB48" s="180"/>
      <c r="AC48" s="180"/>
      <c r="AD48" s="180"/>
      <c r="AF48" s="178"/>
      <c r="AG48" s="179"/>
      <c r="AH48" s="180"/>
      <c r="AI48" s="180"/>
      <c r="AJ48" s="180"/>
      <c r="AL48" s="178"/>
      <c r="AM48" s="179"/>
      <c r="AN48" s="180"/>
      <c r="AO48" s="180"/>
      <c r="AP48" s="180"/>
    </row>
    <row r="49" spans="2:42" x14ac:dyDescent="0.2">
      <c r="B49" s="178"/>
      <c r="C49" s="194">
        <v>10</v>
      </c>
      <c r="D49" s="195">
        <f t="shared" si="35"/>
        <v>2845.9836780579553</v>
      </c>
      <c r="E49" s="196">
        <f t="shared" si="36"/>
        <v>1847.6194146784837</v>
      </c>
      <c r="F49" s="180"/>
      <c r="H49" s="178"/>
      <c r="I49" s="179"/>
      <c r="J49" s="180"/>
      <c r="K49" s="180"/>
      <c r="L49" s="180"/>
      <c r="N49" s="178"/>
      <c r="O49" s="179"/>
      <c r="P49" s="180"/>
      <c r="Q49" s="180"/>
      <c r="R49" s="180"/>
      <c r="T49" s="178"/>
      <c r="U49" s="179"/>
      <c r="V49" s="180"/>
      <c r="W49" s="180"/>
      <c r="X49" s="180"/>
      <c r="Z49" s="178"/>
      <c r="AA49" s="179"/>
      <c r="AB49" s="180"/>
      <c r="AC49" s="180"/>
      <c r="AD49" s="180"/>
      <c r="AF49" s="178"/>
      <c r="AG49" s="179"/>
      <c r="AH49" s="180"/>
      <c r="AI49" s="180"/>
      <c r="AJ49" s="180"/>
      <c r="AL49" s="178"/>
      <c r="AM49" s="179"/>
      <c r="AN49" s="180"/>
      <c r="AO49" s="180"/>
      <c r="AP49" s="180"/>
    </row>
    <row r="50" spans="2:42" x14ac:dyDescent="0.2">
      <c r="B50" s="178"/>
      <c r="C50" s="179"/>
      <c r="D50" s="180"/>
      <c r="E50" s="180"/>
      <c r="F50" s="180"/>
      <c r="H50" s="178"/>
      <c r="I50" s="179"/>
      <c r="J50" s="180"/>
      <c r="K50" s="180"/>
      <c r="L50" s="180"/>
      <c r="N50" s="178"/>
      <c r="O50" s="179"/>
      <c r="P50" s="180"/>
      <c r="Q50" s="180"/>
      <c r="R50" s="180"/>
      <c r="T50" s="178"/>
      <c r="U50" s="179"/>
      <c r="V50" s="180"/>
      <c r="W50" s="180"/>
      <c r="X50" s="180"/>
      <c r="Z50" s="178"/>
      <c r="AA50" s="179"/>
      <c r="AB50" s="180"/>
      <c r="AC50" s="180"/>
      <c r="AD50" s="180"/>
      <c r="AF50" s="178"/>
      <c r="AG50" s="179"/>
      <c r="AH50" s="180"/>
      <c r="AI50" s="180"/>
      <c r="AJ50" s="180"/>
      <c r="AL50" s="178"/>
      <c r="AM50" s="179"/>
      <c r="AN50" s="180"/>
      <c r="AO50" s="180"/>
      <c r="AP50" s="180"/>
    </row>
    <row r="51" spans="2:42" x14ac:dyDescent="0.2">
      <c r="B51" s="178"/>
      <c r="C51" s="179"/>
      <c r="D51" s="180"/>
      <c r="E51" s="180"/>
      <c r="F51" s="180"/>
      <c r="H51" s="178"/>
      <c r="I51" s="179"/>
      <c r="J51" s="180"/>
      <c r="K51" s="180"/>
      <c r="L51" s="180"/>
      <c r="N51" s="178"/>
      <c r="O51" s="179"/>
      <c r="P51" s="180"/>
      <c r="Q51" s="180"/>
      <c r="R51" s="180"/>
      <c r="T51" s="178"/>
      <c r="U51" s="179"/>
      <c r="V51" s="180"/>
      <c r="W51" s="180"/>
      <c r="X51" s="180"/>
      <c r="Z51" s="178"/>
      <c r="AA51" s="179"/>
      <c r="AB51" s="180"/>
      <c r="AC51" s="180"/>
      <c r="AD51" s="180"/>
      <c r="AF51" s="178"/>
      <c r="AG51" s="179"/>
      <c r="AH51" s="180"/>
      <c r="AI51" s="180"/>
      <c r="AJ51" s="180"/>
      <c r="AL51" s="178"/>
      <c r="AM51" s="179"/>
      <c r="AN51" s="180"/>
      <c r="AO51" s="180"/>
      <c r="AP51" s="180"/>
    </row>
    <row r="52" spans="2:42" x14ac:dyDescent="0.2">
      <c r="B52" s="178"/>
      <c r="C52" s="179"/>
      <c r="D52" s="180"/>
      <c r="E52" s="180"/>
      <c r="F52" s="180"/>
      <c r="H52" s="178"/>
      <c r="I52" s="179"/>
      <c r="J52" s="180"/>
      <c r="K52" s="180"/>
      <c r="L52" s="180"/>
      <c r="N52" s="178"/>
      <c r="O52" s="179"/>
      <c r="P52" s="180"/>
      <c r="Q52" s="180"/>
      <c r="R52" s="180"/>
      <c r="T52" s="178"/>
      <c r="U52" s="179"/>
      <c r="V52" s="180"/>
      <c r="W52" s="180"/>
      <c r="X52" s="180"/>
      <c r="Z52" s="178"/>
      <c r="AA52" s="179"/>
      <c r="AB52" s="180"/>
      <c r="AC52" s="180"/>
      <c r="AD52" s="180"/>
      <c r="AF52" s="178"/>
      <c r="AG52" s="179"/>
      <c r="AH52" s="180"/>
      <c r="AI52" s="180"/>
      <c r="AJ52" s="180"/>
      <c r="AL52" s="178"/>
      <c r="AM52" s="179"/>
      <c r="AN52" s="180"/>
      <c r="AO52" s="180"/>
      <c r="AP52" s="180"/>
    </row>
    <row r="53" spans="2:42" x14ac:dyDescent="0.2">
      <c r="B53" s="178"/>
      <c r="C53" s="179"/>
      <c r="D53" s="180"/>
      <c r="E53" s="180"/>
      <c r="F53" s="180"/>
      <c r="H53" s="178"/>
      <c r="I53" s="179"/>
      <c r="J53" s="180"/>
      <c r="K53" s="180"/>
      <c r="L53" s="180"/>
      <c r="N53" s="178"/>
      <c r="O53" s="179"/>
      <c r="P53" s="180"/>
      <c r="Q53" s="180"/>
      <c r="R53" s="180"/>
      <c r="T53" s="178"/>
      <c r="U53" s="179"/>
      <c r="V53" s="180"/>
      <c r="W53" s="180"/>
      <c r="X53" s="180"/>
      <c r="Z53" s="178"/>
      <c r="AA53" s="179"/>
      <c r="AB53" s="180"/>
      <c r="AC53" s="180"/>
      <c r="AD53" s="180"/>
      <c r="AF53" s="178"/>
      <c r="AG53" s="179"/>
      <c r="AH53" s="180"/>
      <c r="AI53" s="180"/>
      <c r="AJ53" s="180"/>
      <c r="AL53" s="178"/>
      <c r="AM53" s="179"/>
      <c r="AN53" s="180"/>
      <c r="AO53" s="180"/>
      <c r="AP53" s="180"/>
    </row>
    <row r="54" spans="2:42" x14ac:dyDescent="0.2">
      <c r="B54" s="178"/>
      <c r="C54" s="179"/>
      <c r="D54" s="180"/>
      <c r="E54" s="180"/>
      <c r="F54" s="180"/>
      <c r="H54" s="178"/>
      <c r="I54" s="179"/>
      <c r="J54" s="180"/>
      <c r="K54" s="180"/>
      <c r="L54" s="180"/>
      <c r="N54" s="178"/>
      <c r="O54" s="179"/>
      <c r="P54" s="180"/>
      <c r="Q54" s="180"/>
      <c r="R54" s="180"/>
      <c r="T54" s="178"/>
      <c r="U54" s="179"/>
      <c r="V54" s="180"/>
      <c r="W54" s="180"/>
      <c r="X54" s="180"/>
      <c r="Z54" s="178"/>
      <c r="AA54" s="179"/>
      <c r="AB54" s="180"/>
      <c r="AC54" s="180"/>
      <c r="AD54" s="180"/>
      <c r="AF54" s="178"/>
      <c r="AG54" s="179"/>
      <c r="AH54" s="180"/>
      <c r="AI54" s="180"/>
      <c r="AJ54" s="180"/>
      <c r="AL54" s="178"/>
      <c r="AM54" s="179"/>
      <c r="AN54" s="180"/>
      <c r="AO54" s="180"/>
      <c r="AP54" s="180"/>
    </row>
    <row r="55" spans="2:42" x14ac:dyDescent="0.2">
      <c r="B55" s="178"/>
      <c r="C55" s="179"/>
      <c r="D55" s="180"/>
      <c r="E55" s="180"/>
      <c r="F55" s="180"/>
      <c r="H55" s="178"/>
      <c r="I55" s="179"/>
      <c r="J55" s="180"/>
      <c r="K55" s="180"/>
      <c r="L55" s="180"/>
      <c r="N55" s="178"/>
      <c r="O55" s="179"/>
      <c r="P55" s="180"/>
      <c r="Q55" s="180"/>
      <c r="R55" s="180"/>
      <c r="T55" s="178"/>
      <c r="U55" s="179"/>
      <c r="V55" s="180"/>
      <c r="W55" s="180"/>
      <c r="X55" s="180"/>
      <c r="Z55" s="178"/>
      <c r="AA55" s="179"/>
      <c r="AB55" s="180"/>
      <c r="AC55" s="180"/>
      <c r="AD55" s="180"/>
      <c r="AF55" s="178"/>
      <c r="AG55" s="179"/>
      <c r="AH55" s="180"/>
      <c r="AI55" s="180"/>
      <c r="AJ55" s="180"/>
      <c r="AL55" s="178"/>
      <c r="AM55" s="179"/>
      <c r="AN55" s="180"/>
      <c r="AO55" s="180"/>
      <c r="AP55" s="180"/>
    </row>
    <row r="56" spans="2:42" x14ac:dyDescent="0.2">
      <c r="B56" s="178"/>
      <c r="C56" s="179"/>
      <c r="D56" s="180"/>
      <c r="E56" s="180"/>
      <c r="F56" s="180"/>
      <c r="H56" s="178"/>
      <c r="I56" s="179"/>
      <c r="J56" s="180"/>
      <c r="K56" s="180"/>
      <c r="L56" s="180"/>
      <c r="N56" s="178"/>
      <c r="O56" s="179"/>
      <c r="P56" s="180"/>
      <c r="Q56" s="180"/>
      <c r="R56" s="180"/>
      <c r="T56" s="178"/>
      <c r="U56" s="179"/>
      <c r="V56" s="180"/>
      <c r="W56" s="180"/>
      <c r="X56" s="180"/>
      <c r="Z56" s="178"/>
      <c r="AA56" s="179"/>
      <c r="AB56" s="180"/>
      <c r="AC56" s="180"/>
      <c r="AD56" s="180"/>
      <c r="AF56" s="178"/>
      <c r="AG56" s="179"/>
      <c r="AH56" s="180"/>
      <c r="AI56" s="180"/>
      <c r="AJ56" s="180"/>
      <c r="AL56" s="178"/>
      <c r="AM56" s="179"/>
      <c r="AN56" s="180"/>
      <c r="AO56" s="180"/>
      <c r="AP56" s="180"/>
    </row>
    <row r="57" spans="2:42" x14ac:dyDescent="0.2">
      <c r="B57" s="178"/>
      <c r="C57" s="179"/>
      <c r="D57" s="180"/>
      <c r="E57" s="180"/>
      <c r="F57" s="180"/>
      <c r="H57" s="178"/>
      <c r="I57" s="179"/>
      <c r="J57" s="180"/>
      <c r="K57" s="180"/>
      <c r="L57" s="180"/>
      <c r="N57" s="178"/>
      <c r="O57" s="179"/>
      <c r="P57" s="180"/>
      <c r="Q57" s="180"/>
      <c r="R57" s="180"/>
      <c r="T57" s="178"/>
      <c r="U57" s="179"/>
      <c r="V57" s="180"/>
      <c r="W57" s="180"/>
      <c r="X57" s="180"/>
      <c r="Z57" s="178"/>
      <c r="AA57" s="179"/>
      <c r="AB57" s="180"/>
      <c r="AC57" s="180"/>
      <c r="AD57" s="180"/>
      <c r="AF57" s="178"/>
      <c r="AG57" s="179"/>
      <c r="AH57" s="180"/>
      <c r="AI57" s="180"/>
      <c r="AJ57" s="180"/>
      <c r="AL57" s="178"/>
      <c r="AM57" s="179"/>
      <c r="AN57" s="180"/>
      <c r="AO57" s="180"/>
      <c r="AP57" s="180"/>
    </row>
    <row r="58" spans="2:42" x14ac:dyDescent="0.2">
      <c r="B58" s="178"/>
      <c r="C58" s="179"/>
      <c r="D58" s="180"/>
      <c r="E58" s="180"/>
      <c r="F58" s="180"/>
      <c r="H58" s="178"/>
      <c r="I58" s="179"/>
      <c r="J58" s="180"/>
      <c r="K58" s="180"/>
      <c r="L58" s="180"/>
      <c r="N58" s="178"/>
      <c r="O58" s="179"/>
      <c r="P58" s="180"/>
      <c r="Q58" s="180"/>
      <c r="R58" s="180"/>
      <c r="T58" s="178"/>
      <c r="U58" s="179"/>
      <c r="V58" s="180"/>
      <c r="W58" s="180"/>
      <c r="X58" s="180"/>
      <c r="Z58" s="178"/>
      <c r="AA58" s="179"/>
      <c r="AB58" s="180"/>
      <c r="AC58" s="180"/>
      <c r="AD58" s="180"/>
      <c r="AF58" s="178"/>
      <c r="AG58" s="179"/>
      <c r="AH58" s="180"/>
      <c r="AI58" s="180"/>
      <c r="AJ58" s="180"/>
      <c r="AL58" s="178"/>
      <c r="AM58" s="179"/>
      <c r="AN58" s="180"/>
      <c r="AO58" s="180"/>
      <c r="AP58" s="180"/>
    </row>
    <row r="59" spans="2:42" x14ac:dyDescent="0.2">
      <c r="B59" s="178"/>
      <c r="C59" s="179"/>
      <c r="D59" s="180"/>
      <c r="E59" s="180"/>
      <c r="F59" s="180"/>
      <c r="H59" s="178"/>
      <c r="I59" s="179"/>
      <c r="J59" s="180"/>
      <c r="K59" s="180"/>
      <c r="L59" s="180"/>
      <c r="N59" s="178"/>
      <c r="O59" s="179"/>
      <c r="P59" s="180"/>
      <c r="Q59" s="180"/>
      <c r="R59" s="180"/>
      <c r="T59" s="178"/>
      <c r="U59" s="179"/>
      <c r="V59" s="180"/>
      <c r="W59" s="180"/>
      <c r="X59" s="180"/>
      <c r="Z59" s="178"/>
      <c r="AA59" s="179"/>
      <c r="AB59" s="180"/>
      <c r="AC59" s="180"/>
      <c r="AD59" s="180"/>
      <c r="AF59" s="178"/>
      <c r="AG59" s="179"/>
      <c r="AH59" s="180"/>
      <c r="AI59" s="180"/>
      <c r="AJ59" s="180"/>
      <c r="AL59" s="178"/>
      <c r="AM59" s="179"/>
      <c r="AN59" s="180"/>
      <c r="AO59" s="180"/>
      <c r="AP59" s="180"/>
    </row>
    <row r="60" spans="2:42" x14ac:dyDescent="0.2">
      <c r="B60" s="178"/>
      <c r="C60" s="179"/>
      <c r="D60" s="180"/>
      <c r="E60" s="180"/>
      <c r="F60" s="180"/>
      <c r="H60" s="178"/>
      <c r="I60" s="179"/>
      <c r="J60" s="180"/>
      <c r="K60" s="180"/>
      <c r="L60" s="180"/>
      <c r="N60" s="178"/>
      <c r="O60" s="179"/>
      <c r="P60" s="180"/>
      <c r="Q60" s="180"/>
      <c r="R60" s="180"/>
      <c r="T60" s="178"/>
      <c r="U60" s="179"/>
      <c r="V60" s="180"/>
      <c r="W60" s="180"/>
      <c r="X60" s="180"/>
      <c r="Z60" s="178"/>
      <c r="AA60" s="179"/>
      <c r="AB60" s="180"/>
      <c r="AC60" s="180"/>
      <c r="AD60" s="180"/>
      <c r="AF60" s="178"/>
      <c r="AG60" s="179"/>
      <c r="AH60" s="180"/>
      <c r="AI60" s="180"/>
      <c r="AJ60" s="180"/>
      <c r="AL60" s="178"/>
      <c r="AM60" s="179"/>
      <c r="AN60" s="180"/>
      <c r="AO60" s="180"/>
      <c r="AP60" s="180"/>
    </row>
    <row r="61" spans="2:42" x14ac:dyDescent="0.2">
      <c r="B61" s="178"/>
      <c r="C61" s="179"/>
      <c r="D61" s="180"/>
      <c r="E61" s="180"/>
      <c r="F61" s="180"/>
      <c r="H61" s="178"/>
      <c r="I61" s="179"/>
      <c r="J61" s="180"/>
      <c r="K61" s="180"/>
      <c r="L61" s="180"/>
      <c r="N61" s="178"/>
      <c r="O61" s="179"/>
      <c r="P61" s="180"/>
      <c r="Q61" s="180"/>
      <c r="R61" s="180"/>
      <c r="T61" s="178"/>
      <c r="U61" s="179"/>
      <c r="V61" s="180"/>
      <c r="W61" s="180"/>
      <c r="X61" s="180"/>
      <c r="Z61" s="178"/>
      <c r="AA61" s="179"/>
      <c r="AB61" s="180"/>
      <c r="AC61" s="180"/>
      <c r="AD61" s="180"/>
      <c r="AF61" s="178"/>
      <c r="AG61" s="179"/>
      <c r="AH61" s="180"/>
      <c r="AI61" s="180"/>
      <c r="AJ61" s="180"/>
      <c r="AL61" s="178"/>
      <c r="AM61" s="179"/>
      <c r="AN61" s="180"/>
      <c r="AO61" s="180"/>
      <c r="AP61" s="180"/>
    </row>
    <row r="62" spans="2:42" x14ac:dyDescent="0.2">
      <c r="B62" s="178"/>
      <c r="C62" s="179"/>
      <c r="D62" s="180"/>
      <c r="E62" s="180"/>
      <c r="F62" s="180"/>
      <c r="H62" s="178"/>
      <c r="I62" s="179"/>
      <c r="J62" s="180"/>
      <c r="K62" s="180"/>
      <c r="L62" s="180"/>
      <c r="N62" s="178"/>
      <c r="O62" s="179"/>
      <c r="P62" s="180"/>
      <c r="Q62" s="180"/>
      <c r="R62" s="180"/>
      <c r="T62" s="178"/>
      <c r="U62" s="179"/>
      <c r="V62" s="180"/>
      <c r="W62" s="180"/>
      <c r="X62" s="180"/>
      <c r="Z62" s="178"/>
      <c r="AA62" s="179"/>
      <c r="AB62" s="180"/>
      <c r="AC62" s="180"/>
      <c r="AD62" s="180"/>
      <c r="AF62" s="178"/>
      <c r="AG62" s="179"/>
      <c r="AH62" s="180"/>
      <c r="AI62" s="180"/>
      <c r="AJ62" s="180"/>
      <c r="AL62" s="178"/>
      <c r="AM62" s="179"/>
      <c r="AN62" s="180"/>
      <c r="AO62" s="180"/>
      <c r="AP62" s="180"/>
    </row>
    <row r="63" spans="2:42" x14ac:dyDescent="0.2">
      <c r="B63" s="178"/>
      <c r="C63" s="179"/>
      <c r="D63" s="180"/>
      <c r="E63" s="180"/>
      <c r="F63" s="180"/>
      <c r="H63" s="178"/>
      <c r="I63" s="179"/>
      <c r="J63" s="180"/>
      <c r="K63" s="180"/>
      <c r="L63" s="180"/>
      <c r="N63" s="178"/>
      <c r="O63" s="179"/>
      <c r="P63" s="180"/>
      <c r="Q63" s="180"/>
      <c r="R63" s="180"/>
      <c r="T63" s="178"/>
      <c r="U63" s="179"/>
      <c r="V63" s="180"/>
      <c r="W63" s="180"/>
      <c r="X63" s="180"/>
      <c r="Z63" s="178"/>
      <c r="AA63" s="179"/>
      <c r="AB63" s="180"/>
      <c r="AC63" s="180"/>
      <c r="AD63" s="180"/>
      <c r="AF63" s="178"/>
      <c r="AG63" s="179"/>
      <c r="AH63" s="180"/>
      <c r="AI63" s="180"/>
      <c r="AJ63" s="180"/>
      <c r="AL63" s="178"/>
      <c r="AM63" s="179"/>
      <c r="AN63" s="180"/>
      <c r="AO63" s="180"/>
      <c r="AP63" s="180"/>
    </row>
    <row r="64" spans="2:42" x14ac:dyDescent="0.2">
      <c r="B64" s="178"/>
      <c r="C64" s="179"/>
      <c r="D64" s="180"/>
      <c r="E64" s="180"/>
      <c r="F64" s="180"/>
      <c r="H64" s="178"/>
      <c r="I64" s="179"/>
      <c r="J64" s="180"/>
      <c r="K64" s="180"/>
      <c r="L64" s="180"/>
      <c r="N64" s="178"/>
      <c r="O64" s="179"/>
      <c r="P64" s="180"/>
      <c r="Q64" s="180"/>
      <c r="R64" s="180"/>
      <c r="T64" s="178"/>
      <c r="U64" s="179"/>
      <c r="V64" s="180"/>
      <c r="W64" s="180"/>
      <c r="X64" s="180"/>
      <c r="Z64" s="178"/>
      <c r="AA64" s="179"/>
      <c r="AB64" s="180"/>
      <c r="AC64" s="180"/>
      <c r="AD64" s="180"/>
      <c r="AF64" s="178"/>
      <c r="AG64" s="179"/>
      <c r="AH64" s="180"/>
      <c r="AI64" s="180"/>
      <c r="AJ64" s="180"/>
      <c r="AL64" s="178"/>
      <c r="AM64" s="179"/>
      <c r="AN64" s="180"/>
      <c r="AO64" s="180"/>
      <c r="AP64" s="180"/>
    </row>
    <row r="65" spans="2:42" x14ac:dyDescent="0.2">
      <c r="B65" s="178"/>
      <c r="C65" s="179"/>
      <c r="D65" s="180"/>
      <c r="E65" s="180"/>
      <c r="F65" s="180"/>
      <c r="H65" s="178"/>
      <c r="I65" s="179"/>
      <c r="J65" s="180"/>
      <c r="K65" s="180"/>
      <c r="L65" s="180"/>
      <c r="N65" s="178"/>
      <c r="O65" s="179"/>
      <c r="P65" s="180"/>
      <c r="Q65" s="180"/>
      <c r="R65" s="180"/>
      <c r="T65" s="178"/>
      <c r="U65" s="179"/>
      <c r="V65" s="180"/>
      <c r="W65" s="180"/>
      <c r="X65" s="180"/>
      <c r="Z65" s="178"/>
      <c r="AA65" s="179"/>
      <c r="AB65" s="180"/>
      <c r="AC65" s="180"/>
      <c r="AD65" s="180"/>
      <c r="AF65" s="178"/>
      <c r="AG65" s="179"/>
      <c r="AH65" s="180"/>
      <c r="AI65" s="180"/>
      <c r="AJ65" s="180"/>
      <c r="AL65" s="178"/>
      <c r="AM65" s="179"/>
      <c r="AN65" s="180"/>
      <c r="AO65" s="180"/>
      <c r="AP65" s="180"/>
    </row>
    <row r="66" spans="2:42" x14ac:dyDescent="0.2">
      <c r="B66" s="178"/>
      <c r="C66" s="179"/>
      <c r="D66" s="180"/>
      <c r="E66" s="180"/>
      <c r="F66" s="180"/>
      <c r="H66" s="178"/>
      <c r="I66" s="179"/>
      <c r="J66" s="180"/>
      <c r="K66" s="180"/>
      <c r="L66" s="180"/>
      <c r="N66" s="178"/>
      <c r="O66" s="179"/>
      <c r="P66" s="180"/>
      <c r="Q66" s="180"/>
      <c r="R66" s="180"/>
      <c r="T66" s="178"/>
      <c r="U66" s="179"/>
      <c r="V66" s="180"/>
      <c r="W66" s="180"/>
      <c r="X66" s="180"/>
      <c r="Z66" s="178"/>
      <c r="AA66" s="179"/>
      <c r="AB66" s="180"/>
      <c r="AC66" s="180"/>
      <c r="AD66" s="180"/>
      <c r="AF66" s="178"/>
      <c r="AG66" s="179"/>
      <c r="AH66" s="180"/>
      <c r="AI66" s="180"/>
      <c r="AJ66" s="180"/>
      <c r="AL66" s="178"/>
      <c r="AM66" s="179"/>
      <c r="AN66" s="180"/>
      <c r="AO66" s="180"/>
      <c r="AP66" s="180"/>
    </row>
    <row r="67" spans="2:42" x14ac:dyDescent="0.2">
      <c r="B67" s="178"/>
      <c r="C67" s="179"/>
      <c r="D67" s="180"/>
      <c r="E67" s="180"/>
      <c r="F67" s="180"/>
      <c r="H67" s="178"/>
      <c r="I67" s="179"/>
      <c r="J67" s="180"/>
      <c r="K67" s="180"/>
      <c r="L67" s="180"/>
      <c r="N67" s="178"/>
      <c r="O67" s="179"/>
      <c r="P67" s="180"/>
      <c r="Q67" s="180"/>
      <c r="R67" s="180"/>
      <c r="T67" s="178"/>
      <c r="U67" s="179"/>
      <c r="V67" s="180"/>
      <c r="W67" s="180"/>
      <c r="X67" s="180"/>
      <c r="Z67" s="178"/>
      <c r="AA67" s="179"/>
      <c r="AB67" s="180"/>
      <c r="AC67" s="180"/>
      <c r="AD67" s="180"/>
      <c r="AF67" s="178"/>
      <c r="AG67" s="179"/>
      <c r="AH67" s="180"/>
      <c r="AI67" s="180"/>
      <c r="AJ67" s="180"/>
      <c r="AL67" s="178"/>
      <c r="AM67" s="179"/>
      <c r="AN67" s="180"/>
      <c r="AO67" s="180"/>
      <c r="AP67" s="180"/>
    </row>
    <row r="68" spans="2:42" x14ac:dyDescent="0.2">
      <c r="B68" s="178"/>
      <c r="C68" s="179"/>
      <c r="D68" s="180"/>
      <c r="E68" s="180"/>
      <c r="F68" s="180"/>
      <c r="H68" s="178"/>
      <c r="I68" s="179"/>
      <c r="J68" s="180"/>
      <c r="K68" s="180"/>
      <c r="L68" s="180"/>
      <c r="N68" s="178"/>
      <c r="O68" s="179"/>
      <c r="P68" s="180"/>
      <c r="Q68" s="180"/>
      <c r="R68" s="180"/>
      <c r="T68" s="178"/>
      <c r="U68" s="179"/>
      <c r="V68" s="180"/>
      <c r="W68" s="180"/>
      <c r="X68" s="180"/>
      <c r="Z68" s="178"/>
      <c r="AA68" s="179"/>
      <c r="AB68" s="180"/>
      <c r="AC68" s="180"/>
      <c r="AD68" s="180"/>
      <c r="AF68" s="178"/>
      <c r="AG68" s="179"/>
      <c r="AH68" s="180"/>
      <c r="AI68" s="180"/>
      <c r="AJ68" s="180"/>
      <c r="AL68" s="178"/>
      <c r="AM68" s="179"/>
      <c r="AN68" s="180"/>
      <c r="AO68" s="180"/>
      <c r="AP68" s="180"/>
    </row>
    <row r="69" spans="2:42" x14ac:dyDescent="0.2">
      <c r="B69" s="178"/>
      <c r="C69" s="179"/>
      <c r="D69" s="180"/>
      <c r="E69" s="180"/>
      <c r="F69" s="180"/>
      <c r="H69" s="178"/>
      <c r="I69" s="179"/>
      <c r="J69" s="180"/>
      <c r="K69" s="180"/>
      <c r="L69" s="180"/>
      <c r="N69" s="178"/>
      <c r="O69" s="179"/>
      <c r="P69" s="180"/>
      <c r="Q69" s="180"/>
      <c r="R69" s="180"/>
      <c r="T69" s="178"/>
      <c r="U69" s="179"/>
      <c r="V69" s="180"/>
      <c r="W69" s="180"/>
      <c r="X69" s="180"/>
      <c r="Z69" s="178"/>
      <c r="AA69" s="179"/>
      <c r="AB69" s="180"/>
      <c r="AC69" s="180"/>
      <c r="AD69" s="180"/>
      <c r="AF69" s="178"/>
      <c r="AG69" s="179"/>
      <c r="AH69" s="180"/>
      <c r="AI69" s="180"/>
      <c r="AJ69" s="180"/>
      <c r="AL69" s="178"/>
      <c r="AM69" s="179"/>
      <c r="AN69" s="180"/>
      <c r="AO69" s="180"/>
      <c r="AP69" s="180"/>
    </row>
    <row r="70" spans="2:42" x14ac:dyDescent="0.2">
      <c r="B70" s="178"/>
      <c r="C70" s="179"/>
      <c r="D70" s="180"/>
      <c r="E70" s="180"/>
      <c r="F70" s="180"/>
      <c r="H70" s="178"/>
      <c r="I70" s="179"/>
      <c r="J70" s="180"/>
      <c r="K70" s="180"/>
      <c r="L70" s="180"/>
      <c r="N70" s="178"/>
      <c r="O70" s="179"/>
      <c r="P70" s="180"/>
      <c r="Q70" s="180"/>
      <c r="R70" s="180"/>
      <c r="T70" s="178"/>
      <c r="U70" s="179"/>
      <c r="V70" s="180"/>
      <c r="W70" s="180"/>
      <c r="X70" s="180"/>
      <c r="Z70" s="178"/>
      <c r="AA70" s="179"/>
      <c r="AB70" s="180"/>
      <c r="AC70" s="180"/>
      <c r="AD70" s="180"/>
      <c r="AF70" s="178"/>
      <c r="AG70" s="179"/>
      <c r="AH70" s="180"/>
      <c r="AI70" s="180"/>
      <c r="AJ70" s="180"/>
      <c r="AL70" s="178"/>
      <c r="AM70" s="179"/>
      <c r="AN70" s="180"/>
      <c r="AO70" s="180"/>
      <c r="AP70" s="180"/>
    </row>
    <row r="71" spans="2:42" x14ac:dyDescent="0.2">
      <c r="B71" s="178"/>
      <c r="C71" s="179"/>
      <c r="D71" s="180"/>
      <c r="E71" s="180"/>
      <c r="F71" s="180"/>
      <c r="H71" s="178"/>
      <c r="I71" s="179"/>
      <c r="J71" s="180"/>
      <c r="K71" s="180"/>
      <c r="L71" s="180"/>
      <c r="N71" s="178"/>
      <c r="O71" s="179"/>
      <c r="P71" s="180"/>
      <c r="Q71" s="180"/>
      <c r="R71" s="180"/>
      <c r="T71" s="178"/>
      <c r="U71" s="179"/>
      <c r="V71" s="180"/>
      <c r="W71" s="180"/>
      <c r="X71" s="180"/>
      <c r="Z71" s="178"/>
      <c r="AA71" s="179"/>
      <c r="AB71" s="180"/>
      <c r="AC71" s="180"/>
      <c r="AD71" s="180"/>
      <c r="AF71" s="178"/>
      <c r="AG71" s="179"/>
      <c r="AH71" s="180"/>
      <c r="AI71" s="180"/>
      <c r="AJ71" s="180"/>
      <c r="AL71" s="178"/>
      <c r="AM71" s="179"/>
      <c r="AN71" s="180"/>
      <c r="AO71" s="180"/>
      <c r="AP71" s="180"/>
    </row>
    <row r="72" spans="2:42" x14ac:dyDescent="0.2">
      <c r="B72" s="178"/>
      <c r="C72" s="179"/>
      <c r="D72" s="180"/>
      <c r="E72" s="180"/>
      <c r="F72" s="180"/>
      <c r="H72" s="178"/>
      <c r="I72" s="179"/>
      <c r="J72" s="180"/>
      <c r="K72" s="180"/>
      <c r="L72" s="180"/>
      <c r="N72" s="178"/>
      <c r="O72" s="179"/>
      <c r="P72" s="180"/>
      <c r="Q72" s="180"/>
      <c r="R72" s="180"/>
      <c r="T72" s="178"/>
      <c r="U72" s="179"/>
      <c r="V72" s="180"/>
      <c r="W72" s="180"/>
      <c r="X72" s="180"/>
      <c r="Z72" s="178"/>
      <c r="AA72" s="179"/>
      <c r="AB72" s="180"/>
      <c r="AC72" s="180"/>
      <c r="AD72" s="180"/>
      <c r="AF72" s="178"/>
      <c r="AG72" s="179"/>
      <c r="AH72" s="180"/>
      <c r="AI72" s="180"/>
      <c r="AJ72" s="180"/>
      <c r="AL72" s="178"/>
      <c r="AM72" s="179"/>
      <c r="AN72" s="180"/>
      <c r="AO72" s="180"/>
      <c r="AP72" s="180"/>
    </row>
    <row r="73" spans="2:42" x14ac:dyDescent="0.2">
      <c r="B73" s="178"/>
      <c r="C73" s="179"/>
      <c r="D73" s="180"/>
      <c r="E73" s="180"/>
      <c r="F73" s="180"/>
      <c r="H73" s="178"/>
      <c r="I73" s="179"/>
      <c r="J73" s="180"/>
      <c r="K73" s="180"/>
      <c r="L73" s="180"/>
      <c r="N73" s="178"/>
      <c r="O73" s="179"/>
      <c r="P73" s="180"/>
      <c r="Q73" s="180"/>
      <c r="R73" s="180"/>
      <c r="T73" s="178"/>
      <c r="U73" s="179"/>
      <c r="V73" s="180"/>
      <c r="W73" s="180"/>
      <c r="X73" s="180"/>
      <c r="Z73" s="178"/>
      <c r="AA73" s="179"/>
      <c r="AB73" s="180"/>
      <c r="AC73" s="180"/>
      <c r="AD73" s="180"/>
      <c r="AF73" s="178"/>
      <c r="AG73" s="179"/>
      <c r="AH73" s="180"/>
      <c r="AI73" s="180"/>
      <c r="AJ73" s="180"/>
      <c r="AL73" s="178"/>
      <c r="AM73" s="179"/>
      <c r="AN73" s="180"/>
      <c r="AO73" s="180"/>
      <c r="AP73" s="180"/>
    </row>
    <row r="74" spans="2:42" x14ac:dyDescent="0.2">
      <c r="B74" s="178"/>
      <c r="C74" s="179"/>
      <c r="D74" s="180"/>
      <c r="E74" s="180"/>
      <c r="F74" s="180"/>
      <c r="H74" s="178"/>
      <c r="I74" s="179"/>
      <c r="J74" s="180"/>
      <c r="K74" s="180"/>
      <c r="L74" s="180"/>
      <c r="N74" s="178"/>
      <c r="O74" s="179"/>
      <c r="P74" s="180"/>
      <c r="Q74" s="180"/>
      <c r="R74" s="180"/>
      <c r="T74" s="178"/>
      <c r="U74" s="179"/>
      <c r="V74" s="180"/>
      <c r="W74" s="180"/>
      <c r="X74" s="180"/>
      <c r="Z74" s="178"/>
      <c r="AA74" s="179"/>
      <c r="AB74" s="180"/>
      <c r="AC74" s="180"/>
      <c r="AD74" s="180"/>
      <c r="AF74" s="178"/>
      <c r="AG74" s="179"/>
      <c r="AH74" s="180"/>
      <c r="AI74" s="180"/>
      <c r="AJ74" s="180"/>
      <c r="AL74" s="178"/>
      <c r="AM74" s="179"/>
      <c r="AN74" s="180"/>
      <c r="AO74" s="180"/>
      <c r="AP74" s="180"/>
    </row>
    <row r="75" spans="2:42" x14ac:dyDescent="0.2">
      <c r="B75" s="178"/>
      <c r="C75" s="179"/>
      <c r="D75" s="180"/>
      <c r="E75" s="180"/>
      <c r="F75" s="180"/>
      <c r="H75" s="178"/>
      <c r="I75" s="179"/>
      <c r="J75" s="180"/>
      <c r="K75" s="180"/>
      <c r="L75" s="180"/>
      <c r="N75" s="178"/>
      <c r="O75" s="179"/>
      <c r="P75" s="180"/>
      <c r="Q75" s="180"/>
      <c r="R75" s="180"/>
      <c r="T75" s="178"/>
      <c r="U75" s="179"/>
      <c r="V75" s="180"/>
      <c r="W75" s="180"/>
      <c r="X75" s="180"/>
      <c r="Z75" s="178"/>
      <c r="AA75" s="179"/>
      <c r="AB75" s="180"/>
      <c r="AC75" s="180"/>
      <c r="AD75" s="180"/>
      <c r="AF75" s="178"/>
      <c r="AG75" s="179"/>
      <c r="AH75" s="180"/>
      <c r="AI75" s="180"/>
      <c r="AJ75" s="180"/>
      <c r="AL75" s="178"/>
      <c r="AM75" s="179"/>
      <c r="AN75" s="180"/>
      <c r="AO75" s="180"/>
      <c r="AP75" s="180"/>
    </row>
    <row r="76" spans="2:42" x14ac:dyDescent="0.2">
      <c r="B76" s="178"/>
      <c r="C76" s="179"/>
      <c r="D76" s="180"/>
      <c r="E76" s="180"/>
      <c r="F76" s="180"/>
      <c r="H76" s="178"/>
      <c r="I76" s="179"/>
      <c r="J76" s="180"/>
      <c r="K76" s="180"/>
      <c r="L76" s="180"/>
      <c r="N76" s="178"/>
      <c r="O76" s="179"/>
      <c r="P76" s="180"/>
      <c r="Q76" s="180"/>
      <c r="R76" s="180"/>
      <c r="T76" s="178"/>
      <c r="U76" s="179"/>
      <c r="V76" s="180"/>
      <c r="W76" s="180"/>
      <c r="X76" s="180"/>
      <c r="Z76" s="178"/>
      <c r="AA76" s="179"/>
      <c r="AB76" s="180"/>
      <c r="AC76" s="180"/>
      <c r="AD76" s="180"/>
      <c r="AF76" s="178"/>
      <c r="AG76" s="179"/>
      <c r="AH76" s="180"/>
      <c r="AI76" s="180"/>
      <c r="AJ76" s="180"/>
      <c r="AL76" s="178"/>
      <c r="AM76" s="179"/>
      <c r="AN76" s="180"/>
      <c r="AO76" s="180"/>
      <c r="AP76" s="180"/>
    </row>
    <row r="77" spans="2:42" x14ac:dyDescent="0.2">
      <c r="B77" s="178"/>
      <c r="C77" s="179"/>
      <c r="D77" s="180"/>
      <c r="E77" s="180"/>
      <c r="F77" s="180"/>
      <c r="H77" s="178"/>
      <c r="I77" s="179"/>
      <c r="J77" s="180"/>
      <c r="K77" s="180"/>
      <c r="L77" s="180"/>
      <c r="N77" s="178"/>
      <c r="O77" s="179"/>
      <c r="P77" s="180"/>
      <c r="Q77" s="180"/>
      <c r="R77" s="180"/>
      <c r="T77" s="178"/>
      <c r="U77" s="179"/>
      <c r="V77" s="180"/>
      <c r="W77" s="180"/>
      <c r="X77" s="180"/>
      <c r="Z77" s="178"/>
      <c r="AA77" s="179"/>
      <c r="AB77" s="180"/>
      <c r="AC77" s="180"/>
      <c r="AD77" s="180"/>
      <c r="AF77" s="178"/>
      <c r="AG77" s="179"/>
      <c r="AH77" s="180"/>
      <c r="AI77" s="180"/>
      <c r="AJ77" s="180"/>
      <c r="AL77" s="178"/>
      <c r="AM77" s="179"/>
      <c r="AN77" s="180"/>
      <c r="AO77" s="180"/>
      <c r="AP77" s="180"/>
    </row>
    <row r="78" spans="2:42" x14ac:dyDescent="0.2">
      <c r="B78" s="178"/>
      <c r="C78" s="179"/>
      <c r="D78" s="180"/>
      <c r="E78" s="180"/>
      <c r="F78" s="180"/>
      <c r="H78" s="178"/>
      <c r="I78" s="179"/>
      <c r="J78" s="180"/>
      <c r="K78" s="180"/>
      <c r="L78" s="180"/>
      <c r="N78" s="178"/>
      <c r="O78" s="179"/>
      <c r="P78" s="180"/>
      <c r="Q78" s="180"/>
      <c r="R78" s="180"/>
      <c r="T78" s="178"/>
      <c r="U78" s="179"/>
      <c r="V78" s="180"/>
      <c r="W78" s="180"/>
      <c r="X78" s="180"/>
      <c r="Z78" s="178"/>
      <c r="AA78" s="179"/>
      <c r="AB78" s="180"/>
      <c r="AC78" s="180"/>
      <c r="AD78" s="180"/>
      <c r="AF78" s="178"/>
      <c r="AG78" s="179"/>
      <c r="AH78" s="180"/>
      <c r="AI78" s="180"/>
      <c r="AJ78" s="180"/>
      <c r="AL78" s="178"/>
      <c r="AM78" s="179"/>
      <c r="AN78" s="180"/>
      <c r="AO78" s="180"/>
      <c r="AP78" s="180"/>
    </row>
    <row r="79" spans="2:42" x14ac:dyDescent="0.2">
      <c r="B79" s="178"/>
      <c r="C79" s="179"/>
      <c r="D79" s="180"/>
      <c r="E79" s="180"/>
      <c r="F79" s="180"/>
      <c r="H79" s="178"/>
      <c r="I79" s="179"/>
      <c r="J79" s="180"/>
      <c r="K79" s="180"/>
      <c r="L79" s="180"/>
      <c r="N79" s="178"/>
      <c r="O79" s="179"/>
      <c r="P79" s="180"/>
      <c r="Q79" s="180"/>
      <c r="R79" s="180"/>
      <c r="T79" s="178"/>
      <c r="U79" s="179"/>
      <c r="V79" s="180"/>
      <c r="W79" s="180"/>
      <c r="X79" s="180"/>
      <c r="Z79" s="178"/>
      <c r="AA79" s="179"/>
      <c r="AB79" s="180"/>
      <c r="AC79" s="180"/>
      <c r="AD79" s="180"/>
      <c r="AF79" s="178"/>
      <c r="AG79" s="179"/>
      <c r="AH79" s="180"/>
      <c r="AI79" s="180"/>
      <c r="AJ79" s="180"/>
      <c r="AL79" s="178"/>
      <c r="AM79" s="179"/>
      <c r="AN79" s="180"/>
      <c r="AO79" s="180"/>
      <c r="AP79" s="180"/>
    </row>
    <row r="80" spans="2:42" x14ac:dyDescent="0.2">
      <c r="B80" s="178"/>
      <c r="C80" s="179"/>
      <c r="D80" s="180"/>
      <c r="E80" s="180"/>
      <c r="F80" s="180"/>
      <c r="H80" s="178"/>
      <c r="I80" s="179"/>
      <c r="J80" s="180"/>
      <c r="K80" s="180"/>
      <c r="L80" s="180"/>
      <c r="N80" s="178"/>
      <c r="O80" s="179"/>
      <c r="P80" s="180"/>
      <c r="Q80" s="180"/>
      <c r="R80" s="180"/>
      <c r="T80" s="178"/>
      <c r="U80" s="179"/>
      <c r="V80" s="180"/>
      <c r="W80" s="180"/>
      <c r="X80" s="180"/>
      <c r="Z80" s="178"/>
      <c r="AA80" s="179"/>
      <c r="AB80" s="180"/>
      <c r="AC80" s="180"/>
      <c r="AD80" s="180"/>
      <c r="AF80" s="178"/>
      <c r="AG80" s="179"/>
      <c r="AH80" s="180"/>
      <c r="AI80" s="180"/>
      <c r="AJ80" s="180"/>
      <c r="AL80" s="178"/>
      <c r="AM80" s="179"/>
      <c r="AN80" s="180"/>
      <c r="AO80" s="180"/>
      <c r="AP80" s="180"/>
    </row>
    <row r="81" spans="2:42" x14ac:dyDescent="0.2">
      <c r="B81" s="178"/>
      <c r="C81" s="179"/>
      <c r="D81" s="180"/>
      <c r="E81" s="180"/>
      <c r="F81" s="180"/>
      <c r="H81" s="178"/>
      <c r="I81" s="179"/>
      <c r="J81" s="180"/>
      <c r="K81" s="180"/>
      <c r="L81" s="180"/>
      <c r="N81" s="178"/>
      <c r="O81" s="179"/>
      <c r="P81" s="180"/>
      <c r="Q81" s="180"/>
      <c r="R81" s="180"/>
      <c r="T81" s="178"/>
      <c r="U81" s="179"/>
      <c r="V81" s="180"/>
      <c r="W81" s="180"/>
      <c r="X81" s="180"/>
      <c r="Z81" s="178"/>
      <c r="AA81" s="179"/>
      <c r="AB81" s="180"/>
      <c r="AC81" s="180"/>
      <c r="AD81" s="180"/>
      <c r="AF81" s="178"/>
      <c r="AG81" s="179"/>
      <c r="AH81" s="180"/>
      <c r="AI81" s="180"/>
      <c r="AJ81" s="180"/>
      <c r="AL81" s="178"/>
      <c r="AM81" s="179"/>
      <c r="AN81" s="180"/>
      <c r="AO81" s="180"/>
      <c r="AP81" s="180"/>
    </row>
    <row r="82" spans="2:42" x14ac:dyDescent="0.2">
      <c r="B82" s="178"/>
      <c r="C82" s="179"/>
      <c r="D82" s="180"/>
      <c r="E82" s="180"/>
      <c r="F82" s="180"/>
      <c r="H82" s="178"/>
      <c r="I82" s="179"/>
      <c r="J82" s="180"/>
      <c r="K82" s="180"/>
      <c r="L82" s="180"/>
      <c r="N82" s="178"/>
      <c r="O82" s="179"/>
      <c r="P82" s="180"/>
      <c r="Q82" s="180"/>
      <c r="R82" s="180"/>
      <c r="T82" s="178"/>
      <c r="U82" s="179"/>
      <c r="V82" s="180"/>
      <c r="W82" s="180"/>
      <c r="X82" s="180"/>
      <c r="Z82" s="178"/>
      <c r="AA82" s="179"/>
      <c r="AB82" s="180"/>
      <c r="AC82" s="180"/>
      <c r="AD82" s="180"/>
      <c r="AF82" s="178"/>
      <c r="AG82" s="179"/>
      <c r="AH82" s="180"/>
      <c r="AI82" s="180"/>
      <c r="AJ82" s="180"/>
      <c r="AL82" s="178"/>
      <c r="AM82" s="179"/>
      <c r="AN82" s="180"/>
      <c r="AO82" s="180"/>
      <c r="AP82" s="180"/>
    </row>
    <row r="83" spans="2:42" x14ac:dyDescent="0.2">
      <c r="B83" s="178"/>
      <c r="C83" s="179"/>
      <c r="D83" s="180"/>
      <c r="E83" s="180"/>
      <c r="F83" s="180"/>
      <c r="H83" s="178"/>
      <c r="I83" s="179"/>
      <c r="J83" s="180"/>
      <c r="K83" s="180"/>
      <c r="L83" s="180"/>
      <c r="N83" s="178"/>
      <c r="O83" s="179"/>
      <c r="P83" s="180"/>
      <c r="Q83" s="180"/>
      <c r="R83" s="180"/>
      <c r="T83" s="178"/>
      <c r="U83" s="179"/>
      <c r="V83" s="180"/>
      <c r="W83" s="180"/>
      <c r="X83" s="180"/>
      <c r="Z83" s="178"/>
      <c r="AA83" s="179"/>
      <c r="AB83" s="180"/>
      <c r="AC83" s="180"/>
      <c r="AD83" s="180"/>
      <c r="AF83" s="178"/>
      <c r="AG83" s="179"/>
      <c r="AH83" s="180"/>
      <c r="AI83" s="180"/>
      <c r="AJ83" s="180"/>
      <c r="AL83" s="178"/>
      <c r="AM83" s="179"/>
      <c r="AN83" s="180"/>
      <c r="AO83" s="180"/>
      <c r="AP83" s="180"/>
    </row>
    <row r="84" spans="2:42" x14ac:dyDescent="0.2">
      <c r="B84" s="178"/>
      <c r="C84" s="179"/>
      <c r="D84" s="180"/>
      <c r="E84" s="180"/>
      <c r="F84" s="180"/>
      <c r="H84" s="178"/>
      <c r="I84" s="179"/>
      <c r="J84" s="180"/>
      <c r="K84" s="180"/>
      <c r="L84" s="180"/>
      <c r="N84" s="178"/>
      <c r="O84" s="179"/>
      <c r="P84" s="180"/>
      <c r="Q84" s="180"/>
      <c r="R84" s="180"/>
      <c r="T84" s="178"/>
      <c r="U84" s="179"/>
      <c r="V84" s="180"/>
      <c r="W84" s="180"/>
      <c r="X84" s="180"/>
      <c r="Z84" s="178"/>
      <c r="AA84" s="179"/>
      <c r="AB84" s="180"/>
      <c r="AC84" s="180"/>
      <c r="AD84" s="180"/>
      <c r="AF84" s="178"/>
      <c r="AG84" s="179"/>
      <c r="AH84" s="180"/>
      <c r="AI84" s="180"/>
      <c r="AJ84" s="180"/>
      <c r="AL84" s="178"/>
      <c r="AM84" s="179"/>
      <c r="AN84" s="180"/>
      <c r="AO84" s="180"/>
      <c r="AP84" s="180"/>
    </row>
    <row r="85" spans="2:42" x14ac:dyDescent="0.2">
      <c r="B85" s="178"/>
      <c r="C85" s="179"/>
      <c r="D85" s="180"/>
      <c r="E85" s="180"/>
      <c r="F85" s="180"/>
      <c r="H85" s="178"/>
      <c r="I85" s="179"/>
      <c r="J85" s="180"/>
      <c r="K85" s="180"/>
      <c r="L85" s="180"/>
      <c r="N85" s="178"/>
      <c r="O85" s="179"/>
      <c r="P85" s="180"/>
      <c r="Q85" s="180"/>
      <c r="R85" s="180"/>
      <c r="T85" s="178"/>
      <c r="U85" s="179"/>
      <c r="V85" s="180"/>
      <c r="W85" s="180"/>
      <c r="X85" s="180"/>
      <c r="Z85" s="178"/>
      <c r="AA85" s="179"/>
      <c r="AB85" s="180"/>
      <c r="AC85" s="180"/>
      <c r="AD85" s="180"/>
      <c r="AF85" s="178"/>
      <c r="AG85" s="179"/>
      <c r="AH85" s="180"/>
      <c r="AI85" s="180"/>
      <c r="AJ85" s="180"/>
      <c r="AL85" s="178"/>
      <c r="AM85" s="179"/>
      <c r="AN85" s="180"/>
      <c r="AO85" s="180"/>
      <c r="AP85" s="180"/>
    </row>
    <row r="86" spans="2:42" x14ac:dyDescent="0.2">
      <c r="B86" s="178"/>
      <c r="C86" s="179"/>
      <c r="D86" s="180"/>
      <c r="E86" s="180"/>
      <c r="F86" s="180"/>
      <c r="H86" s="178"/>
      <c r="I86" s="179"/>
      <c r="J86" s="180"/>
      <c r="K86" s="180"/>
      <c r="L86" s="180"/>
      <c r="N86" s="178"/>
      <c r="O86" s="179"/>
      <c r="P86" s="180"/>
      <c r="Q86" s="180"/>
      <c r="R86" s="180"/>
      <c r="T86" s="178"/>
      <c r="U86" s="179"/>
      <c r="V86" s="180"/>
      <c r="W86" s="180"/>
      <c r="X86" s="180"/>
      <c r="Z86" s="178"/>
      <c r="AA86" s="179"/>
      <c r="AB86" s="180"/>
      <c r="AC86" s="180"/>
      <c r="AD86" s="180"/>
      <c r="AF86" s="178"/>
      <c r="AG86" s="179"/>
      <c r="AH86" s="180"/>
      <c r="AI86" s="180"/>
      <c r="AJ86" s="180"/>
      <c r="AL86" s="178"/>
      <c r="AM86" s="179"/>
      <c r="AN86" s="180"/>
      <c r="AO86" s="180"/>
      <c r="AP86" s="180"/>
    </row>
    <row r="87" spans="2:42" x14ac:dyDescent="0.2">
      <c r="B87" s="178"/>
      <c r="C87" s="179"/>
      <c r="D87" s="180"/>
      <c r="E87" s="180"/>
      <c r="F87" s="180"/>
      <c r="H87" s="178"/>
      <c r="I87" s="179"/>
      <c r="J87" s="180"/>
      <c r="K87" s="180"/>
      <c r="L87" s="180"/>
      <c r="N87" s="178"/>
      <c r="O87" s="179"/>
      <c r="P87" s="180"/>
      <c r="Q87" s="180"/>
      <c r="R87" s="180"/>
      <c r="T87" s="178"/>
      <c r="U87" s="179"/>
      <c r="V87" s="180"/>
      <c r="W87" s="180"/>
      <c r="X87" s="180"/>
      <c r="Z87" s="178"/>
      <c r="AA87" s="179"/>
      <c r="AB87" s="180"/>
      <c r="AC87" s="180"/>
      <c r="AD87" s="180"/>
      <c r="AF87" s="178"/>
      <c r="AG87" s="179"/>
      <c r="AH87" s="180"/>
      <c r="AI87" s="180"/>
      <c r="AJ87" s="180"/>
      <c r="AL87" s="178"/>
      <c r="AM87" s="179"/>
      <c r="AN87" s="180"/>
      <c r="AO87" s="180"/>
      <c r="AP87" s="180"/>
    </row>
    <row r="88" spans="2:42" x14ac:dyDescent="0.2">
      <c r="B88" s="178"/>
      <c r="C88" s="179"/>
      <c r="D88" s="180"/>
      <c r="E88" s="180"/>
      <c r="F88" s="180"/>
      <c r="H88" s="178"/>
      <c r="I88" s="179"/>
      <c r="J88" s="180"/>
      <c r="K88" s="180"/>
      <c r="L88" s="180"/>
      <c r="N88" s="178"/>
      <c r="O88" s="179"/>
      <c r="P88" s="180"/>
      <c r="Q88" s="180"/>
      <c r="R88" s="180"/>
      <c r="T88" s="178"/>
      <c r="U88" s="179"/>
      <c r="V88" s="180"/>
      <c r="W88" s="180"/>
      <c r="X88" s="180"/>
      <c r="Z88" s="178"/>
      <c r="AA88" s="179"/>
      <c r="AB88" s="180"/>
      <c r="AC88" s="180"/>
      <c r="AD88" s="180"/>
      <c r="AF88" s="178"/>
      <c r="AG88" s="179"/>
      <c r="AH88" s="180"/>
      <c r="AI88" s="180"/>
      <c r="AJ88" s="180"/>
      <c r="AL88" s="178"/>
      <c r="AM88" s="179"/>
      <c r="AN88" s="180"/>
      <c r="AO88" s="180"/>
      <c r="AP88" s="180"/>
    </row>
    <row r="89" spans="2:42" x14ac:dyDescent="0.2">
      <c r="B89" s="178"/>
      <c r="C89" s="179"/>
      <c r="D89" s="180"/>
      <c r="E89" s="180"/>
      <c r="F89" s="180"/>
      <c r="H89" s="178"/>
      <c r="I89" s="179"/>
      <c r="J89" s="180"/>
      <c r="K89" s="180"/>
      <c r="L89" s="180"/>
      <c r="N89" s="178"/>
      <c r="O89" s="179"/>
      <c r="P89" s="180"/>
      <c r="Q89" s="180"/>
      <c r="R89" s="180"/>
      <c r="T89" s="178"/>
      <c r="U89" s="179"/>
      <c r="V89" s="180"/>
      <c r="W89" s="180"/>
      <c r="X89" s="180"/>
      <c r="Z89" s="178"/>
      <c r="AA89" s="179"/>
      <c r="AB89" s="180"/>
      <c r="AC89" s="180"/>
      <c r="AD89" s="180"/>
      <c r="AF89" s="178"/>
      <c r="AG89" s="179"/>
      <c r="AH89" s="180"/>
      <c r="AI89" s="180"/>
      <c r="AJ89" s="180"/>
      <c r="AL89" s="178"/>
      <c r="AM89" s="179"/>
      <c r="AN89" s="180"/>
      <c r="AO89" s="180"/>
      <c r="AP89" s="180"/>
    </row>
    <row r="90" spans="2:42" x14ac:dyDescent="0.2">
      <c r="B90" s="178"/>
      <c r="C90" s="179"/>
      <c r="D90" s="180"/>
      <c r="E90" s="180"/>
      <c r="F90" s="180"/>
      <c r="H90" s="178"/>
      <c r="I90" s="179"/>
      <c r="J90" s="180"/>
      <c r="K90" s="180"/>
      <c r="L90" s="180"/>
      <c r="N90" s="178"/>
      <c r="O90" s="179"/>
      <c r="P90" s="180"/>
      <c r="Q90" s="180"/>
      <c r="R90" s="180"/>
      <c r="T90" s="178"/>
      <c r="U90" s="179"/>
      <c r="V90" s="180"/>
      <c r="W90" s="180"/>
      <c r="X90" s="180"/>
      <c r="Z90" s="178"/>
      <c r="AA90" s="179"/>
      <c r="AB90" s="180"/>
      <c r="AC90" s="180"/>
      <c r="AD90" s="180"/>
      <c r="AF90" s="178"/>
      <c r="AG90" s="179"/>
      <c r="AH90" s="180"/>
      <c r="AI90" s="180"/>
      <c r="AJ90" s="180"/>
      <c r="AL90" s="178"/>
      <c r="AM90" s="179"/>
      <c r="AN90" s="180"/>
      <c r="AO90" s="180"/>
      <c r="AP90" s="180"/>
    </row>
    <row r="91" spans="2:42" x14ac:dyDescent="0.2">
      <c r="B91" s="178"/>
      <c r="C91" s="179"/>
      <c r="D91" s="180"/>
      <c r="E91" s="180"/>
      <c r="F91" s="180"/>
      <c r="H91" s="178"/>
      <c r="I91" s="179"/>
      <c r="J91" s="180"/>
      <c r="K91" s="180"/>
      <c r="L91" s="180"/>
      <c r="N91" s="178"/>
      <c r="O91" s="179"/>
      <c r="P91" s="180"/>
      <c r="Q91" s="180"/>
      <c r="R91" s="180"/>
      <c r="T91" s="178"/>
      <c r="U91" s="179"/>
      <c r="V91" s="180"/>
      <c r="W91" s="180"/>
      <c r="X91" s="180"/>
      <c r="Z91" s="178"/>
      <c r="AA91" s="179"/>
      <c r="AB91" s="180"/>
      <c r="AC91" s="180"/>
      <c r="AD91" s="180"/>
      <c r="AF91" s="178"/>
      <c r="AG91" s="179"/>
      <c r="AH91" s="180"/>
      <c r="AI91" s="180"/>
      <c r="AJ91" s="180"/>
      <c r="AL91" s="178"/>
      <c r="AM91" s="179"/>
      <c r="AN91" s="180"/>
      <c r="AO91" s="180"/>
      <c r="AP91" s="180"/>
    </row>
    <row r="92" spans="2:42" x14ac:dyDescent="0.2">
      <c r="B92" s="178"/>
      <c r="C92" s="179"/>
      <c r="D92" s="180"/>
      <c r="E92" s="180"/>
      <c r="F92" s="180"/>
      <c r="H92" s="178"/>
      <c r="I92" s="179"/>
      <c r="J92" s="180"/>
      <c r="K92" s="180"/>
      <c r="L92" s="180"/>
      <c r="N92" s="178"/>
      <c r="O92" s="179"/>
      <c r="P92" s="180"/>
      <c r="Q92" s="180"/>
      <c r="R92" s="180"/>
      <c r="T92" s="178"/>
      <c r="U92" s="179"/>
      <c r="V92" s="180"/>
      <c r="W92" s="180"/>
      <c r="X92" s="180"/>
      <c r="Z92" s="178"/>
      <c r="AA92" s="179"/>
      <c r="AB92" s="180"/>
      <c r="AC92" s="180"/>
      <c r="AD92" s="180"/>
      <c r="AF92" s="178"/>
      <c r="AG92" s="179"/>
      <c r="AH92" s="180"/>
      <c r="AI92" s="180"/>
      <c r="AJ92" s="180"/>
      <c r="AL92" s="178"/>
      <c r="AM92" s="179"/>
      <c r="AN92" s="180"/>
      <c r="AO92" s="180"/>
      <c r="AP92" s="180"/>
    </row>
    <row r="93" spans="2:42" x14ac:dyDescent="0.2">
      <c r="B93" s="178"/>
      <c r="C93" s="179"/>
      <c r="D93" s="180"/>
      <c r="E93" s="180"/>
      <c r="F93" s="180"/>
      <c r="H93" s="178"/>
      <c r="I93" s="179"/>
      <c r="J93" s="180"/>
      <c r="K93" s="180"/>
      <c r="L93" s="180"/>
      <c r="N93" s="178"/>
      <c r="O93" s="179"/>
      <c r="P93" s="180"/>
      <c r="Q93" s="180"/>
      <c r="R93" s="180"/>
      <c r="T93" s="178"/>
      <c r="U93" s="179"/>
      <c r="V93" s="180"/>
      <c r="W93" s="180"/>
      <c r="X93" s="180"/>
      <c r="Z93" s="178"/>
      <c r="AA93" s="179"/>
      <c r="AB93" s="180"/>
      <c r="AC93" s="180"/>
      <c r="AD93" s="180"/>
      <c r="AF93" s="178"/>
      <c r="AG93" s="179"/>
      <c r="AH93" s="180"/>
      <c r="AI93" s="180"/>
      <c r="AJ93" s="180"/>
      <c r="AL93" s="178"/>
      <c r="AM93" s="179"/>
      <c r="AN93" s="180"/>
      <c r="AO93" s="180"/>
      <c r="AP93" s="180"/>
    </row>
    <row r="94" spans="2:42" x14ac:dyDescent="0.2">
      <c r="B94" s="178"/>
      <c r="C94" s="179"/>
      <c r="D94" s="180"/>
      <c r="E94" s="180"/>
      <c r="F94" s="180"/>
      <c r="H94" s="178"/>
      <c r="I94" s="179"/>
      <c r="J94" s="180"/>
      <c r="K94" s="180"/>
      <c r="L94" s="180"/>
      <c r="N94" s="178"/>
      <c r="O94" s="179"/>
      <c r="P94" s="180"/>
      <c r="Q94" s="180"/>
      <c r="R94" s="180"/>
      <c r="T94" s="178"/>
      <c r="U94" s="179"/>
      <c r="V94" s="180"/>
      <c r="W94" s="180"/>
      <c r="X94" s="180"/>
      <c r="Z94" s="178"/>
      <c r="AA94" s="179"/>
      <c r="AB94" s="180"/>
      <c r="AC94" s="180"/>
      <c r="AD94" s="180"/>
      <c r="AF94" s="178"/>
      <c r="AG94" s="179"/>
      <c r="AH94" s="180"/>
      <c r="AI94" s="180"/>
      <c r="AJ94" s="180"/>
      <c r="AL94" s="178"/>
      <c r="AM94" s="179"/>
      <c r="AN94" s="180"/>
      <c r="AO94" s="180"/>
      <c r="AP94" s="180"/>
    </row>
    <row r="95" spans="2:42" x14ac:dyDescent="0.2">
      <c r="B95" s="178"/>
      <c r="C95" s="179"/>
      <c r="D95" s="180"/>
      <c r="E95" s="180"/>
      <c r="F95" s="180"/>
      <c r="H95" s="178"/>
      <c r="I95" s="179"/>
      <c r="J95" s="180"/>
      <c r="K95" s="180"/>
      <c r="L95" s="180"/>
      <c r="N95" s="178"/>
      <c r="O95" s="179"/>
      <c r="P95" s="180"/>
      <c r="Q95" s="180"/>
      <c r="R95" s="180"/>
      <c r="T95" s="178"/>
      <c r="U95" s="179"/>
      <c r="V95" s="180"/>
      <c r="W95" s="180"/>
      <c r="X95" s="180"/>
      <c r="Z95" s="178"/>
      <c r="AA95" s="179"/>
      <c r="AB95" s="180"/>
      <c r="AC95" s="180"/>
      <c r="AD95" s="180"/>
      <c r="AF95" s="178"/>
      <c r="AG95" s="179"/>
      <c r="AH95" s="180"/>
      <c r="AI95" s="180"/>
      <c r="AJ95" s="180"/>
      <c r="AL95" s="178"/>
      <c r="AM95" s="179"/>
      <c r="AN95" s="180"/>
      <c r="AO95" s="180"/>
      <c r="AP95" s="180"/>
    </row>
    <row r="96" spans="2:42" x14ac:dyDescent="0.2">
      <c r="B96" s="178"/>
      <c r="C96" s="179"/>
      <c r="D96" s="180"/>
      <c r="E96" s="180"/>
      <c r="F96" s="180"/>
      <c r="H96" s="178"/>
      <c r="I96" s="179"/>
      <c r="J96" s="180"/>
      <c r="K96" s="180"/>
      <c r="L96" s="180"/>
      <c r="N96" s="178"/>
      <c r="O96" s="179"/>
      <c r="P96" s="180"/>
      <c r="Q96" s="180"/>
      <c r="R96" s="180"/>
      <c r="T96" s="178"/>
      <c r="U96" s="179"/>
      <c r="V96" s="180"/>
      <c r="W96" s="180"/>
      <c r="X96" s="180"/>
      <c r="Z96" s="178"/>
      <c r="AA96" s="179"/>
      <c r="AB96" s="180"/>
      <c r="AC96" s="180"/>
      <c r="AD96" s="180"/>
      <c r="AF96" s="178"/>
      <c r="AG96" s="179"/>
      <c r="AH96" s="180"/>
      <c r="AI96" s="180"/>
      <c r="AJ96" s="180"/>
      <c r="AL96" s="178"/>
      <c r="AM96" s="179"/>
      <c r="AN96" s="180"/>
      <c r="AO96" s="180"/>
      <c r="AP96" s="180"/>
    </row>
    <row r="97" spans="2:42" x14ac:dyDescent="0.2">
      <c r="B97" s="178"/>
      <c r="C97" s="179"/>
      <c r="D97" s="180"/>
      <c r="E97" s="180"/>
      <c r="F97" s="180"/>
      <c r="H97" s="178"/>
      <c r="I97" s="179"/>
      <c r="J97" s="180"/>
      <c r="K97" s="180"/>
      <c r="L97" s="180"/>
      <c r="N97" s="178"/>
      <c r="O97" s="179"/>
      <c r="P97" s="180"/>
      <c r="Q97" s="180"/>
      <c r="R97" s="180"/>
      <c r="T97" s="178"/>
      <c r="U97" s="179"/>
      <c r="V97" s="180"/>
      <c r="W97" s="180"/>
      <c r="X97" s="180"/>
      <c r="Z97" s="178"/>
      <c r="AA97" s="179"/>
      <c r="AB97" s="180"/>
      <c r="AC97" s="180"/>
      <c r="AD97" s="180"/>
      <c r="AF97" s="178"/>
      <c r="AG97" s="179"/>
      <c r="AH97" s="180"/>
      <c r="AI97" s="180"/>
      <c r="AJ97" s="180"/>
      <c r="AL97" s="178"/>
      <c r="AM97" s="179"/>
      <c r="AN97" s="180"/>
      <c r="AO97" s="180"/>
      <c r="AP97" s="180"/>
    </row>
    <row r="98" spans="2:42" x14ac:dyDescent="0.2">
      <c r="B98" s="178"/>
      <c r="C98" s="179"/>
      <c r="D98" s="180"/>
      <c r="E98" s="180"/>
      <c r="F98" s="180"/>
      <c r="H98" s="178"/>
      <c r="I98" s="179"/>
      <c r="J98" s="180"/>
      <c r="K98" s="180"/>
      <c r="L98" s="180"/>
      <c r="N98" s="178"/>
      <c r="O98" s="179"/>
      <c r="P98" s="180"/>
      <c r="Q98" s="180"/>
      <c r="R98" s="180"/>
      <c r="T98" s="178"/>
      <c r="U98" s="179"/>
      <c r="V98" s="180"/>
      <c r="W98" s="180"/>
      <c r="X98" s="180"/>
      <c r="Z98" s="178"/>
      <c r="AA98" s="179"/>
      <c r="AB98" s="180"/>
      <c r="AC98" s="180"/>
      <c r="AD98" s="180"/>
      <c r="AF98" s="178"/>
      <c r="AG98" s="179"/>
      <c r="AH98" s="180"/>
      <c r="AI98" s="180"/>
      <c r="AJ98" s="180"/>
      <c r="AL98" s="178"/>
      <c r="AM98" s="179"/>
      <c r="AN98" s="180"/>
      <c r="AO98" s="180"/>
      <c r="AP98" s="180"/>
    </row>
    <row r="99" spans="2:42" x14ac:dyDescent="0.2">
      <c r="B99" s="178"/>
      <c r="C99" s="179"/>
      <c r="D99" s="180"/>
      <c r="E99" s="180"/>
      <c r="F99" s="180"/>
      <c r="H99" s="178"/>
      <c r="I99" s="179"/>
      <c r="J99" s="180"/>
      <c r="K99" s="180"/>
      <c r="L99" s="180"/>
      <c r="N99" s="178"/>
      <c r="O99" s="179"/>
      <c r="P99" s="180"/>
      <c r="Q99" s="180"/>
      <c r="R99" s="180"/>
      <c r="T99" s="178"/>
      <c r="U99" s="179"/>
      <c r="V99" s="180"/>
      <c r="W99" s="180"/>
      <c r="X99" s="180"/>
      <c r="Z99" s="178"/>
      <c r="AA99" s="179"/>
      <c r="AB99" s="180"/>
      <c r="AC99" s="180"/>
      <c r="AD99" s="180"/>
      <c r="AF99" s="178"/>
      <c r="AG99" s="179"/>
      <c r="AH99" s="180"/>
      <c r="AI99" s="180"/>
      <c r="AJ99" s="180"/>
      <c r="AL99" s="178"/>
      <c r="AM99" s="179"/>
      <c r="AN99" s="180"/>
      <c r="AO99" s="180"/>
      <c r="AP99" s="180"/>
    </row>
    <row r="100" spans="2:42" x14ac:dyDescent="0.2">
      <c r="B100" s="178"/>
      <c r="C100" s="179"/>
      <c r="D100" s="180"/>
      <c r="E100" s="180"/>
      <c r="F100" s="180"/>
      <c r="H100" s="178"/>
      <c r="I100" s="179"/>
      <c r="J100" s="180"/>
      <c r="K100" s="180"/>
      <c r="L100" s="180"/>
      <c r="N100" s="178"/>
      <c r="O100" s="179"/>
      <c r="P100" s="180"/>
      <c r="Q100" s="180"/>
      <c r="R100" s="180"/>
      <c r="T100" s="178"/>
      <c r="U100" s="179"/>
      <c r="V100" s="180"/>
      <c r="W100" s="180"/>
      <c r="X100" s="180"/>
      <c r="Z100" s="178"/>
      <c r="AA100" s="179"/>
      <c r="AB100" s="180"/>
      <c r="AC100" s="180"/>
      <c r="AD100" s="180"/>
      <c r="AF100" s="178"/>
      <c r="AG100" s="179"/>
      <c r="AH100" s="180"/>
      <c r="AI100" s="180"/>
      <c r="AJ100" s="180"/>
      <c r="AL100" s="178"/>
      <c r="AM100" s="179"/>
      <c r="AN100" s="180"/>
      <c r="AO100" s="180"/>
      <c r="AP100" s="180"/>
    </row>
    <row r="101" spans="2:42" x14ac:dyDescent="0.2">
      <c r="B101" s="178"/>
      <c r="C101" s="179"/>
      <c r="D101" s="180"/>
      <c r="E101" s="180"/>
      <c r="F101" s="180"/>
      <c r="H101" s="178"/>
      <c r="I101" s="179"/>
      <c r="J101" s="180"/>
      <c r="K101" s="180"/>
      <c r="L101" s="180"/>
      <c r="N101" s="178"/>
      <c r="O101" s="179"/>
      <c r="P101" s="180"/>
      <c r="Q101" s="180"/>
      <c r="R101" s="180"/>
      <c r="T101" s="178"/>
      <c r="U101" s="179"/>
      <c r="V101" s="180"/>
      <c r="W101" s="180"/>
      <c r="X101" s="180"/>
      <c r="Z101" s="178"/>
      <c r="AA101" s="179"/>
      <c r="AB101" s="180"/>
      <c r="AC101" s="180"/>
      <c r="AD101" s="180"/>
      <c r="AF101" s="178"/>
      <c r="AG101" s="179"/>
      <c r="AH101" s="180"/>
      <c r="AI101" s="180"/>
      <c r="AJ101" s="180"/>
      <c r="AL101" s="178"/>
      <c r="AM101" s="179"/>
      <c r="AN101" s="180"/>
      <c r="AO101" s="180"/>
      <c r="AP101" s="180"/>
    </row>
    <row r="102" spans="2:42" x14ac:dyDescent="0.2">
      <c r="B102" s="178"/>
      <c r="C102" s="179"/>
      <c r="D102" s="180"/>
      <c r="E102" s="180"/>
      <c r="F102" s="180"/>
      <c r="H102" s="178"/>
      <c r="I102" s="179"/>
      <c r="J102" s="180"/>
      <c r="K102" s="180"/>
      <c r="L102" s="180"/>
      <c r="N102" s="178"/>
      <c r="O102" s="179"/>
      <c r="P102" s="180"/>
      <c r="Q102" s="180"/>
      <c r="R102" s="180"/>
      <c r="T102" s="178"/>
      <c r="U102" s="179"/>
      <c r="V102" s="180"/>
      <c r="W102" s="180"/>
      <c r="X102" s="180"/>
      <c r="Z102" s="178"/>
      <c r="AA102" s="179"/>
      <c r="AB102" s="180"/>
      <c r="AC102" s="180"/>
      <c r="AD102" s="180"/>
      <c r="AF102" s="178"/>
      <c r="AG102" s="179"/>
      <c r="AH102" s="180"/>
      <c r="AI102" s="180"/>
      <c r="AJ102" s="180"/>
      <c r="AL102" s="178"/>
      <c r="AM102" s="179"/>
      <c r="AN102" s="180"/>
      <c r="AO102" s="180"/>
      <c r="AP102" s="180"/>
    </row>
    <row r="103" spans="2:42" x14ac:dyDescent="0.2">
      <c r="B103" s="178"/>
      <c r="C103" s="179"/>
      <c r="D103" s="180"/>
      <c r="E103" s="180"/>
      <c r="F103" s="180"/>
      <c r="H103" s="178"/>
      <c r="I103" s="179"/>
      <c r="J103" s="180"/>
      <c r="K103" s="180"/>
      <c r="L103" s="180"/>
      <c r="N103" s="178"/>
      <c r="O103" s="179"/>
      <c r="P103" s="180"/>
      <c r="Q103" s="180"/>
      <c r="R103" s="180"/>
      <c r="T103" s="178"/>
      <c r="U103" s="179"/>
      <c r="V103" s="180"/>
      <c r="W103" s="180"/>
      <c r="X103" s="180"/>
      <c r="Z103" s="178"/>
      <c r="AA103" s="179"/>
      <c r="AB103" s="180"/>
      <c r="AC103" s="180"/>
      <c r="AD103" s="180"/>
      <c r="AF103" s="178"/>
      <c r="AG103" s="179"/>
      <c r="AH103" s="180"/>
      <c r="AI103" s="180"/>
      <c r="AJ103" s="180"/>
      <c r="AL103" s="178"/>
      <c r="AM103" s="179"/>
      <c r="AN103" s="180"/>
      <c r="AO103" s="180"/>
      <c r="AP103" s="180"/>
    </row>
    <row r="104" spans="2:42" x14ac:dyDescent="0.2">
      <c r="B104" s="178"/>
      <c r="C104" s="179"/>
      <c r="D104" s="180"/>
      <c r="E104" s="180"/>
      <c r="F104" s="180"/>
      <c r="H104" s="178"/>
      <c r="I104" s="179"/>
      <c r="J104" s="180"/>
      <c r="K104" s="180"/>
      <c r="L104" s="180"/>
      <c r="N104" s="178"/>
      <c r="O104" s="179"/>
      <c r="P104" s="180"/>
      <c r="Q104" s="180"/>
      <c r="R104" s="180"/>
      <c r="T104" s="178"/>
      <c r="U104" s="179"/>
      <c r="V104" s="180"/>
      <c r="W104" s="180"/>
      <c r="X104" s="180"/>
      <c r="Z104" s="178"/>
      <c r="AA104" s="179"/>
      <c r="AB104" s="180"/>
      <c r="AC104" s="180"/>
      <c r="AD104" s="180"/>
      <c r="AF104" s="178"/>
      <c r="AG104" s="179"/>
      <c r="AH104" s="180"/>
      <c r="AI104" s="180"/>
      <c r="AJ104" s="180"/>
      <c r="AL104" s="178"/>
      <c r="AM104" s="179"/>
      <c r="AN104" s="180"/>
      <c r="AO104" s="180"/>
      <c r="AP104" s="180"/>
    </row>
    <row r="105" spans="2:42" x14ac:dyDescent="0.2">
      <c r="B105" s="178"/>
      <c r="C105" s="179"/>
      <c r="D105" s="180"/>
      <c r="E105" s="180"/>
      <c r="F105" s="180"/>
      <c r="H105" s="178"/>
      <c r="I105" s="179"/>
      <c r="J105" s="180"/>
      <c r="K105" s="180"/>
      <c r="L105" s="180"/>
      <c r="N105" s="178"/>
      <c r="O105" s="179"/>
      <c r="P105" s="180"/>
      <c r="Q105" s="180"/>
      <c r="R105" s="180"/>
      <c r="T105" s="178"/>
      <c r="U105" s="179"/>
      <c r="V105" s="180"/>
      <c r="W105" s="180"/>
      <c r="X105" s="180"/>
      <c r="Z105" s="178"/>
      <c r="AA105" s="179"/>
      <c r="AB105" s="180"/>
      <c r="AC105" s="180"/>
      <c r="AD105" s="180"/>
      <c r="AF105" s="178"/>
      <c r="AG105" s="179"/>
      <c r="AH105" s="180"/>
      <c r="AI105" s="180"/>
      <c r="AJ105" s="180"/>
      <c r="AL105" s="178"/>
      <c r="AM105" s="179"/>
      <c r="AN105" s="180"/>
      <c r="AO105" s="180"/>
      <c r="AP105" s="180"/>
    </row>
    <row r="106" spans="2:42" x14ac:dyDescent="0.2">
      <c r="B106" s="178"/>
      <c r="C106" s="179"/>
      <c r="D106" s="180"/>
      <c r="E106" s="180"/>
      <c r="F106" s="180"/>
      <c r="H106" s="178"/>
      <c r="I106" s="179"/>
      <c r="J106" s="180"/>
      <c r="K106" s="180"/>
      <c r="L106" s="180"/>
      <c r="N106" s="178"/>
      <c r="O106" s="179"/>
      <c r="P106" s="180"/>
      <c r="Q106" s="180"/>
      <c r="R106" s="180"/>
      <c r="T106" s="178"/>
      <c r="U106" s="179"/>
      <c r="V106" s="180"/>
      <c r="W106" s="180"/>
      <c r="X106" s="180"/>
      <c r="Z106" s="178"/>
      <c r="AA106" s="179"/>
      <c r="AB106" s="180"/>
      <c r="AC106" s="180"/>
      <c r="AD106" s="180"/>
      <c r="AF106" s="178"/>
      <c r="AG106" s="179"/>
      <c r="AH106" s="180"/>
      <c r="AI106" s="180"/>
      <c r="AJ106" s="180"/>
      <c r="AL106" s="178"/>
      <c r="AM106" s="179"/>
      <c r="AN106" s="180"/>
      <c r="AO106" s="180"/>
      <c r="AP106" s="180"/>
    </row>
    <row r="107" spans="2:42" x14ac:dyDescent="0.2">
      <c r="B107" s="178"/>
      <c r="C107" s="179"/>
      <c r="D107" s="180"/>
      <c r="E107" s="180"/>
      <c r="F107" s="180"/>
      <c r="H107" s="178"/>
      <c r="I107" s="179"/>
      <c r="J107" s="180"/>
      <c r="K107" s="180"/>
      <c r="L107" s="180"/>
      <c r="N107" s="178"/>
      <c r="O107" s="179"/>
      <c r="P107" s="180"/>
      <c r="Q107" s="180"/>
      <c r="R107" s="180"/>
      <c r="T107" s="178"/>
      <c r="U107" s="179"/>
      <c r="V107" s="180"/>
      <c r="W107" s="180"/>
      <c r="X107" s="180"/>
      <c r="Z107" s="178"/>
      <c r="AA107" s="179"/>
      <c r="AB107" s="180"/>
      <c r="AC107" s="180"/>
      <c r="AD107" s="180"/>
      <c r="AF107" s="178"/>
      <c r="AG107" s="179"/>
      <c r="AH107" s="180"/>
      <c r="AI107" s="180"/>
      <c r="AJ107" s="180"/>
      <c r="AL107" s="178"/>
      <c r="AM107" s="179"/>
      <c r="AN107" s="180"/>
      <c r="AO107" s="180"/>
      <c r="AP107" s="180"/>
    </row>
    <row r="108" spans="2:42" x14ac:dyDescent="0.2">
      <c r="B108" s="178"/>
      <c r="C108" s="179"/>
      <c r="D108" s="180"/>
      <c r="E108" s="180"/>
      <c r="F108" s="180"/>
      <c r="H108" s="178"/>
      <c r="I108" s="179"/>
      <c r="J108" s="180"/>
      <c r="K108" s="180"/>
      <c r="L108" s="180"/>
      <c r="N108" s="178"/>
      <c r="O108" s="179"/>
      <c r="P108" s="180"/>
      <c r="Q108" s="180"/>
      <c r="R108" s="180"/>
      <c r="T108" s="178"/>
      <c r="U108" s="179"/>
      <c r="V108" s="180"/>
      <c r="W108" s="180"/>
      <c r="X108" s="180"/>
      <c r="Z108" s="178"/>
      <c r="AA108" s="179"/>
      <c r="AB108" s="180"/>
      <c r="AC108" s="180"/>
      <c r="AD108" s="180"/>
      <c r="AF108" s="178"/>
      <c r="AG108" s="179"/>
      <c r="AH108" s="180"/>
      <c r="AI108" s="180"/>
      <c r="AJ108" s="180"/>
      <c r="AL108" s="178"/>
      <c r="AM108" s="179"/>
      <c r="AN108" s="180"/>
      <c r="AO108" s="180"/>
      <c r="AP108" s="180"/>
    </row>
    <row r="109" spans="2:42" x14ac:dyDescent="0.2">
      <c r="B109" s="178"/>
      <c r="C109" s="179"/>
      <c r="D109" s="180"/>
      <c r="E109" s="180"/>
      <c r="F109" s="180"/>
      <c r="H109" s="178"/>
      <c r="I109" s="179"/>
      <c r="J109" s="180"/>
      <c r="K109" s="180"/>
      <c r="L109" s="180"/>
      <c r="N109" s="178"/>
      <c r="O109" s="179"/>
      <c r="P109" s="180"/>
      <c r="Q109" s="180"/>
      <c r="R109" s="180"/>
      <c r="T109" s="178"/>
      <c r="U109" s="179"/>
      <c r="V109" s="180"/>
      <c r="W109" s="180"/>
      <c r="X109" s="180"/>
      <c r="Z109" s="178"/>
      <c r="AA109" s="179"/>
      <c r="AB109" s="180"/>
      <c r="AC109" s="180"/>
      <c r="AD109" s="180"/>
      <c r="AF109" s="178"/>
      <c r="AG109" s="179"/>
      <c r="AH109" s="180"/>
      <c r="AI109" s="180"/>
      <c r="AJ109" s="180"/>
      <c r="AL109" s="178"/>
      <c r="AM109" s="179"/>
      <c r="AN109" s="180"/>
      <c r="AO109" s="180"/>
      <c r="AP109" s="180"/>
    </row>
    <row r="110" spans="2:42" x14ac:dyDescent="0.2">
      <c r="B110" s="178"/>
      <c r="C110" s="179"/>
      <c r="D110" s="180"/>
      <c r="E110" s="180"/>
      <c r="F110" s="180"/>
      <c r="H110" s="178"/>
      <c r="I110" s="179"/>
      <c r="J110" s="180"/>
      <c r="K110" s="180"/>
      <c r="L110" s="180"/>
      <c r="N110" s="178"/>
      <c r="O110" s="179"/>
      <c r="P110" s="180"/>
      <c r="Q110" s="180"/>
      <c r="R110" s="180"/>
      <c r="T110" s="178"/>
      <c r="U110" s="179"/>
      <c r="V110" s="180"/>
      <c r="W110" s="180"/>
      <c r="X110" s="180"/>
      <c r="Z110" s="178"/>
      <c r="AA110" s="179"/>
      <c r="AB110" s="180"/>
      <c r="AC110" s="180"/>
      <c r="AD110" s="180"/>
      <c r="AF110" s="178"/>
      <c r="AG110" s="179"/>
      <c r="AH110" s="180"/>
      <c r="AI110" s="180"/>
      <c r="AJ110" s="180"/>
      <c r="AL110" s="178"/>
      <c r="AM110" s="179"/>
      <c r="AN110" s="180"/>
      <c r="AO110" s="180"/>
      <c r="AP110" s="180"/>
    </row>
    <row r="111" spans="2:42" x14ac:dyDescent="0.2">
      <c r="B111" s="178"/>
      <c r="C111" s="179"/>
      <c r="D111" s="180"/>
      <c r="E111" s="180"/>
      <c r="F111" s="180"/>
      <c r="H111" s="178"/>
      <c r="I111" s="179"/>
      <c r="J111" s="180"/>
      <c r="K111" s="180"/>
      <c r="L111" s="180"/>
      <c r="N111" s="178"/>
      <c r="O111" s="179"/>
      <c r="P111" s="180"/>
      <c r="Q111" s="180"/>
      <c r="R111" s="180"/>
      <c r="T111" s="178"/>
      <c r="U111" s="179"/>
      <c r="V111" s="180"/>
      <c r="W111" s="180"/>
      <c r="X111" s="180"/>
      <c r="Z111" s="178"/>
      <c r="AA111" s="179"/>
      <c r="AB111" s="180"/>
      <c r="AC111" s="180"/>
      <c r="AD111" s="180"/>
      <c r="AF111" s="178"/>
      <c r="AG111" s="179"/>
      <c r="AH111" s="180"/>
      <c r="AI111" s="180"/>
      <c r="AJ111" s="180"/>
      <c r="AL111" s="178"/>
      <c r="AM111" s="179"/>
      <c r="AN111" s="180"/>
      <c r="AO111" s="180"/>
      <c r="AP111" s="180"/>
    </row>
    <row r="112" spans="2:42" x14ac:dyDescent="0.2">
      <c r="B112" s="178"/>
      <c r="C112" s="179"/>
      <c r="D112" s="180"/>
      <c r="E112" s="180"/>
      <c r="F112" s="180"/>
      <c r="H112" s="178"/>
      <c r="I112" s="179"/>
      <c r="J112" s="180"/>
      <c r="K112" s="180"/>
      <c r="L112" s="180"/>
      <c r="N112" s="178"/>
      <c r="O112" s="179"/>
      <c r="P112" s="180"/>
      <c r="Q112" s="180"/>
      <c r="R112" s="180"/>
      <c r="T112" s="178"/>
      <c r="U112" s="179"/>
      <c r="V112" s="180"/>
      <c r="W112" s="180"/>
      <c r="X112" s="180"/>
      <c r="Z112" s="178"/>
      <c r="AA112" s="179"/>
      <c r="AB112" s="180"/>
      <c r="AC112" s="180"/>
      <c r="AD112" s="180"/>
      <c r="AF112" s="178"/>
      <c r="AG112" s="179"/>
      <c r="AH112" s="180"/>
      <c r="AI112" s="180"/>
      <c r="AJ112" s="180"/>
      <c r="AL112" s="178"/>
      <c r="AM112" s="179"/>
      <c r="AN112" s="180"/>
      <c r="AO112" s="180"/>
      <c r="AP112" s="180"/>
    </row>
    <row r="113" spans="2:42" x14ac:dyDescent="0.2">
      <c r="B113" s="178"/>
      <c r="C113" s="179"/>
      <c r="D113" s="180"/>
      <c r="E113" s="180"/>
      <c r="F113" s="180"/>
      <c r="H113" s="178"/>
      <c r="I113" s="179"/>
      <c r="J113" s="180"/>
      <c r="K113" s="180"/>
      <c r="L113" s="180"/>
      <c r="N113" s="178"/>
      <c r="O113" s="179"/>
      <c r="P113" s="180"/>
      <c r="Q113" s="180"/>
      <c r="R113" s="180"/>
      <c r="T113" s="178"/>
      <c r="U113" s="179"/>
      <c r="V113" s="180"/>
      <c r="W113" s="180"/>
      <c r="X113" s="180"/>
      <c r="Z113" s="178"/>
      <c r="AA113" s="179"/>
      <c r="AB113" s="180"/>
      <c r="AC113" s="180"/>
      <c r="AD113" s="180"/>
      <c r="AF113" s="178"/>
      <c r="AG113" s="179"/>
      <c r="AH113" s="180"/>
      <c r="AI113" s="180"/>
      <c r="AJ113" s="180"/>
      <c r="AL113" s="178"/>
      <c r="AM113" s="179"/>
      <c r="AN113" s="180"/>
      <c r="AO113" s="180"/>
      <c r="AP113" s="180"/>
    </row>
    <row r="114" spans="2:42" x14ac:dyDescent="0.2">
      <c r="B114" s="178"/>
      <c r="C114" s="179"/>
      <c r="D114" s="180"/>
      <c r="E114" s="180"/>
      <c r="F114" s="180"/>
      <c r="H114" s="178"/>
      <c r="I114" s="179"/>
      <c r="J114" s="180"/>
      <c r="K114" s="180"/>
      <c r="L114" s="180"/>
      <c r="N114" s="178"/>
      <c r="O114" s="179"/>
      <c r="P114" s="180"/>
      <c r="Q114" s="180"/>
      <c r="R114" s="180"/>
      <c r="T114" s="178"/>
      <c r="U114" s="179"/>
      <c r="V114" s="180"/>
      <c r="W114" s="180"/>
      <c r="X114" s="180"/>
      <c r="Z114" s="178"/>
      <c r="AA114" s="179"/>
      <c r="AB114" s="180"/>
      <c r="AC114" s="180"/>
      <c r="AD114" s="180"/>
      <c r="AF114" s="178"/>
      <c r="AG114" s="179"/>
      <c r="AH114" s="180"/>
      <c r="AI114" s="180"/>
      <c r="AJ114" s="180"/>
      <c r="AL114" s="178"/>
      <c r="AM114" s="179"/>
      <c r="AN114" s="180"/>
      <c r="AO114" s="180"/>
      <c r="AP114" s="180"/>
    </row>
    <row r="115" spans="2:42" x14ac:dyDescent="0.2">
      <c r="B115" s="178"/>
      <c r="C115" s="179"/>
      <c r="D115" s="180"/>
      <c r="E115" s="180"/>
      <c r="F115" s="180"/>
      <c r="H115" s="178"/>
      <c r="I115" s="179"/>
      <c r="J115" s="180"/>
      <c r="K115" s="180"/>
      <c r="L115" s="180"/>
      <c r="N115" s="178"/>
      <c r="O115" s="179"/>
      <c r="P115" s="180"/>
      <c r="Q115" s="180"/>
      <c r="R115" s="180"/>
      <c r="T115" s="178"/>
      <c r="U115" s="179"/>
      <c r="V115" s="180"/>
      <c r="W115" s="180"/>
      <c r="X115" s="180"/>
      <c r="Z115" s="178"/>
      <c r="AA115" s="179"/>
      <c r="AB115" s="180"/>
      <c r="AC115" s="180"/>
      <c r="AD115" s="180"/>
      <c r="AF115" s="178"/>
      <c r="AG115" s="179"/>
      <c r="AH115" s="180"/>
      <c r="AI115" s="180"/>
      <c r="AJ115" s="180"/>
      <c r="AL115" s="178"/>
      <c r="AM115" s="179"/>
      <c r="AN115" s="180"/>
      <c r="AO115" s="180"/>
      <c r="AP115" s="180"/>
    </row>
    <row r="116" spans="2:42" x14ac:dyDescent="0.2">
      <c r="B116" s="178"/>
      <c r="C116" s="179"/>
      <c r="D116" s="180"/>
      <c r="E116" s="180"/>
      <c r="F116" s="180"/>
      <c r="H116" s="178"/>
      <c r="I116" s="179"/>
      <c r="J116" s="180"/>
      <c r="K116" s="180"/>
      <c r="L116" s="180"/>
      <c r="N116" s="178"/>
      <c r="O116" s="179"/>
      <c r="P116" s="180"/>
      <c r="Q116" s="180"/>
      <c r="R116" s="180"/>
      <c r="T116" s="178"/>
      <c r="U116" s="179"/>
      <c r="V116" s="180"/>
      <c r="W116" s="180"/>
      <c r="X116" s="180"/>
      <c r="Z116" s="178"/>
      <c r="AA116" s="179"/>
      <c r="AB116" s="180"/>
      <c r="AC116" s="180"/>
      <c r="AD116" s="180"/>
      <c r="AF116" s="178"/>
      <c r="AG116" s="179"/>
      <c r="AH116" s="180"/>
      <c r="AI116" s="180"/>
      <c r="AJ116" s="180"/>
      <c r="AL116" s="178"/>
      <c r="AM116" s="179"/>
      <c r="AN116" s="180"/>
      <c r="AO116" s="180"/>
      <c r="AP116" s="180"/>
    </row>
    <row r="117" spans="2:42" x14ac:dyDescent="0.2">
      <c r="B117" s="178"/>
      <c r="C117" s="179"/>
      <c r="D117" s="180"/>
      <c r="E117" s="180"/>
      <c r="F117" s="180"/>
      <c r="H117" s="178"/>
      <c r="I117" s="179"/>
      <c r="J117" s="180"/>
      <c r="K117" s="180"/>
      <c r="L117" s="180"/>
      <c r="N117" s="178"/>
      <c r="O117" s="179"/>
      <c r="P117" s="180"/>
      <c r="Q117" s="180"/>
      <c r="R117" s="180"/>
      <c r="T117" s="178"/>
      <c r="U117" s="179"/>
      <c r="V117" s="180"/>
      <c r="W117" s="180"/>
      <c r="X117" s="180"/>
      <c r="Z117" s="178"/>
      <c r="AA117" s="179"/>
      <c r="AB117" s="180"/>
      <c r="AC117" s="180"/>
      <c r="AD117" s="180"/>
      <c r="AF117" s="178"/>
      <c r="AG117" s="179"/>
      <c r="AH117" s="180"/>
      <c r="AI117" s="180"/>
      <c r="AJ117" s="180"/>
      <c r="AL117" s="178"/>
      <c r="AM117" s="179"/>
      <c r="AN117" s="180"/>
      <c r="AO117" s="180"/>
      <c r="AP117" s="180"/>
    </row>
    <row r="118" spans="2:42" x14ac:dyDescent="0.2">
      <c r="B118" s="178"/>
      <c r="C118" s="179"/>
      <c r="D118" s="180"/>
      <c r="E118" s="180"/>
      <c r="F118" s="180"/>
      <c r="H118" s="178"/>
      <c r="I118" s="179"/>
      <c r="J118" s="180"/>
      <c r="K118" s="180"/>
      <c r="L118" s="180"/>
      <c r="N118" s="178"/>
      <c r="O118" s="179"/>
      <c r="P118" s="180"/>
      <c r="Q118" s="180"/>
      <c r="R118" s="180"/>
      <c r="T118" s="178"/>
      <c r="U118" s="179"/>
      <c r="V118" s="180"/>
      <c r="W118" s="180"/>
      <c r="X118" s="180"/>
      <c r="Z118" s="178"/>
      <c r="AA118" s="179"/>
      <c r="AB118" s="180"/>
      <c r="AC118" s="180"/>
      <c r="AD118" s="180"/>
      <c r="AF118" s="178"/>
      <c r="AG118" s="179"/>
      <c r="AH118" s="180"/>
      <c r="AI118" s="180"/>
      <c r="AJ118" s="180"/>
      <c r="AL118" s="178"/>
      <c r="AM118" s="179"/>
      <c r="AN118" s="180"/>
      <c r="AO118" s="180"/>
      <c r="AP118" s="180"/>
    </row>
    <row r="119" spans="2:42" x14ac:dyDescent="0.2">
      <c r="B119" s="178"/>
      <c r="C119" s="179"/>
      <c r="D119" s="180"/>
      <c r="E119" s="180"/>
      <c r="F119" s="180"/>
      <c r="H119" s="178"/>
      <c r="I119" s="179"/>
      <c r="J119" s="180"/>
      <c r="K119" s="180"/>
      <c r="L119" s="180"/>
      <c r="N119" s="178"/>
      <c r="O119" s="179"/>
      <c r="P119" s="180"/>
      <c r="Q119" s="180"/>
      <c r="R119" s="180"/>
      <c r="T119" s="178"/>
      <c r="U119" s="179"/>
      <c r="V119" s="180"/>
      <c r="W119" s="180"/>
      <c r="X119" s="180"/>
      <c r="Z119" s="178"/>
      <c r="AA119" s="179"/>
      <c r="AB119" s="180"/>
      <c r="AC119" s="180"/>
      <c r="AD119" s="180"/>
      <c r="AF119" s="178"/>
      <c r="AG119" s="179"/>
      <c r="AH119" s="180"/>
      <c r="AI119" s="180"/>
      <c r="AJ119" s="180"/>
      <c r="AL119" s="178"/>
      <c r="AM119" s="179"/>
      <c r="AN119" s="180"/>
      <c r="AO119" s="180"/>
      <c r="AP119" s="180"/>
    </row>
    <row r="120" spans="2:42" x14ac:dyDescent="0.2">
      <c r="B120" s="178"/>
      <c r="C120" s="179"/>
      <c r="D120" s="180"/>
      <c r="E120" s="180"/>
      <c r="F120" s="180"/>
      <c r="H120" s="178"/>
      <c r="I120" s="179"/>
      <c r="J120" s="180"/>
      <c r="K120" s="180"/>
      <c r="L120" s="180"/>
      <c r="N120" s="178"/>
      <c r="O120" s="179"/>
      <c r="P120" s="180"/>
      <c r="Q120" s="180"/>
      <c r="R120" s="180"/>
      <c r="T120" s="178"/>
      <c r="U120" s="179"/>
      <c r="V120" s="180"/>
      <c r="W120" s="180"/>
      <c r="X120" s="180"/>
      <c r="Z120" s="178"/>
      <c r="AA120" s="179"/>
      <c r="AB120" s="180"/>
      <c r="AC120" s="180"/>
      <c r="AD120" s="180"/>
      <c r="AF120" s="178"/>
      <c r="AG120" s="179"/>
      <c r="AH120" s="180"/>
      <c r="AI120" s="180"/>
      <c r="AJ120" s="180"/>
      <c r="AL120" s="178"/>
      <c r="AM120" s="179"/>
      <c r="AN120" s="180"/>
      <c r="AO120" s="180"/>
      <c r="AP120" s="180"/>
    </row>
    <row r="121" spans="2:42" x14ac:dyDescent="0.2">
      <c r="B121" s="178"/>
      <c r="C121" s="179"/>
      <c r="D121" s="180"/>
      <c r="E121" s="180"/>
      <c r="F121" s="180"/>
      <c r="H121" s="178"/>
      <c r="I121" s="179"/>
      <c r="J121" s="180"/>
      <c r="K121" s="180"/>
      <c r="L121" s="180"/>
      <c r="N121" s="178"/>
      <c r="O121" s="179"/>
      <c r="P121" s="180"/>
      <c r="Q121" s="180"/>
      <c r="R121" s="180"/>
      <c r="T121" s="178"/>
      <c r="U121" s="179"/>
      <c r="V121" s="180"/>
      <c r="W121" s="180"/>
      <c r="X121" s="180"/>
      <c r="Z121" s="178"/>
      <c r="AA121" s="179"/>
      <c r="AB121" s="180"/>
      <c r="AC121" s="180"/>
      <c r="AD121" s="180"/>
      <c r="AF121" s="178"/>
      <c r="AG121" s="179"/>
      <c r="AH121" s="180"/>
      <c r="AI121" s="180"/>
      <c r="AJ121" s="180"/>
      <c r="AL121" s="178"/>
      <c r="AM121" s="179"/>
      <c r="AN121" s="180"/>
      <c r="AO121" s="180"/>
      <c r="AP121" s="180"/>
    </row>
    <row r="122" spans="2:42" x14ac:dyDescent="0.2">
      <c r="B122" s="178"/>
      <c r="C122" s="179"/>
      <c r="D122" s="180"/>
      <c r="E122" s="180"/>
      <c r="F122" s="180"/>
      <c r="H122" s="178"/>
      <c r="I122" s="179"/>
      <c r="J122" s="180"/>
      <c r="K122" s="180"/>
      <c r="L122" s="180"/>
      <c r="N122" s="178"/>
      <c r="O122" s="179"/>
      <c r="P122" s="180"/>
      <c r="Q122" s="180"/>
      <c r="R122" s="180"/>
      <c r="T122" s="178"/>
      <c r="U122" s="179"/>
      <c r="V122" s="180"/>
      <c r="W122" s="180"/>
      <c r="X122" s="180"/>
      <c r="Z122" s="178"/>
      <c r="AA122" s="179"/>
      <c r="AB122" s="180"/>
      <c r="AC122" s="180"/>
      <c r="AD122" s="180"/>
      <c r="AF122" s="178"/>
      <c r="AG122" s="179"/>
      <c r="AH122" s="180"/>
      <c r="AI122" s="180"/>
      <c r="AJ122" s="180"/>
      <c r="AL122" s="178"/>
      <c r="AM122" s="179"/>
      <c r="AN122" s="180"/>
      <c r="AO122" s="180"/>
      <c r="AP122" s="180"/>
    </row>
    <row r="123" spans="2:42" x14ac:dyDescent="0.2">
      <c r="B123" s="178"/>
      <c r="C123" s="179"/>
      <c r="D123" s="180"/>
      <c r="E123" s="180"/>
      <c r="F123" s="180"/>
      <c r="H123" s="178"/>
      <c r="I123" s="179"/>
      <c r="J123" s="180"/>
      <c r="K123" s="180"/>
      <c r="L123" s="180"/>
      <c r="N123" s="178"/>
      <c r="O123" s="179"/>
      <c r="P123" s="180"/>
      <c r="Q123" s="180"/>
      <c r="R123" s="180"/>
      <c r="T123" s="178"/>
      <c r="U123" s="179"/>
      <c r="V123" s="180"/>
      <c r="W123" s="180"/>
      <c r="X123" s="180"/>
      <c r="Z123" s="178"/>
      <c r="AA123" s="179"/>
      <c r="AB123" s="180"/>
      <c r="AC123" s="180"/>
      <c r="AD123" s="180"/>
      <c r="AF123" s="178"/>
      <c r="AG123" s="179"/>
      <c r="AH123" s="180"/>
      <c r="AI123" s="180"/>
      <c r="AJ123" s="180"/>
      <c r="AL123" s="178"/>
      <c r="AM123" s="179"/>
      <c r="AN123" s="180"/>
      <c r="AO123" s="180"/>
      <c r="AP123" s="180"/>
    </row>
    <row r="124" spans="2:42" x14ac:dyDescent="0.2">
      <c r="B124" s="178"/>
      <c r="C124" s="179"/>
      <c r="D124" s="180"/>
      <c r="E124" s="180"/>
      <c r="F124" s="180"/>
      <c r="H124" s="178"/>
      <c r="I124" s="179"/>
      <c r="J124" s="180"/>
      <c r="K124" s="180"/>
      <c r="L124" s="180"/>
      <c r="N124" s="178"/>
      <c r="O124" s="179"/>
      <c r="P124" s="180"/>
      <c r="Q124" s="180"/>
      <c r="R124" s="180"/>
      <c r="T124" s="178"/>
      <c r="U124" s="179"/>
      <c r="V124" s="180"/>
      <c r="W124" s="180"/>
      <c r="X124" s="180"/>
      <c r="Z124" s="178"/>
      <c r="AA124" s="179"/>
      <c r="AB124" s="180"/>
      <c r="AC124" s="180"/>
      <c r="AD124" s="180"/>
      <c r="AF124" s="178"/>
      <c r="AG124" s="179"/>
      <c r="AH124" s="180"/>
      <c r="AI124" s="180"/>
      <c r="AJ124" s="180"/>
      <c r="AL124" s="178"/>
      <c r="AM124" s="179"/>
      <c r="AN124" s="180"/>
      <c r="AO124" s="180"/>
      <c r="AP124" s="180"/>
    </row>
    <row r="125" spans="2:42" x14ac:dyDescent="0.2">
      <c r="B125" s="178"/>
      <c r="C125" s="179"/>
      <c r="D125" s="180"/>
      <c r="E125" s="180"/>
      <c r="F125" s="180"/>
      <c r="H125" s="178"/>
      <c r="I125" s="179"/>
      <c r="J125" s="180"/>
      <c r="K125" s="180"/>
      <c r="L125" s="180"/>
      <c r="N125" s="178"/>
      <c r="O125" s="179"/>
      <c r="P125" s="180"/>
      <c r="Q125" s="180"/>
      <c r="R125" s="180"/>
      <c r="T125" s="178"/>
      <c r="U125" s="179"/>
      <c r="V125" s="180"/>
      <c r="W125" s="180"/>
      <c r="X125" s="180"/>
      <c r="Z125" s="178"/>
      <c r="AA125" s="179"/>
      <c r="AB125" s="180"/>
      <c r="AC125" s="180"/>
      <c r="AD125" s="180"/>
      <c r="AF125" s="178"/>
      <c r="AG125" s="179"/>
      <c r="AH125" s="180"/>
      <c r="AI125" s="180"/>
      <c r="AJ125" s="180"/>
      <c r="AL125" s="178"/>
      <c r="AM125" s="179"/>
      <c r="AN125" s="180"/>
      <c r="AO125" s="180"/>
      <c r="AP125" s="180"/>
    </row>
    <row r="126" spans="2:42" x14ac:dyDescent="0.2">
      <c r="B126" s="178"/>
      <c r="C126" s="179"/>
      <c r="D126" s="180"/>
      <c r="E126" s="180"/>
      <c r="F126" s="180"/>
      <c r="H126" s="178"/>
      <c r="I126" s="179"/>
      <c r="J126" s="180"/>
      <c r="K126" s="180"/>
      <c r="L126" s="180"/>
      <c r="N126" s="178"/>
      <c r="O126" s="179"/>
      <c r="P126" s="180"/>
      <c r="Q126" s="180"/>
      <c r="R126" s="180"/>
      <c r="T126" s="178"/>
      <c r="U126" s="179"/>
      <c r="V126" s="180"/>
      <c r="W126" s="180"/>
      <c r="X126" s="180"/>
      <c r="Z126" s="178"/>
      <c r="AA126" s="179"/>
      <c r="AB126" s="180"/>
      <c r="AC126" s="180"/>
      <c r="AD126" s="180"/>
      <c r="AF126" s="178"/>
      <c r="AG126" s="179"/>
      <c r="AH126" s="180"/>
      <c r="AI126" s="180"/>
      <c r="AJ126" s="180"/>
      <c r="AL126" s="178"/>
      <c r="AM126" s="179"/>
      <c r="AN126" s="180"/>
      <c r="AO126" s="180"/>
      <c r="AP126" s="180"/>
    </row>
    <row r="127" spans="2:42" x14ac:dyDescent="0.2">
      <c r="B127" s="178"/>
      <c r="C127" s="179"/>
      <c r="D127" s="180"/>
      <c r="E127" s="180"/>
      <c r="F127" s="180"/>
      <c r="H127" s="178"/>
      <c r="I127" s="179"/>
      <c r="J127" s="180"/>
      <c r="K127" s="180"/>
      <c r="L127" s="180"/>
      <c r="N127" s="178"/>
      <c r="O127" s="179"/>
      <c r="P127" s="180"/>
      <c r="Q127" s="180"/>
      <c r="R127" s="180"/>
      <c r="T127" s="178"/>
      <c r="U127" s="179"/>
      <c r="V127" s="180"/>
      <c r="W127" s="180"/>
      <c r="X127" s="180"/>
      <c r="Z127" s="178"/>
      <c r="AA127" s="179"/>
      <c r="AB127" s="180"/>
      <c r="AC127" s="180"/>
      <c r="AD127" s="180"/>
      <c r="AF127" s="178"/>
      <c r="AG127" s="179"/>
      <c r="AH127" s="180"/>
      <c r="AI127" s="180"/>
      <c r="AJ127" s="180"/>
      <c r="AL127" s="178"/>
      <c r="AM127" s="179"/>
      <c r="AN127" s="180"/>
      <c r="AO127" s="180"/>
      <c r="AP127" s="180"/>
    </row>
    <row r="128" spans="2:42" x14ac:dyDescent="0.2">
      <c r="B128" s="178"/>
      <c r="C128" s="179"/>
      <c r="D128" s="180"/>
      <c r="E128" s="180"/>
      <c r="F128" s="180"/>
      <c r="H128" s="178"/>
      <c r="I128" s="179"/>
      <c r="J128" s="180"/>
      <c r="K128" s="180"/>
      <c r="L128" s="180"/>
      <c r="N128" s="178"/>
      <c r="O128" s="179"/>
      <c r="P128" s="180"/>
      <c r="Q128" s="180"/>
      <c r="R128" s="180"/>
      <c r="T128" s="178"/>
      <c r="U128" s="179"/>
      <c r="V128" s="180"/>
      <c r="W128" s="180"/>
      <c r="X128" s="180"/>
      <c r="Z128" s="178"/>
      <c r="AA128" s="179"/>
      <c r="AB128" s="180"/>
      <c r="AC128" s="180"/>
      <c r="AD128" s="180"/>
      <c r="AF128" s="178"/>
      <c r="AG128" s="179"/>
      <c r="AH128" s="180"/>
      <c r="AI128" s="180"/>
      <c r="AJ128" s="180"/>
      <c r="AL128" s="178"/>
      <c r="AM128" s="179"/>
      <c r="AN128" s="180"/>
      <c r="AO128" s="180"/>
      <c r="AP128" s="180"/>
    </row>
    <row r="129" spans="2:42" x14ac:dyDescent="0.2">
      <c r="B129" s="178"/>
      <c r="C129" s="179"/>
      <c r="D129" s="180"/>
      <c r="E129" s="180"/>
      <c r="F129" s="180"/>
      <c r="H129" s="178"/>
      <c r="I129" s="179"/>
      <c r="J129" s="180"/>
      <c r="K129" s="180"/>
      <c r="L129" s="180"/>
      <c r="N129" s="178"/>
      <c r="O129" s="179"/>
      <c r="P129" s="180"/>
      <c r="Q129" s="180"/>
      <c r="R129" s="180"/>
      <c r="T129" s="178"/>
      <c r="U129" s="179"/>
      <c r="V129" s="180"/>
      <c r="W129" s="180"/>
      <c r="X129" s="180"/>
      <c r="Z129" s="178"/>
      <c r="AA129" s="179"/>
      <c r="AB129" s="180"/>
      <c r="AC129" s="180"/>
      <c r="AD129" s="180"/>
      <c r="AF129" s="178"/>
      <c r="AG129" s="179"/>
      <c r="AH129" s="180"/>
      <c r="AI129" s="180"/>
      <c r="AJ129" s="180"/>
      <c r="AL129" s="178"/>
      <c r="AM129" s="179"/>
      <c r="AN129" s="180"/>
      <c r="AO129" s="180"/>
      <c r="AP129" s="180"/>
    </row>
    <row r="130" spans="2:42" x14ac:dyDescent="0.2">
      <c r="B130" s="178"/>
      <c r="C130" s="179"/>
      <c r="D130" s="180"/>
      <c r="E130" s="180"/>
      <c r="F130" s="180"/>
      <c r="H130" s="178"/>
      <c r="I130" s="179"/>
      <c r="J130" s="180"/>
      <c r="K130" s="180"/>
      <c r="L130" s="180"/>
      <c r="N130" s="178"/>
      <c r="O130" s="179"/>
      <c r="P130" s="180"/>
      <c r="Q130" s="180"/>
      <c r="R130" s="180"/>
      <c r="T130" s="178"/>
      <c r="U130" s="179"/>
      <c r="V130" s="180"/>
      <c r="W130" s="180"/>
      <c r="X130" s="180"/>
      <c r="Z130" s="178"/>
      <c r="AA130" s="179"/>
      <c r="AB130" s="180"/>
      <c r="AC130" s="180"/>
      <c r="AD130" s="180"/>
      <c r="AF130" s="178"/>
      <c r="AG130" s="179"/>
      <c r="AH130" s="180"/>
      <c r="AI130" s="180"/>
      <c r="AJ130" s="180"/>
      <c r="AL130" s="178"/>
      <c r="AM130" s="179"/>
      <c r="AN130" s="180"/>
      <c r="AO130" s="180"/>
      <c r="AP130" s="180"/>
    </row>
    <row r="131" spans="2:42" x14ac:dyDescent="0.2">
      <c r="B131" s="178"/>
      <c r="C131" s="179"/>
      <c r="D131" s="180"/>
      <c r="E131" s="180"/>
      <c r="F131" s="180"/>
      <c r="H131" s="178"/>
      <c r="I131" s="179"/>
      <c r="J131" s="180"/>
      <c r="K131" s="180"/>
      <c r="L131" s="180"/>
      <c r="N131" s="178"/>
      <c r="O131" s="179"/>
      <c r="P131" s="180"/>
      <c r="Q131" s="180"/>
      <c r="R131" s="180"/>
      <c r="T131" s="178"/>
      <c r="U131" s="179"/>
      <c r="V131" s="180"/>
      <c r="W131" s="180"/>
      <c r="X131" s="180"/>
      <c r="Z131" s="178"/>
      <c r="AA131" s="179"/>
      <c r="AB131" s="180"/>
      <c r="AC131" s="180"/>
      <c r="AD131" s="180"/>
      <c r="AF131" s="178"/>
      <c r="AG131" s="179"/>
      <c r="AH131" s="180"/>
      <c r="AI131" s="180"/>
      <c r="AJ131" s="180"/>
      <c r="AL131" s="178"/>
      <c r="AM131" s="179"/>
      <c r="AN131" s="180"/>
      <c r="AO131" s="180"/>
      <c r="AP131" s="180"/>
    </row>
    <row r="132" spans="2:42" x14ac:dyDescent="0.2">
      <c r="B132" s="178"/>
      <c r="C132" s="179"/>
      <c r="D132" s="180"/>
      <c r="E132" s="180"/>
      <c r="F132" s="180"/>
      <c r="H132" s="178"/>
      <c r="I132" s="179"/>
      <c r="J132" s="180"/>
      <c r="K132" s="180"/>
      <c r="L132" s="180"/>
      <c r="N132" s="178"/>
      <c r="O132" s="179"/>
      <c r="P132" s="180"/>
      <c r="Q132" s="180"/>
      <c r="R132" s="180"/>
      <c r="T132" s="178"/>
      <c r="U132" s="179"/>
      <c r="V132" s="180"/>
      <c r="W132" s="180"/>
      <c r="X132" s="180"/>
      <c r="Z132" s="178"/>
      <c r="AA132" s="179"/>
      <c r="AB132" s="180"/>
      <c r="AC132" s="180"/>
      <c r="AD132" s="180"/>
      <c r="AF132" s="178"/>
      <c r="AG132" s="179"/>
      <c r="AH132" s="180"/>
      <c r="AI132" s="180"/>
      <c r="AJ132" s="180"/>
      <c r="AL132" s="178"/>
      <c r="AM132" s="179"/>
      <c r="AN132" s="180"/>
      <c r="AO132" s="180"/>
      <c r="AP132" s="180"/>
    </row>
    <row r="133" spans="2:42" x14ac:dyDescent="0.2">
      <c r="B133" s="178"/>
      <c r="C133" s="179"/>
      <c r="D133" s="180"/>
      <c r="E133" s="180"/>
      <c r="F133" s="180"/>
      <c r="H133" s="178"/>
      <c r="I133" s="179"/>
      <c r="J133" s="180"/>
      <c r="K133" s="180"/>
      <c r="L133" s="180"/>
      <c r="N133" s="178"/>
      <c r="O133" s="179"/>
      <c r="P133" s="180"/>
      <c r="Q133" s="180"/>
      <c r="R133" s="180"/>
      <c r="T133" s="178"/>
      <c r="U133" s="179"/>
      <c r="V133" s="180"/>
      <c r="W133" s="180"/>
      <c r="X133" s="180"/>
      <c r="Z133" s="178"/>
      <c r="AA133" s="179"/>
      <c r="AB133" s="180"/>
      <c r="AC133" s="180"/>
      <c r="AD133" s="180"/>
      <c r="AF133" s="178"/>
      <c r="AG133" s="179"/>
      <c r="AH133" s="180"/>
      <c r="AI133" s="180"/>
      <c r="AJ133" s="180"/>
      <c r="AL133" s="178"/>
      <c r="AM133" s="179"/>
      <c r="AN133" s="180"/>
      <c r="AO133" s="180"/>
      <c r="AP133" s="180"/>
    </row>
    <row r="134" spans="2:42" x14ac:dyDescent="0.2">
      <c r="B134" s="178"/>
      <c r="C134" s="179"/>
      <c r="D134" s="180"/>
      <c r="E134" s="180"/>
      <c r="F134" s="180"/>
      <c r="H134" s="178"/>
      <c r="I134" s="179"/>
      <c r="J134" s="180"/>
      <c r="K134" s="180"/>
      <c r="L134" s="180"/>
      <c r="N134" s="178"/>
      <c r="O134" s="179"/>
      <c r="P134" s="180"/>
      <c r="Q134" s="180"/>
      <c r="R134" s="180"/>
      <c r="T134" s="178"/>
      <c r="U134" s="179"/>
      <c r="V134" s="180"/>
      <c r="W134" s="180"/>
      <c r="X134" s="180"/>
      <c r="Z134" s="178"/>
      <c r="AA134" s="179"/>
      <c r="AB134" s="180"/>
      <c r="AC134" s="180"/>
      <c r="AD134" s="180"/>
      <c r="AF134" s="178"/>
      <c r="AG134" s="179"/>
      <c r="AH134" s="180"/>
      <c r="AI134" s="180"/>
      <c r="AJ134" s="180"/>
      <c r="AL134" s="178"/>
      <c r="AM134" s="179"/>
      <c r="AN134" s="180"/>
      <c r="AO134" s="180"/>
      <c r="AP134" s="180"/>
    </row>
    <row r="135" spans="2:42" x14ac:dyDescent="0.2">
      <c r="B135" s="178"/>
      <c r="C135" s="179"/>
      <c r="D135" s="180"/>
      <c r="E135" s="180"/>
      <c r="F135" s="180"/>
      <c r="H135" s="178"/>
      <c r="I135" s="179"/>
      <c r="J135" s="180"/>
      <c r="K135" s="180"/>
      <c r="L135" s="180"/>
      <c r="N135" s="178"/>
      <c r="O135" s="179"/>
      <c r="P135" s="180"/>
      <c r="Q135" s="180"/>
      <c r="R135" s="180"/>
      <c r="T135" s="178"/>
      <c r="U135" s="179"/>
      <c r="V135" s="180"/>
      <c r="W135" s="180"/>
      <c r="X135" s="180"/>
      <c r="Z135" s="178"/>
      <c r="AA135" s="179"/>
      <c r="AB135" s="180"/>
      <c r="AC135" s="180"/>
      <c r="AD135" s="180"/>
      <c r="AF135" s="178"/>
      <c r="AG135" s="179"/>
      <c r="AH135" s="180"/>
      <c r="AI135" s="180"/>
      <c r="AJ135" s="180"/>
      <c r="AL135" s="178"/>
      <c r="AM135" s="179"/>
      <c r="AN135" s="180"/>
      <c r="AO135" s="180"/>
      <c r="AP135" s="180"/>
    </row>
    <row r="136" spans="2:42" x14ac:dyDescent="0.2">
      <c r="B136" s="178"/>
      <c r="C136" s="179"/>
      <c r="D136" s="180"/>
      <c r="E136" s="180"/>
      <c r="F136" s="180"/>
      <c r="H136" s="178"/>
      <c r="I136" s="179"/>
      <c r="J136" s="180"/>
      <c r="K136" s="180"/>
      <c r="L136" s="180"/>
      <c r="N136" s="178"/>
      <c r="O136" s="179"/>
      <c r="P136" s="180"/>
      <c r="Q136" s="180"/>
      <c r="R136" s="180"/>
      <c r="T136" s="178"/>
      <c r="U136" s="179"/>
      <c r="V136" s="180"/>
      <c r="W136" s="180"/>
      <c r="X136" s="180"/>
      <c r="Z136" s="178"/>
      <c r="AA136" s="179"/>
      <c r="AB136" s="180"/>
      <c r="AC136" s="180"/>
      <c r="AD136" s="180"/>
      <c r="AF136" s="178"/>
      <c r="AG136" s="179"/>
      <c r="AH136" s="180"/>
      <c r="AI136" s="180"/>
      <c r="AJ136" s="180"/>
      <c r="AL136" s="178"/>
      <c r="AM136" s="179"/>
      <c r="AN136" s="180"/>
      <c r="AO136" s="180"/>
      <c r="AP136" s="180"/>
    </row>
    <row r="137" spans="2:42" x14ac:dyDescent="0.2">
      <c r="B137" s="178"/>
      <c r="C137" s="179"/>
      <c r="D137" s="180"/>
      <c r="E137" s="180"/>
      <c r="F137" s="180"/>
      <c r="H137" s="178"/>
      <c r="I137" s="179"/>
      <c r="J137" s="180"/>
      <c r="K137" s="180"/>
      <c r="L137" s="180"/>
      <c r="N137" s="178"/>
      <c r="O137" s="179"/>
      <c r="P137" s="180"/>
      <c r="Q137" s="180"/>
      <c r="R137" s="180"/>
      <c r="T137" s="178"/>
      <c r="U137" s="179"/>
      <c r="V137" s="180"/>
      <c r="W137" s="180"/>
      <c r="X137" s="180"/>
      <c r="Z137" s="178"/>
      <c r="AA137" s="179"/>
      <c r="AB137" s="180"/>
      <c r="AC137" s="180"/>
      <c r="AD137" s="180"/>
      <c r="AF137" s="178"/>
      <c r="AG137" s="179"/>
      <c r="AH137" s="180"/>
      <c r="AI137" s="180"/>
      <c r="AJ137" s="180"/>
      <c r="AL137" s="178"/>
      <c r="AM137" s="179"/>
      <c r="AN137" s="180"/>
      <c r="AO137" s="180"/>
      <c r="AP137" s="180"/>
    </row>
    <row r="138" spans="2:42" x14ac:dyDescent="0.2">
      <c r="B138" s="178"/>
      <c r="C138" s="179"/>
      <c r="D138" s="180"/>
      <c r="E138" s="180"/>
      <c r="F138" s="180"/>
      <c r="H138" s="178"/>
      <c r="I138" s="179"/>
      <c r="J138" s="180"/>
      <c r="K138" s="180"/>
      <c r="L138" s="180"/>
      <c r="N138" s="178"/>
      <c r="O138" s="179"/>
      <c r="P138" s="180"/>
      <c r="Q138" s="180"/>
      <c r="R138" s="180"/>
      <c r="T138" s="178"/>
      <c r="U138" s="179"/>
      <c r="V138" s="180"/>
      <c r="W138" s="180"/>
      <c r="X138" s="180"/>
      <c r="Z138" s="178"/>
      <c r="AA138" s="179"/>
      <c r="AB138" s="180"/>
      <c r="AC138" s="180"/>
      <c r="AD138" s="180"/>
      <c r="AF138" s="178"/>
      <c r="AG138" s="179"/>
      <c r="AH138" s="180"/>
      <c r="AI138" s="180"/>
      <c r="AJ138" s="180"/>
      <c r="AL138" s="178"/>
      <c r="AM138" s="179"/>
      <c r="AN138" s="180"/>
      <c r="AO138" s="180"/>
      <c r="AP138" s="180"/>
    </row>
    <row r="139" spans="2:42" x14ac:dyDescent="0.2">
      <c r="B139" s="178"/>
      <c r="C139" s="179"/>
      <c r="D139" s="180"/>
      <c r="E139" s="180"/>
      <c r="F139" s="180"/>
      <c r="H139" s="178"/>
      <c r="I139" s="179"/>
      <c r="J139" s="180"/>
      <c r="K139" s="180"/>
      <c r="L139" s="180"/>
      <c r="N139" s="178"/>
      <c r="O139" s="179"/>
      <c r="P139" s="180"/>
      <c r="Q139" s="180"/>
      <c r="R139" s="180"/>
      <c r="T139" s="178"/>
      <c r="U139" s="179"/>
      <c r="V139" s="180"/>
      <c r="W139" s="180"/>
      <c r="X139" s="180"/>
      <c r="Z139" s="178"/>
      <c r="AA139" s="179"/>
      <c r="AB139" s="180"/>
      <c r="AC139" s="180"/>
      <c r="AD139" s="180"/>
      <c r="AF139" s="178"/>
      <c r="AG139" s="179"/>
      <c r="AH139" s="180"/>
      <c r="AI139" s="180"/>
      <c r="AJ139" s="180"/>
      <c r="AL139" s="178"/>
      <c r="AM139" s="179"/>
      <c r="AN139" s="180"/>
      <c r="AO139" s="180"/>
      <c r="AP139" s="180"/>
    </row>
    <row r="140" spans="2:42" x14ac:dyDescent="0.2">
      <c r="B140" s="178"/>
      <c r="C140" s="179"/>
      <c r="D140" s="180"/>
      <c r="E140" s="180"/>
      <c r="F140" s="180"/>
      <c r="H140" s="178"/>
      <c r="I140" s="179"/>
      <c r="J140" s="180"/>
      <c r="K140" s="180"/>
      <c r="L140" s="180"/>
      <c r="N140" s="178"/>
      <c r="O140" s="179"/>
      <c r="P140" s="180"/>
      <c r="Q140" s="180"/>
      <c r="R140" s="180"/>
      <c r="T140" s="178"/>
      <c r="U140" s="179"/>
      <c r="V140" s="180"/>
      <c r="W140" s="180"/>
      <c r="X140" s="180"/>
      <c r="Z140" s="178"/>
      <c r="AA140" s="179"/>
      <c r="AB140" s="180"/>
      <c r="AC140" s="180"/>
      <c r="AD140" s="180"/>
      <c r="AF140" s="178"/>
      <c r="AG140" s="179"/>
      <c r="AH140" s="180"/>
      <c r="AI140" s="180"/>
      <c r="AJ140" s="180"/>
      <c r="AL140" s="178"/>
      <c r="AM140" s="179"/>
      <c r="AN140" s="180"/>
      <c r="AO140" s="180"/>
      <c r="AP140" s="180"/>
    </row>
    <row r="141" spans="2:42" x14ac:dyDescent="0.2">
      <c r="B141" s="178"/>
      <c r="C141" s="179"/>
      <c r="D141" s="180"/>
      <c r="E141" s="180"/>
      <c r="F141" s="180"/>
      <c r="H141" s="178"/>
      <c r="I141" s="179"/>
      <c r="J141" s="180"/>
      <c r="K141" s="180"/>
      <c r="L141" s="180"/>
      <c r="N141" s="178"/>
      <c r="O141" s="179"/>
      <c r="P141" s="180"/>
      <c r="Q141" s="180"/>
      <c r="R141" s="180"/>
      <c r="T141" s="178"/>
      <c r="U141" s="179"/>
      <c r="V141" s="180"/>
      <c r="W141" s="180"/>
      <c r="X141" s="180"/>
      <c r="Z141" s="178"/>
      <c r="AA141" s="179"/>
      <c r="AB141" s="180"/>
      <c r="AC141" s="180"/>
      <c r="AD141" s="180"/>
      <c r="AF141" s="178"/>
      <c r="AG141" s="179"/>
      <c r="AH141" s="180"/>
      <c r="AI141" s="180"/>
      <c r="AJ141" s="180"/>
      <c r="AL141" s="178"/>
      <c r="AM141" s="179"/>
      <c r="AN141" s="180"/>
      <c r="AO141" s="180"/>
      <c r="AP141" s="180"/>
    </row>
    <row r="142" spans="2:42" x14ac:dyDescent="0.2">
      <c r="B142" s="178"/>
      <c r="C142" s="179"/>
      <c r="D142" s="180"/>
      <c r="E142" s="180"/>
      <c r="F142" s="180"/>
      <c r="H142" s="178"/>
      <c r="I142" s="179"/>
      <c r="J142" s="180"/>
      <c r="K142" s="180"/>
      <c r="L142" s="180"/>
      <c r="N142" s="178"/>
      <c r="O142" s="179"/>
      <c r="P142" s="180"/>
      <c r="Q142" s="180"/>
      <c r="R142" s="180"/>
      <c r="T142" s="178"/>
      <c r="U142" s="179"/>
      <c r="V142" s="180"/>
      <c r="W142" s="180"/>
      <c r="X142" s="180"/>
      <c r="Z142" s="178"/>
      <c r="AA142" s="179"/>
      <c r="AB142" s="180"/>
      <c r="AC142" s="180"/>
      <c r="AD142" s="180"/>
      <c r="AF142" s="178"/>
      <c r="AG142" s="179"/>
      <c r="AH142" s="180"/>
      <c r="AI142" s="180"/>
      <c r="AJ142" s="180"/>
      <c r="AL142" s="178"/>
      <c r="AM142" s="179"/>
      <c r="AN142" s="180"/>
      <c r="AO142" s="180"/>
      <c r="AP142" s="180"/>
    </row>
    <row r="143" spans="2:42" x14ac:dyDescent="0.2">
      <c r="B143" s="178"/>
      <c r="C143" s="179"/>
      <c r="D143" s="180"/>
      <c r="E143" s="180"/>
      <c r="F143" s="180"/>
      <c r="H143" s="178"/>
      <c r="I143" s="179"/>
      <c r="J143" s="180"/>
      <c r="K143" s="180"/>
      <c r="L143" s="180"/>
      <c r="N143" s="178"/>
      <c r="O143" s="179"/>
      <c r="P143" s="180"/>
      <c r="Q143" s="180"/>
      <c r="R143" s="180"/>
      <c r="T143" s="178"/>
      <c r="U143" s="179"/>
      <c r="V143" s="180"/>
      <c r="W143" s="180"/>
      <c r="X143" s="180"/>
      <c r="Z143" s="178"/>
      <c r="AA143" s="179"/>
      <c r="AB143" s="180"/>
      <c r="AC143" s="180"/>
      <c r="AD143" s="180"/>
      <c r="AF143" s="178"/>
      <c r="AG143" s="179"/>
      <c r="AH143" s="180"/>
      <c r="AI143" s="180"/>
      <c r="AJ143" s="180"/>
      <c r="AL143" s="178"/>
      <c r="AM143" s="179"/>
      <c r="AN143" s="180"/>
      <c r="AO143" s="180"/>
      <c r="AP143" s="180"/>
    </row>
    <row r="144" spans="2:42" x14ac:dyDescent="0.2">
      <c r="B144" s="178"/>
      <c r="C144" s="179"/>
      <c r="D144" s="180"/>
      <c r="E144" s="180"/>
      <c r="F144" s="180"/>
      <c r="H144" s="178"/>
      <c r="I144" s="179"/>
      <c r="J144" s="180"/>
      <c r="K144" s="180"/>
      <c r="L144" s="180"/>
      <c r="N144" s="178"/>
      <c r="O144" s="179"/>
      <c r="P144" s="180"/>
      <c r="Q144" s="180"/>
      <c r="R144" s="180"/>
      <c r="T144" s="178"/>
      <c r="U144" s="179"/>
      <c r="V144" s="180"/>
      <c r="W144" s="180"/>
      <c r="X144" s="180"/>
      <c r="Z144" s="178"/>
      <c r="AA144" s="179"/>
      <c r="AB144" s="180"/>
      <c r="AC144" s="180"/>
      <c r="AD144" s="180"/>
      <c r="AF144" s="178"/>
      <c r="AG144" s="179"/>
      <c r="AH144" s="180"/>
      <c r="AI144" s="180"/>
      <c r="AJ144" s="180"/>
      <c r="AL144" s="178"/>
      <c r="AM144" s="179"/>
      <c r="AN144" s="180"/>
      <c r="AO144" s="180"/>
      <c r="AP144" s="180"/>
    </row>
    <row r="145" spans="2:42" x14ac:dyDescent="0.2">
      <c r="B145" s="178"/>
      <c r="C145" s="179"/>
      <c r="D145" s="180"/>
      <c r="E145" s="180"/>
      <c r="F145" s="180"/>
      <c r="H145" s="178"/>
      <c r="I145" s="179"/>
      <c r="J145" s="180"/>
      <c r="K145" s="180"/>
      <c r="L145" s="180"/>
      <c r="N145" s="178"/>
      <c r="O145" s="179"/>
      <c r="P145" s="180"/>
      <c r="Q145" s="180"/>
      <c r="R145" s="180"/>
      <c r="T145" s="178"/>
      <c r="U145" s="179"/>
      <c r="V145" s="180"/>
      <c r="W145" s="180"/>
      <c r="X145" s="180"/>
      <c r="Z145" s="178"/>
      <c r="AA145" s="179"/>
      <c r="AB145" s="180"/>
      <c r="AC145" s="180"/>
      <c r="AD145" s="180"/>
      <c r="AF145" s="178"/>
      <c r="AG145" s="179"/>
      <c r="AH145" s="180"/>
      <c r="AI145" s="180"/>
      <c r="AJ145" s="180"/>
      <c r="AL145" s="178"/>
      <c r="AM145" s="179"/>
      <c r="AN145" s="180"/>
      <c r="AO145" s="180"/>
      <c r="AP145" s="180"/>
    </row>
    <row r="146" spans="2:42" x14ac:dyDescent="0.2">
      <c r="B146" s="178"/>
      <c r="C146" s="179"/>
      <c r="D146" s="180"/>
      <c r="E146" s="180"/>
      <c r="F146" s="180"/>
      <c r="H146" s="178"/>
      <c r="I146" s="179"/>
      <c r="J146" s="180"/>
      <c r="K146" s="180"/>
      <c r="L146" s="180"/>
      <c r="N146" s="178"/>
      <c r="O146" s="179"/>
      <c r="P146" s="180"/>
      <c r="Q146" s="180"/>
      <c r="R146" s="180"/>
      <c r="T146" s="178"/>
      <c r="U146" s="179"/>
      <c r="V146" s="180"/>
      <c r="W146" s="180"/>
      <c r="X146" s="180"/>
      <c r="Z146" s="178"/>
      <c r="AA146" s="179"/>
      <c r="AB146" s="180"/>
      <c r="AC146" s="180"/>
      <c r="AD146" s="180"/>
      <c r="AF146" s="178"/>
      <c r="AG146" s="179"/>
      <c r="AH146" s="180"/>
      <c r="AI146" s="180"/>
      <c r="AJ146" s="180"/>
      <c r="AL146" s="178"/>
      <c r="AM146" s="179"/>
      <c r="AN146" s="180"/>
      <c r="AO146" s="180"/>
      <c r="AP146" s="180"/>
    </row>
    <row r="147" spans="2:42" x14ac:dyDescent="0.2">
      <c r="B147" s="178"/>
      <c r="C147" s="179"/>
      <c r="D147" s="180"/>
      <c r="E147" s="180"/>
      <c r="F147" s="180"/>
      <c r="H147" s="178"/>
      <c r="I147" s="179"/>
      <c r="J147" s="180"/>
      <c r="K147" s="180"/>
      <c r="L147" s="180"/>
      <c r="N147" s="178"/>
      <c r="O147" s="179"/>
      <c r="P147" s="180"/>
      <c r="Q147" s="180"/>
      <c r="R147" s="180"/>
      <c r="T147" s="178"/>
      <c r="U147" s="179"/>
      <c r="V147" s="180"/>
      <c r="W147" s="180"/>
      <c r="X147" s="180"/>
      <c r="Z147" s="178"/>
      <c r="AA147" s="179"/>
      <c r="AB147" s="180"/>
      <c r="AC147" s="180"/>
      <c r="AD147" s="180"/>
      <c r="AF147" s="178"/>
      <c r="AG147" s="179"/>
      <c r="AH147" s="180"/>
      <c r="AI147" s="180"/>
      <c r="AJ147" s="180"/>
      <c r="AL147" s="178"/>
      <c r="AM147" s="179"/>
      <c r="AN147" s="180"/>
      <c r="AO147" s="180"/>
      <c r="AP147" s="180"/>
    </row>
    <row r="148" spans="2:42" x14ac:dyDescent="0.2">
      <c r="B148" s="178"/>
      <c r="C148" s="179"/>
      <c r="D148" s="180"/>
      <c r="E148" s="180"/>
      <c r="F148" s="180"/>
      <c r="H148" s="178"/>
      <c r="I148" s="179"/>
      <c r="J148" s="180"/>
      <c r="K148" s="180"/>
      <c r="L148" s="180"/>
      <c r="N148" s="178"/>
      <c r="O148" s="179"/>
      <c r="P148" s="180"/>
      <c r="Q148" s="180"/>
      <c r="R148" s="180"/>
      <c r="T148" s="178"/>
      <c r="U148" s="179"/>
      <c r="V148" s="180"/>
      <c r="W148" s="180"/>
      <c r="X148" s="180"/>
      <c r="Z148" s="178"/>
      <c r="AA148" s="179"/>
      <c r="AB148" s="180"/>
      <c r="AC148" s="180"/>
      <c r="AD148" s="180"/>
      <c r="AF148" s="178"/>
      <c r="AG148" s="179"/>
      <c r="AH148" s="180"/>
      <c r="AI148" s="180"/>
      <c r="AJ148" s="180"/>
      <c r="AL148" s="178"/>
      <c r="AM148" s="179"/>
      <c r="AN148" s="180"/>
      <c r="AO148" s="180"/>
      <c r="AP148" s="180"/>
    </row>
    <row r="149" spans="2:42" x14ac:dyDescent="0.2">
      <c r="B149" s="178"/>
      <c r="C149" s="179"/>
      <c r="D149" s="180"/>
      <c r="E149" s="180"/>
      <c r="F149" s="180"/>
      <c r="H149" s="178"/>
      <c r="I149" s="179"/>
      <c r="J149" s="180"/>
      <c r="K149" s="180"/>
      <c r="L149" s="180"/>
      <c r="N149" s="178"/>
      <c r="O149" s="179"/>
      <c r="P149" s="180"/>
      <c r="Q149" s="180"/>
      <c r="R149" s="180"/>
      <c r="T149" s="178"/>
      <c r="U149" s="179"/>
      <c r="V149" s="180"/>
      <c r="W149" s="180"/>
      <c r="X149" s="180"/>
      <c r="Z149" s="178"/>
      <c r="AA149" s="179"/>
      <c r="AB149" s="180"/>
      <c r="AC149" s="180"/>
      <c r="AD149" s="180"/>
      <c r="AF149" s="178"/>
      <c r="AG149" s="179"/>
      <c r="AH149" s="180"/>
      <c r="AI149" s="180"/>
      <c r="AJ149" s="180"/>
      <c r="AL149" s="178"/>
      <c r="AM149" s="179"/>
      <c r="AN149" s="180"/>
      <c r="AO149" s="180"/>
      <c r="AP149" s="180"/>
    </row>
    <row r="150" spans="2:42" x14ac:dyDescent="0.2">
      <c r="B150" s="178"/>
      <c r="C150" s="179"/>
      <c r="D150" s="180"/>
      <c r="E150" s="180"/>
      <c r="F150" s="180"/>
      <c r="H150" s="178"/>
      <c r="I150" s="179"/>
      <c r="J150" s="180"/>
      <c r="K150" s="180"/>
      <c r="L150" s="180"/>
      <c r="N150" s="178"/>
      <c r="O150" s="179"/>
      <c r="P150" s="180"/>
      <c r="Q150" s="180"/>
      <c r="R150" s="180"/>
      <c r="T150" s="178"/>
      <c r="U150" s="179"/>
      <c r="V150" s="180"/>
      <c r="W150" s="180"/>
      <c r="X150" s="180"/>
      <c r="Z150" s="178"/>
      <c r="AA150" s="179"/>
      <c r="AB150" s="180"/>
      <c r="AC150" s="180"/>
      <c r="AD150" s="180"/>
      <c r="AF150" s="178"/>
      <c r="AG150" s="179"/>
      <c r="AH150" s="180"/>
      <c r="AI150" s="180"/>
      <c r="AJ150" s="180"/>
      <c r="AL150" s="178"/>
      <c r="AM150" s="179"/>
      <c r="AN150" s="180"/>
      <c r="AO150" s="180"/>
      <c r="AP150" s="180"/>
    </row>
    <row r="151" spans="2:42" x14ac:dyDescent="0.2">
      <c r="B151" s="178"/>
      <c r="C151" s="179"/>
      <c r="D151" s="180"/>
      <c r="E151" s="180"/>
      <c r="F151" s="180"/>
      <c r="H151" s="178"/>
      <c r="I151" s="179"/>
      <c r="J151" s="180"/>
      <c r="K151" s="180"/>
      <c r="L151" s="180"/>
      <c r="N151" s="178"/>
      <c r="O151" s="179"/>
      <c r="P151" s="180"/>
      <c r="Q151" s="180"/>
      <c r="R151" s="180"/>
      <c r="T151" s="178"/>
      <c r="U151" s="179"/>
      <c r="V151" s="180"/>
      <c r="W151" s="180"/>
      <c r="X151" s="180"/>
      <c r="Z151" s="178"/>
      <c r="AA151" s="179"/>
      <c r="AB151" s="180"/>
      <c r="AC151" s="180"/>
      <c r="AD151" s="180"/>
      <c r="AF151" s="178"/>
      <c r="AG151" s="179"/>
      <c r="AH151" s="180"/>
      <c r="AI151" s="180"/>
      <c r="AJ151" s="180"/>
      <c r="AL151" s="178"/>
      <c r="AM151" s="179"/>
      <c r="AN151" s="180"/>
      <c r="AO151" s="180"/>
      <c r="AP151" s="180"/>
    </row>
    <row r="152" spans="2:42" x14ac:dyDescent="0.2">
      <c r="B152" s="178"/>
      <c r="C152" s="179"/>
      <c r="D152" s="180"/>
      <c r="E152" s="180"/>
      <c r="F152" s="180"/>
      <c r="H152" s="178"/>
      <c r="I152" s="179"/>
      <c r="J152" s="180"/>
      <c r="K152" s="180"/>
      <c r="L152" s="180"/>
      <c r="N152" s="178"/>
      <c r="O152" s="179"/>
      <c r="P152" s="180"/>
      <c r="Q152" s="180"/>
      <c r="R152" s="180"/>
      <c r="T152" s="178"/>
      <c r="U152" s="179"/>
      <c r="V152" s="180"/>
      <c r="W152" s="180"/>
      <c r="X152" s="180"/>
      <c r="Z152" s="178"/>
      <c r="AA152" s="179"/>
      <c r="AB152" s="180"/>
      <c r="AC152" s="180"/>
      <c r="AD152" s="180"/>
      <c r="AF152" s="178"/>
      <c r="AG152" s="179"/>
      <c r="AH152" s="180"/>
      <c r="AI152" s="180"/>
      <c r="AJ152" s="180"/>
      <c r="AL152" s="178"/>
      <c r="AM152" s="179"/>
      <c r="AN152" s="180"/>
      <c r="AO152" s="180"/>
      <c r="AP152" s="180"/>
    </row>
    <row r="153" spans="2:42" x14ac:dyDescent="0.2">
      <c r="B153" s="178"/>
      <c r="C153" s="179"/>
      <c r="D153" s="180"/>
      <c r="E153" s="180"/>
      <c r="F153" s="180"/>
      <c r="H153" s="178"/>
      <c r="I153" s="179"/>
      <c r="J153" s="180"/>
      <c r="K153" s="180"/>
      <c r="L153" s="180"/>
      <c r="N153" s="178"/>
      <c r="O153" s="179"/>
      <c r="P153" s="180"/>
      <c r="Q153" s="180"/>
      <c r="R153" s="180"/>
      <c r="T153" s="178"/>
      <c r="U153" s="179"/>
      <c r="V153" s="180"/>
      <c r="W153" s="180"/>
      <c r="X153" s="180"/>
      <c r="Z153" s="178"/>
      <c r="AA153" s="179"/>
      <c r="AB153" s="180"/>
      <c r="AC153" s="180"/>
      <c r="AD153" s="180"/>
      <c r="AF153" s="178"/>
      <c r="AG153" s="179"/>
      <c r="AH153" s="180"/>
      <c r="AI153" s="180"/>
      <c r="AJ153" s="180"/>
      <c r="AL153" s="178"/>
      <c r="AM153" s="179"/>
      <c r="AN153" s="180"/>
      <c r="AO153" s="180"/>
      <c r="AP153" s="180"/>
    </row>
    <row r="154" spans="2:42" x14ac:dyDescent="0.2">
      <c r="B154" s="178"/>
      <c r="C154" s="179"/>
      <c r="D154" s="180"/>
      <c r="E154" s="180"/>
      <c r="F154" s="180"/>
      <c r="H154" s="178"/>
      <c r="I154" s="179"/>
      <c r="J154" s="180"/>
      <c r="K154" s="180"/>
      <c r="L154" s="180"/>
      <c r="N154" s="178"/>
      <c r="O154" s="179"/>
      <c r="P154" s="180"/>
      <c r="Q154" s="180"/>
      <c r="R154" s="180"/>
      <c r="T154" s="178"/>
      <c r="U154" s="179"/>
      <c r="V154" s="180"/>
      <c r="W154" s="180"/>
      <c r="X154" s="180"/>
      <c r="Z154" s="178"/>
      <c r="AA154" s="179"/>
      <c r="AB154" s="180"/>
      <c r="AC154" s="180"/>
      <c r="AD154" s="180"/>
      <c r="AF154" s="178"/>
      <c r="AG154" s="179"/>
      <c r="AH154" s="180"/>
      <c r="AI154" s="180"/>
      <c r="AJ154" s="180"/>
      <c r="AL154" s="178"/>
      <c r="AM154" s="179"/>
      <c r="AN154" s="180"/>
      <c r="AO154" s="180"/>
      <c r="AP154" s="180"/>
    </row>
    <row r="155" spans="2:42" x14ac:dyDescent="0.2">
      <c r="B155" s="178"/>
      <c r="C155" s="179"/>
      <c r="D155" s="180"/>
      <c r="E155" s="180"/>
      <c r="F155" s="180"/>
      <c r="H155" s="178"/>
      <c r="I155" s="179"/>
      <c r="J155" s="180"/>
      <c r="K155" s="180"/>
      <c r="L155" s="180"/>
      <c r="N155" s="178"/>
      <c r="O155" s="179"/>
      <c r="P155" s="180"/>
      <c r="Q155" s="180"/>
      <c r="R155" s="180"/>
      <c r="T155" s="178"/>
      <c r="U155" s="179"/>
      <c r="V155" s="180"/>
      <c r="W155" s="180"/>
      <c r="X155" s="180"/>
      <c r="Z155" s="178"/>
      <c r="AA155" s="179"/>
      <c r="AB155" s="180"/>
      <c r="AC155" s="180"/>
      <c r="AD155" s="180"/>
      <c r="AF155" s="178"/>
      <c r="AG155" s="179"/>
      <c r="AH155" s="180"/>
      <c r="AI155" s="180"/>
      <c r="AJ155" s="180"/>
      <c r="AL155" s="178"/>
      <c r="AM155" s="179"/>
      <c r="AN155" s="180"/>
      <c r="AO155" s="180"/>
      <c r="AP155" s="180"/>
    </row>
    <row r="156" spans="2:42" x14ac:dyDescent="0.2">
      <c r="B156" s="178"/>
      <c r="C156" s="179"/>
      <c r="D156" s="180"/>
      <c r="E156" s="180"/>
      <c r="F156" s="180"/>
      <c r="H156" s="178"/>
      <c r="I156" s="179"/>
      <c r="J156" s="180"/>
      <c r="K156" s="180"/>
      <c r="L156" s="180"/>
      <c r="N156" s="178"/>
      <c r="O156" s="179"/>
      <c r="P156" s="180"/>
      <c r="Q156" s="180"/>
      <c r="R156" s="180"/>
      <c r="T156" s="178"/>
      <c r="U156" s="179"/>
      <c r="V156" s="180"/>
      <c r="W156" s="180"/>
      <c r="X156" s="180"/>
      <c r="Z156" s="178"/>
      <c r="AA156" s="179"/>
      <c r="AB156" s="180"/>
      <c r="AC156" s="180"/>
      <c r="AD156" s="180"/>
      <c r="AF156" s="178"/>
      <c r="AG156" s="179"/>
      <c r="AH156" s="180"/>
      <c r="AI156" s="180"/>
      <c r="AJ156" s="180"/>
      <c r="AL156" s="178"/>
      <c r="AM156" s="179"/>
      <c r="AN156" s="180"/>
      <c r="AO156" s="180"/>
      <c r="AP156" s="180"/>
    </row>
    <row r="157" spans="2:42" x14ac:dyDescent="0.2">
      <c r="B157" s="178"/>
      <c r="C157" s="179"/>
      <c r="D157" s="180"/>
      <c r="E157" s="180"/>
      <c r="F157" s="180"/>
      <c r="H157" s="178"/>
      <c r="I157" s="179"/>
      <c r="J157" s="180"/>
      <c r="K157" s="180"/>
      <c r="L157" s="180"/>
      <c r="N157" s="178"/>
      <c r="O157" s="179"/>
      <c r="P157" s="180"/>
      <c r="Q157" s="180"/>
      <c r="R157" s="180"/>
      <c r="T157" s="178"/>
      <c r="U157" s="179"/>
      <c r="V157" s="180"/>
      <c r="W157" s="180"/>
      <c r="X157" s="180"/>
      <c r="Z157" s="178"/>
      <c r="AA157" s="179"/>
      <c r="AB157" s="180"/>
      <c r="AC157" s="180"/>
      <c r="AD157" s="180"/>
      <c r="AF157" s="178"/>
      <c r="AG157" s="179"/>
      <c r="AH157" s="180"/>
      <c r="AI157" s="180"/>
      <c r="AJ157" s="180"/>
      <c r="AL157" s="178"/>
      <c r="AM157" s="179"/>
      <c r="AN157" s="180"/>
      <c r="AO157" s="180"/>
      <c r="AP157" s="180"/>
    </row>
    <row r="158" spans="2:42" x14ac:dyDescent="0.2">
      <c r="B158" s="178"/>
      <c r="C158" s="179"/>
      <c r="D158" s="180"/>
      <c r="E158" s="180"/>
      <c r="F158" s="180"/>
      <c r="H158" s="178"/>
      <c r="I158" s="179"/>
      <c r="J158" s="180"/>
      <c r="K158" s="180"/>
      <c r="L158" s="180"/>
      <c r="N158" s="178"/>
      <c r="O158" s="179"/>
      <c r="P158" s="180"/>
      <c r="Q158" s="180"/>
      <c r="R158" s="180"/>
      <c r="T158" s="178"/>
      <c r="U158" s="179"/>
      <c r="V158" s="180"/>
      <c r="W158" s="180"/>
      <c r="X158" s="180"/>
      <c r="Z158" s="178"/>
      <c r="AA158" s="179"/>
      <c r="AB158" s="180"/>
      <c r="AC158" s="180"/>
      <c r="AD158" s="180"/>
      <c r="AF158" s="178"/>
      <c r="AG158" s="179"/>
      <c r="AH158" s="180"/>
      <c r="AI158" s="180"/>
      <c r="AJ158" s="180"/>
      <c r="AL158" s="178"/>
      <c r="AM158" s="179"/>
      <c r="AN158" s="180"/>
      <c r="AO158" s="180"/>
      <c r="AP158" s="180"/>
    </row>
    <row r="159" spans="2:42" x14ac:dyDescent="0.2">
      <c r="B159" s="178"/>
      <c r="C159" s="179"/>
      <c r="D159" s="180"/>
      <c r="E159" s="180"/>
      <c r="F159" s="180"/>
      <c r="H159" s="178"/>
      <c r="I159" s="179"/>
      <c r="J159" s="180"/>
      <c r="K159" s="180"/>
      <c r="L159" s="180"/>
      <c r="N159" s="178"/>
      <c r="O159" s="179"/>
      <c r="P159" s="180"/>
      <c r="Q159" s="180"/>
      <c r="R159" s="180"/>
      <c r="T159" s="178"/>
      <c r="U159" s="179"/>
      <c r="V159" s="180"/>
      <c r="W159" s="180"/>
      <c r="X159" s="180"/>
      <c r="Z159" s="178"/>
      <c r="AA159" s="179"/>
      <c r="AB159" s="180"/>
      <c r="AC159" s="180"/>
      <c r="AD159" s="180"/>
      <c r="AF159" s="178"/>
      <c r="AG159" s="179"/>
      <c r="AH159" s="180"/>
      <c r="AI159" s="180"/>
      <c r="AJ159" s="180"/>
      <c r="AL159" s="178"/>
      <c r="AM159" s="179"/>
      <c r="AN159" s="180"/>
      <c r="AO159" s="180"/>
      <c r="AP159" s="180"/>
    </row>
    <row r="160" spans="2:42" x14ac:dyDescent="0.2">
      <c r="B160" s="178"/>
      <c r="C160" s="179"/>
      <c r="D160" s="180"/>
      <c r="E160" s="180"/>
      <c r="F160" s="180"/>
      <c r="H160" s="178"/>
      <c r="I160" s="179"/>
      <c r="J160" s="180"/>
      <c r="K160" s="180"/>
      <c r="L160" s="180"/>
      <c r="N160" s="178"/>
      <c r="O160" s="179"/>
      <c r="P160" s="180"/>
      <c r="Q160" s="180"/>
      <c r="R160" s="180"/>
      <c r="T160" s="178"/>
      <c r="U160" s="179"/>
      <c r="V160" s="180"/>
      <c r="W160" s="180"/>
      <c r="X160" s="180"/>
      <c r="Z160" s="178"/>
      <c r="AA160" s="179"/>
      <c r="AB160" s="180"/>
      <c r="AC160" s="180"/>
      <c r="AD160" s="180"/>
      <c r="AF160" s="178"/>
      <c r="AG160" s="179"/>
      <c r="AH160" s="180"/>
      <c r="AI160" s="180"/>
      <c r="AJ160" s="180"/>
      <c r="AL160" s="178"/>
      <c r="AM160" s="179"/>
      <c r="AN160" s="180"/>
      <c r="AO160" s="180"/>
      <c r="AP160" s="180"/>
    </row>
    <row r="161" spans="2:42" x14ac:dyDescent="0.2">
      <c r="B161" s="178"/>
      <c r="C161" s="179"/>
      <c r="D161" s="180"/>
      <c r="E161" s="180"/>
      <c r="F161" s="180"/>
      <c r="H161" s="178"/>
      <c r="I161" s="179"/>
      <c r="J161" s="180"/>
      <c r="K161" s="180"/>
      <c r="L161" s="180"/>
      <c r="N161" s="178"/>
      <c r="O161" s="179"/>
      <c r="P161" s="180"/>
      <c r="Q161" s="180"/>
      <c r="R161" s="180"/>
      <c r="T161" s="178"/>
      <c r="U161" s="179"/>
      <c r="V161" s="180"/>
      <c r="W161" s="180"/>
      <c r="X161" s="180"/>
      <c r="Z161" s="178"/>
      <c r="AA161" s="179"/>
      <c r="AB161" s="180"/>
      <c r="AC161" s="180"/>
      <c r="AD161" s="180"/>
      <c r="AF161" s="178"/>
      <c r="AG161" s="179"/>
      <c r="AH161" s="180"/>
      <c r="AI161" s="180"/>
      <c r="AJ161" s="180"/>
      <c r="AL161" s="178"/>
      <c r="AM161" s="179"/>
      <c r="AN161" s="180"/>
      <c r="AO161" s="180"/>
      <c r="AP161" s="180"/>
    </row>
    <row r="162" spans="2:42" x14ac:dyDescent="0.2">
      <c r="B162" s="178"/>
      <c r="C162" s="179"/>
      <c r="D162" s="180"/>
      <c r="E162" s="180"/>
      <c r="F162" s="180"/>
      <c r="H162" s="178"/>
      <c r="I162" s="179"/>
      <c r="J162" s="180"/>
      <c r="K162" s="180"/>
      <c r="L162" s="180"/>
      <c r="N162" s="178"/>
      <c r="O162" s="179"/>
      <c r="P162" s="180"/>
      <c r="Q162" s="180"/>
      <c r="R162" s="180"/>
      <c r="T162" s="178"/>
      <c r="U162" s="179"/>
      <c r="V162" s="180"/>
      <c r="W162" s="180"/>
      <c r="X162" s="180"/>
      <c r="Z162" s="178"/>
      <c r="AA162" s="179"/>
      <c r="AB162" s="180"/>
      <c r="AC162" s="180"/>
      <c r="AD162" s="180"/>
      <c r="AF162" s="178"/>
      <c r="AG162" s="179"/>
      <c r="AH162" s="180"/>
      <c r="AI162" s="180"/>
      <c r="AJ162" s="180"/>
      <c r="AL162" s="178"/>
      <c r="AM162" s="179"/>
      <c r="AN162" s="180"/>
      <c r="AO162" s="180"/>
      <c r="AP162" s="180"/>
    </row>
    <row r="163" spans="2:42" x14ac:dyDescent="0.2">
      <c r="B163" s="178"/>
      <c r="C163" s="179"/>
      <c r="D163" s="180"/>
      <c r="E163" s="180"/>
      <c r="F163" s="180"/>
      <c r="H163" s="178"/>
      <c r="I163" s="179"/>
      <c r="J163" s="180"/>
      <c r="K163" s="180"/>
      <c r="L163" s="180"/>
      <c r="N163" s="178"/>
      <c r="O163" s="179"/>
      <c r="P163" s="180"/>
      <c r="Q163" s="180"/>
      <c r="R163" s="180"/>
      <c r="T163" s="178"/>
      <c r="U163" s="179"/>
      <c r="V163" s="180"/>
      <c r="W163" s="180"/>
      <c r="X163" s="180"/>
      <c r="Z163" s="178"/>
      <c r="AA163" s="179"/>
      <c r="AB163" s="180"/>
      <c r="AC163" s="180"/>
      <c r="AD163" s="180"/>
      <c r="AF163" s="178"/>
      <c r="AG163" s="179"/>
      <c r="AH163" s="180"/>
      <c r="AI163" s="180"/>
      <c r="AJ163" s="180"/>
      <c r="AL163" s="178"/>
      <c r="AM163" s="179"/>
      <c r="AN163" s="180"/>
      <c r="AO163" s="180"/>
      <c r="AP163" s="180"/>
    </row>
    <row r="164" spans="2:42" x14ac:dyDescent="0.2">
      <c r="B164" s="178"/>
      <c r="C164" s="179"/>
      <c r="D164" s="180"/>
      <c r="E164" s="180"/>
      <c r="F164" s="180"/>
      <c r="H164" s="178"/>
      <c r="I164" s="179"/>
      <c r="J164" s="180"/>
      <c r="K164" s="180"/>
      <c r="L164" s="180"/>
      <c r="N164" s="178"/>
      <c r="O164" s="179"/>
      <c r="P164" s="180"/>
      <c r="Q164" s="180"/>
      <c r="R164" s="180"/>
      <c r="T164" s="178"/>
      <c r="U164" s="179"/>
      <c r="V164" s="180"/>
      <c r="W164" s="180"/>
      <c r="X164" s="180"/>
      <c r="Z164" s="178"/>
      <c r="AA164" s="179"/>
      <c r="AB164" s="180"/>
      <c r="AC164" s="180"/>
      <c r="AD164" s="180"/>
      <c r="AF164" s="178"/>
      <c r="AG164" s="179"/>
      <c r="AH164" s="180"/>
      <c r="AI164" s="180"/>
      <c r="AJ164" s="180"/>
      <c r="AL164" s="178"/>
      <c r="AM164" s="179"/>
      <c r="AN164" s="180"/>
      <c r="AO164" s="180"/>
      <c r="AP164" s="180"/>
    </row>
    <row r="165" spans="2:42" x14ac:dyDescent="0.2">
      <c r="B165" s="178"/>
      <c r="C165" s="179"/>
      <c r="D165" s="180"/>
      <c r="E165" s="180"/>
      <c r="F165" s="180"/>
      <c r="H165" s="178"/>
      <c r="I165" s="179"/>
      <c r="J165" s="180"/>
      <c r="K165" s="180"/>
      <c r="L165" s="180"/>
      <c r="N165" s="178"/>
      <c r="O165" s="179"/>
      <c r="P165" s="180"/>
      <c r="Q165" s="180"/>
      <c r="R165" s="180"/>
      <c r="T165" s="178"/>
      <c r="U165" s="179"/>
      <c r="V165" s="180"/>
      <c r="W165" s="180"/>
      <c r="X165" s="180"/>
      <c r="Z165" s="178"/>
      <c r="AA165" s="179"/>
      <c r="AB165" s="180"/>
      <c r="AC165" s="180"/>
      <c r="AD165" s="180"/>
      <c r="AF165" s="178"/>
      <c r="AG165" s="179"/>
      <c r="AH165" s="180"/>
      <c r="AI165" s="180"/>
      <c r="AJ165" s="180"/>
      <c r="AL165" s="178"/>
      <c r="AM165" s="179"/>
      <c r="AN165" s="180"/>
      <c r="AO165" s="180"/>
      <c r="AP165" s="180"/>
    </row>
    <row r="166" spans="2:42" x14ac:dyDescent="0.2">
      <c r="B166" s="178"/>
      <c r="C166" s="179"/>
      <c r="D166" s="180"/>
      <c r="E166" s="180"/>
      <c r="F166" s="180"/>
      <c r="H166" s="178"/>
      <c r="I166" s="179"/>
      <c r="J166" s="180"/>
      <c r="K166" s="180"/>
      <c r="L166" s="180"/>
      <c r="N166" s="178"/>
      <c r="O166" s="179"/>
      <c r="P166" s="180"/>
      <c r="Q166" s="180"/>
      <c r="R166" s="180"/>
      <c r="T166" s="178"/>
      <c r="U166" s="179"/>
      <c r="V166" s="180"/>
      <c r="W166" s="180"/>
      <c r="X166" s="180"/>
      <c r="Z166" s="178"/>
      <c r="AA166" s="179"/>
      <c r="AB166" s="180"/>
      <c r="AC166" s="180"/>
      <c r="AD166" s="180"/>
      <c r="AF166" s="178"/>
      <c r="AG166" s="179"/>
      <c r="AH166" s="180"/>
      <c r="AI166" s="180"/>
      <c r="AJ166" s="180"/>
      <c r="AL166" s="178"/>
      <c r="AM166" s="179"/>
      <c r="AN166" s="180"/>
      <c r="AO166" s="180"/>
      <c r="AP166" s="180"/>
    </row>
    <row r="167" spans="2:42" x14ac:dyDescent="0.2">
      <c r="B167" s="178"/>
      <c r="C167" s="179"/>
      <c r="D167" s="180"/>
      <c r="E167" s="180"/>
      <c r="F167" s="180"/>
      <c r="H167" s="178"/>
      <c r="I167" s="179"/>
      <c r="J167" s="180"/>
      <c r="K167" s="180"/>
      <c r="L167" s="180"/>
      <c r="N167" s="178"/>
      <c r="O167" s="179"/>
      <c r="P167" s="180"/>
      <c r="Q167" s="180"/>
      <c r="R167" s="180"/>
      <c r="T167" s="178"/>
      <c r="U167" s="179"/>
      <c r="V167" s="180"/>
      <c r="W167" s="180"/>
      <c r="X167" s="180"/>
      <c r="Z167" s="178"/>
      <c r="AA167" s="179"/>
      <c r="AB167" s="180"/>
      <c r="AC167" s="180"/>
      <c r="AD167" s="180"/>
      <c r="AF167" s="178"/>
      <c r="AG167" s="179"/>
      <c r="AH167" s="180"/>
      <c r="AI167" s="180"/>
      <c r="AJ167" s="180"/>
      <c r="AL167" s="178"/>
      <c r="AM167" s="179"/>
      <c r="AN167" s="180"/>
      <c r="AO167" s="180"/>
      <c r="AP167" s="180"/>
    </row>
    <row r="168" spans="2:42" x14ac:dyDescent="0.2">
      <c r="B168" s="178"/>
      <c r="C168" s="179"/>
      <c r="D168" s="180"/>
      <c r="E168" s="180"/>
      <c r="F168" s="180"/>
      <c r="H168" s="178"/>
      <c r="I168" s="179"/>
      <c r="J168" s="180"/>
      <c r="K168" s="180"/>
      <c r="L168" s="180"/>
      <c r="N168" s="178"/>
      <c r="O168" s="179"/>
      <c r="P168" s="180"/>
      <c r="Q168" s="180"/>
      <c r="R168" s="180"/>
      <c r="T168" s="178"/>
      <c r="U168" s="179"/>
      <c r="V168" s="180"/>
      <c r="W168" s="180"/>
      <c r="X168" s="180"/>
      <c r="Z168" s="178"/>
      <c r="AA168" s="179"/>
      <c r="AB168" s="180"/>
      <c r="AC168" s="180"/>
      <c r="AD168" s="180"/>
      <c r="AF168" s="178"/>
      <c r="AG168" s="179"/>
      <c r="AH168" s="180"/>
      <c r="AI168" s="180"/>
      <c r="AJ168" s="180"/>
      <c r="AL168" s="178"/>
      <c r="AM168" s="179"/>
      <c r="AN168" s="180"/>
      <c r="AO168" s="180"/>
      <c r="AP168" s="180"/>
    </row>
    <row r="169" spans="2:42" x14ac:dyDescent="0.2">
      <c r="B169" s="178"/>
      <c r="C169" s="179"/>
      <c r="D169" s="180"/>
      <c r="E169" s="180"/>
      <c r="F169" s="180"/>
      <c r="H169" s="178"/>
      <c r="I169" s="179"/>
      <c r="J169" s="180"/>
      <c r="K169" s="180"/>
      <c r="L169" s="180"/>
      <c r="N169" s="178"/>
      <c r="O169" s="179"/>
      <c r="P169" s="180"/>
      <c r="Q169" s="180"/>
      <c r="R169" s="180"/>
      <c r="T169" s="178"/>
      <c r="U169" s="179"/>
      <c r="V169" s="180"/>
      <c r="W169" s="180"/>
      <c r="X169" s="180"/>
      <c r="Z169" s="178"/>
      <c r="AA169" s="179"/>
      <c r="AB169" s="180"/>
      <c r="AC169" s="180"/>
      <c r="AD169" s="180"/>
      <c r="AF169" s="178"/>
      <c r="AG169" s="179"/>
      <c r="AH169" s="180"/>
      <c r="AI169" s="180"/>
      <c r="AJ169" s="180"/>
      <c r="AL169" s="178"/>
      <c r="AM169" s="179"/>
      <c r="AN169" s="180"/>
      <c r="AO169" s="180"/>
      <c r="AP169" s="180"/>
    </row>
    <row r="170" spans="2:42" x14ac:dyDescent="0.2">
      <c r="B170" s="178"/>
      <c r="C170" s="179"/>
      <c r="D170" s="180"/>
      <c r="E170" s="180"/>
      <c r="F170" s="180"/>
      <c r="H170" s="178"/>
      <c r="I170" s="179"/>
      <c r="J170" s="180"/>
      <c r="K170" s="180"/>
      <c r="L170" s="180"/>
      <c r="N170" s="178"/>
      <c r="O170" s="179"/>
      <c r="P170" s="180"/>
      <c r="Q170" s="180"/>
      <c r="R170" s="180"/>
      <c r="T170" s="178"/>
      <c r="U170" s="179"/>
      <c r="V170" s="180"/>
      <c r="W170" s="180"/>
      <c r="X170" s="180"/>
      <c r="Z170" s="178"/>
      <c r="AA170" s="179"/>
      <c r="AB170" s="180"/>
      <c r="AC170" s="180"/>
      <c r="AD170" s="180"/>
      <c r="AF170" s="178"/>
      <c r="AG170" s="179"/>
      <c r="AH170" s="180"/>
      <c r="AI170" s="180"/>
      <c r="AJ170" s="180"/>
      <c r="AL170" s="178"/>
      <c r="AM170" s="179"/>
      <c r="AN170" s="180"/>
      <c r="AO170" s="180"/>
      <c r="AP170" s="180"/>
    </row>
    <row r="171" spans="2:42" x14ac:dyDescent="0.2">
      <c r="B171" s="178"/>
      <c r="C171" s="179"/>
      <c r="D171" s="180"/>
      <c r="E171" s="180"/>
      <c r="F171" s="180"/>
      <c r="H171" s="178"/>
      <c r="I171" s="179"/>
      <c r="J171" s="180"/>
      <c r="K171" s="180"/>
      <c r="L171" s="180"/>
      <c r="N171" s="178"/>
      <c r="O171" s="179"/>
      <c r="P171" s="180"/>
      <c r="Q171" s="180"/>
      <c r="R171" s="180"/>
      <c r="T171" s="178"/>
      <c r="U171" s="179"/>
      <c r="V171" s="180"/>
      <c r="W171" s="180"/>
      <c r="X171" s="180"/>
      <c r="Z171" s="178"/>
      <c r="AA171" s="179"/>
      <c r="AB171" s="180"/>
      <c r="AC171" s="180"/>
      <c r="AD171" s="180"/>
      <c r="AF171" s="178"/>
      <c r="AG171" s="179"/>
      <c r="AH171" s="180"/>
      <c r="AI171" s="180"/>
      <c r="AJ171" s="180"/>
      <c r="AL171" s="178"/>
      <c r="AM171" s="179"/>
      <c r="AN171" s="180"/>
      <c r="AO171" s="180"/>
      <c r="AP171" s="180"/>
    </row>
    <row r="172" spans="2:42" x14ac:dyDescent="0.2">
      <c r="B172" s="178"/>
      <c r="C172" s="179"/>
      <c r="D172" s="180"/>
      <c r="E172" s="180"/>
      <c r="F172" s="180"/>
      <c r="H172" s="178"/>
      <c r="I172" s="179"/>
      <c r="J172" s="180"/>
      <c r="K172" s="180"/>
      <c r="L172" s="180"/>
      <c r="N172" s="178"/>
      <c r="O172" s="179"/>
      <c r="P172" s="180"/>
      <c r="Q172" s="180"/>
      <c r="R172" s="180"/>
      <c r="T172" s="178"/>
      <c r="U172" s="179"/>
      <c r="V172" s="180"/>
      <c r="W172" s="180"/>
      <c r="X172" s="180"/>
      <c r="Z172" s="178"/>
      <c r="AA172" s="179"/>
      <c r="AB172" s="180"/>
      <c r="AC172" s="180"/>
      <c r="AD172" s="180"/>
      <c r="AF172" s="178"/>
      <c r="AG172" s="179"/>
      <c r="AH172" s="180"/>
      <c r="AI172" s="180"/>
      <c r="AJ172" s="180"/>
      <c r="AL172" s="178"/>
      <c r="AM172" s="179"/>
      <c r="AN172" s="180"/>
      <c r="AO172" s="180"/>
      <c r="AP172" s="180"/>
    </row>
    <row r="173" spans="2:42" x14ac:dyDescent="0.2">
      <c r="B173" s="178"/>
      <c r="C173" s="179"/>
      <c r="D173" s="180"/>
      <c r="E173" s="180"/>
      <c r="F173" s="180"/>
      <c r="H173" s="178"/>
      <c r="I173" s="179"/>
      <c r="J173" s="180"/>
      <c r="K173" s="180"/>
      <c r="L173" s="180"/>
      <c r="N173" s="178"/>
      <c r="O173" s="179"/>
      <c r="P173" s="180"/>
      <c r="Q173" s="180"/>
      <c r="R173" s="180"/>
      <c r="T173" s="178"/>
      <c r="U173" s="179"/>
      <c r="V173" s="180"/>
      <c r="W173" s="180"/>
      <c r="X173" s="180"/>
      <c r="Z173" s="178"/>
      <c r="AA173" s="179"/>
      <c r="AB173" s="180"/>
      <c r="AC173" s="180"/>
      <c r="AD173" s="180"/>
      <c r="AF173" s="178"/>
      <c r="AG173" s="179"/>
      <c r="AH173" s="180"/>
      <c r="AI173" s="180"/>
      <c r="AJ173" s="180"/>
      <c r="AL173" s="178"/>
      <c r="AM173" s="179"/>
      <c r="AN173" s="180"/>
      <c r="AO173" s="180"/>
      <c r="AP173" s="180"/>
    </row>
    <row r="174" spans="2:42" x14ac:dyDescent="0.2">
      <c r="B174" s="178"/>
      <c r="C174" s="179"/>
      <c r="D174" s="180"/>
      <c r="E174" s="180"/>
      <c r="F174" s="180"/>
      <c r="H174" s="178"/>
      <c r="I174" s="179"/>
      <c r="J174" s="180"/>
      <c r="K174" s="180"/>
      <c r="L174" s="180"/>
      <c r="N174" s="178"/>
      <c r="O174" s="179"/>
      <c r="P174" s="180"/>
      <c r="Q174" s="180"/>
      <c r="R174" s="180"/>
      <c r="T174" s="178"/>
      <c r="U174" s="179"/>
      <c r="V174" s="180"/>
      <c r="W174" s="180"/>
      <c r="X174" s="180"/>
      <c r="Z174" s="178"/>
      <c r="AA174" s="179"/>
      <c r="AB174" s="180"/>
      <c r="AC174" s="180"/>
      <c r="AD174" s="180"/>
      <c r="AF174" s="178"/>
      <c r="AG174" s="179"/>
      <c r="AH174" s="180"/>
      <c r="AI174" s="180"/>
      <c r="AJ174" s="180"/>
      <c r="AL174" s="178"/>
      <c r="AM174" s="179"/>
      <c r="AN174" s="180"/>
      <c r="AO174" s="180"/>
      <c r="AP174" s="180"/>
    </row>
    <row r="175" spans="2:42" x14ac:dyDescent="0.2">
      <c r="B175" s="178"/>
      <c r="C175" s="179"/>
      <c r="D175" s="180"/>
      <c r="E175" s="180"/>
      <c r="F175" s="180"/>
      <c r="H175" s="178"/>
      <c r="I175" s="179"/>
      <c r="J175" s="180"/>
      <c r="K175" s="180"/>
      <c r="L175" s="180"/>
      <c r="N175" s="178"/>
      <c r="O175" s="179"/>
      <c r="P175" s="180"/>
      <c r="Q175" s="180"/>
      <c r="R175" s="180"/>
      <c r="T175" s="178"/>
      <c r="U175" s="179"/>
      <c r="V175" s="180"/>
      <c r="W175" s="180"/>
      <c r="X175" s="180"/>
      <c r="Z175" s="178"/>
      <c r="AA175" s="179"/>
      <c r="AB175" s="180"/>
      <c r="AC175" s="180"/>
      <c r="AD175" s="180"/>
      <c r="AF175" s="178"/>
      <c r="AG175" s="179"/>
      <c r="AH175" s="180"/>
      <c r="AI175" s="180"/>
      <c r="AJ175" s="180"/>
      <c r="AL175" s="178"/>
      <c r="AM175" s="179"/>
      <c r="AN175" s="180"/>
      <c r="AO175" s="180"/>
      <c r="AP175" s="180"/>
    </row>
    <row r="176" spans="2:42" x14ac:dyDescent="0.2">
      <c r="B176" s="178"/>
      <c r="C176" s="179"/>
      <c r="D176" s="180"/>
      <c r="E176" s="180"/>
      <c r="F176" s="180"/>
      <c r="H176" s="178"/>
      <c r="I176" s="179"/>
      <c r="J176" s="180"/>
      <c r="K176" s="180"/>
      <c r="L176" s="180"/>
      <c r="N176" s="178"/>
      <c r="O176" s="179"/>
      <c r="P176" s="180"/>
      <c r="Q176" s="180"/>
      <c r="R176" s="180"/>
      <c r="T176" s="178"/>
      <c r="U176" s="179"/>
      <c r="V176" s="180"/>
      <c r="W176" s="180"/>
      <c r="X176" s="180"/>
      <c r="Z176" s="178"/>
      <c r="AA176" s="179"/>
      <c r="AB176" s="180"/>
      <c r="AC176" s="180"/>
      <c r="AD176" s="180"/>
      <c r="AF176" s="178"/>
      <c r="AG176" s="179"/>
      <c r="AH176" s="180"/>
      <c r="AI176" s="180"/>
      <c r="AJ176" s="180"/>
      <c r="AL176" s="178"/>
      <c r="AM176" s="179"/>
      <c r="AN176" s="180"/>
      <c r="AO176" s="180"/>
      <c r="AP176" s="180"/>
    </row>
    <row r="177" spans="2:42" x14ac:dyDescent="0.2">
      <c r="B177" s="178"/>
      <c r="C177" s="179"/>
      <c r="D177" s="180"/>
      <c r="E177" s="180"/>
      <c r="F177" s="180"/>
      <c r="H177" s="178"/>
      <c r="I177" s="179"/>
      <c r="J177" s="180"/>
      <c r="K177" s="180"/>
      <c r="L177" s="180"/>
      <c r="N177" s="178"/>
      <c r="O177" s="179"/>
      <c r="P177" s="180"/>
      <c r="Q177" s="180"/>
      <c r="R177" s="180"/>
      <c r="T177" s="178"/>
      <c r="U177" s="179"/>
      <c r="V177" s="180"/>
      <c r="W177" s="180"/>
      <c r="X177" s="180"/>
      <c r="Z177" s="178"/>
      <c r="AA177" s="179"/>
      <c r="AB177" s="180"/>
      <c r="AC177" s="180"/>
      <c r="AD177" s="180"/>
      <c r="AF177" s="178"/>
      <c r="AG177" s="179"/>
      <c r="AH177" s="180"/>
      <c r="AI177" s="180"/>
      <c r="AJ177" s="180"/>
      <c r="AL177" s="178"/>
      <c r="AM177" s="179"/>
      <c r="AN177" s="180"/>
      <c r="AO177" s="180"/>
      <c r="AP177" s="180"/>
    </row>
    <row r="178" spans="2:42" x14ac:dyDescent="0.2">
      <c r="B178" s="178"/>
      <c r="C178" s="179"/>
      <c r="D178" s="180"/>
      <c r="E178" s="180"/>
      <c r="F178" s="180"/>
      <c r="H178" s="178"/>
      <c r="I178" s="179"/>
      <c r="J178" s="180"/>
      <c r="K178" s="180"/>
      <c r="L178" s="180"/>
      <c r="N178" s="178"/>
      <c r="O178" s="179"/>
      <c r="P178" s="180"/>
      <c r="Q178" s="180"/>
      <c r="R178" s="180"/>
      <c r="T178" s="178"/>
      <c r="U178" s="179"/>
      <c r="V178" s="180"/>
      <c r="W178" s="180"/>
      <c r="X178" s="180"/>
      <c r="Z178" s="178"/>
      <c r="AA178" s="179"/>
      <c r="AB178" s="180"/>
      <c r="AC178" s="180"/>
      <c r="AD178" s="180"/>
      <c r="AF178" s="178"/>
      <c r="AG178" s="179"/>
      <c r="AH178" s="180"/>
      <c r="AI178" s="180"/>
      <c r="AJ178" s="180"/>
      <c r="AL178" s="178"/>
      <c r="AM178" s="179"/>
      <c r="AN178" s="180"/>
      <c r="AO178" s="180"/>
      <c r="AP178" s="180"/>
    </row>
    <row r="179" spans="2:42" x14ac:dyDescent="0.2">
      <c r="B179" s="178"/>
      <c r="C179" s="179"/>
      <c r="D179" s="180"/>
      <c r="E179" s="180"/>
      <c r="F179" s="180"/>
      <c r="H179" s="178"/>
      <c r="I179" s="179"/>
      <c r="J179" s="180"/>
      <c r="K179" s="180"/>
      <c r="L179" s="180"/>
      <c r="N179" s="178"/>
      <c r="O179" s="179"/>
      <c r="P179" s="180"/>
      <c r="Q179" s="180"/>
      <c r="R179" s="180"/>
      <c r="T179" s="178"/>
      <c r="U179" s="179"/>
      <c r="V179" s="180"/>
      <c r="W179" s="180"/>
      <c r="X179" s="180"/>
      <c r="Z179" s="178"/>
      <c r="AA179" s="179"/>
      <c r="AB179" s="180"/>
      <c r="AC179" s="180"/>
      <c r="AD179" s="180"/>
      <c r="AF179" s="178"/>
      <c r="AG179" s="179"/>
      <c r="AH179" s="180"/>
      <c r="AI179" s="180"/>
      <c r="AJ179" s="180"/>
      <c r="AL179" s="178"/>
      <c r="AM179" s="179"/>
      <c r="AN179" s="180"/>
      <c r="AO179" s="180"/>
      <c r="AP179" s="180"/>
    </row>
    <row r="180" spans="2:42" x14ac:dyDescent="0.2">
      <c r="B180" s="178"/>
      <c r="C180" s="179"/>
      <c r="D180" s="180"/>
      <c r="E180" s="180"/>
      <c r="F180" s="180"/>
      <c r="H180" s="178"/>
      <c r="I180" s="179"/>
      <c r="J180" s="180"/>
      <c r="K180" s="180"/>
      <c r="L180" s="180"/>
      <c r="N180" s="178"/>
      <c r="O180" s="179"/>
      <c r="P180" s="180"/>
      <c r="Q180" s="180"/>
      <c r="R180" s="180"/>
      <c r="T180" s="178"/>
      <c r="U180" s="179"/>
      <c r="V180" s="180"/>
      <c r="W180" s="180"/>
      <c r="X180" s="180"/>
      <c r="Z180" s="178"/>
      <c r="AA180" s="179"/>
      <c r="AB180" s="180"/>
      <c r="AC180" s="180"/>
      <c r="AD180" s="180"/>
      <c r="AF180" s="178"/>
      <c r="AG180" s="179"/>
      <c r="AH180" s="180"/>
      <c r="AI180" s="180"/>
      <c r="AJ180" s="180"/>
      <c r="AL180" s="178"/>
      <c r="AM180" s="179"/>
      <c r="AN180" s="180"/>
      <c r="AO180" s="180"/>
      <c r="AP180" s="180"/>
    </row>
    <row r="181" spans="2:42" x14ac:dyDescent="0.2">
      <c r="B181" s="178"/>
      <c r="C181" s="179"/>
      <c r="D181" s="180"/>
      <c r="E181" s="180"/>
      <c r="F181" s="180"/>
      <c r="H181" s="178"/>
      <c r="I181" s="179"/>
      <c r="J181" s="180"/>
      <c r="K181" s="180"/>
      <c r="L181" s="180"/>
      <c r="N181" s="178"/>
      <c r="O181" s="179"/>
      <c r="P181" s="180"/>
      <c r="Q181" s="180"/>
      <c r="R181" s="180"/>
      <c r="T181" s="178"/>
      <c r="U181" s="179"/>
      <c r="V181" s="180"/>
      <c r="W181" s="180"/>
      <c r="X181" s="180"/>
      <c r="Z181" s="178"/>
      <c r="AA181" s="179"/>
      <c r="AB181" s="180"/>
      <c r="AC181" s="180"/>
      <c r="AD181" s="180"/>
      <c r="AF181" s="178"/>
      <c r="AG181" s="179"/>
      <c r="AH181" s="180"/>
      <c r="AI181" s="180"/>
      <c r="AJ181" s="180"/>
      <c r="AL181" s="178"/>
      <c r="AM181" s="179"/>
      <c r="AN181" s="180"/>
      <c r="AO181" s="180"/>
      <c r="AP181" s="180"/>
    </row>
    <row r="182" spans="2:42" x14ac:dyDescent="0.2">
      <c r="B182" s="178"/>
      <c r="C182" s="179"/>
      <c r="D182" s="180"/>
      <c r="E182" s="180"/>
      <c r="F182" s="180"/>
      <c r="H182" s="178"/>
      <c r="I182" s="179"/>
      <c r="J182" s="180"/>
      <c r="K182" s="180"/>
      <c r="L182" s="180"/>
      <c r="N182" s="178"/>
      <c r="O182" s="179"/>
      <c r="P182" s="180"/>
      <c r="Q182" s="180"/>
      <c r="R182" s="180"/>
      <c r="T182" s="178"/>
      <c r="U182" s="179"/>
      <c r="V182" s="180"/>
      <c r="W182" s="180"/>
      <c r="X182" s="180"/>
      <c r="Z182" s="178"/>
      <c r="AA182" s="179"/>
      <c r="AB182" s="180"/>
      <c r="AC182" s="180"/>
      <c r="AD182" s="180"/>
      <c r="AF182" s="178"/>
      <c r="AG182" s="179"/>
      <c r="AH182" s="180"/>
      <c r="AI182" s="180"/>
      <c r="AJ182" s="180"/>
      <c r="AL182" s="178"/>
      <c r="AM182" s="179"/>
      <c r="AN182" s="180"/>
      <c r="AO182" s="180"/>
      <c r="AP182" s="180"/>
    </row>
    <row r="183" spans="2:42" x14ac:dyDescent="0.2">
      <c r="B183" s="178"/>
      <c r="C183" s="179"/>
      <c r="D183" s="180"/>
      <c r="E183" s="180"/>
      <c r="F183" s="180"/>
      <c r="H183" s="178"/>
      <c r="I183" s="179"/>
      <c r="J183" s="180"/>
      <c r="K183" s="180"/>
      <c r="L183" s="180"/>
      <c r="N183" s="178"/>
      <c r="O183" s="179"/>
      <c r="P183" s="180"/>
      <c r="Q183" s="180"/>
      <c r="R183" s="180"/>
      <c r="T183" s="178"/>
      <c r="U183" s="179"/>
      <c r="V183" s="180"/>
      <c r="W183" s="180"/>
      <c r="X183" s="180"/>
      <c r="Z183" s="178"/>
      <c r="AA183" s="179"/>
      <c r="AB183" s="180"/>
      <c r="AC183" s="180"/>
      <c r="AD183" s="180"/>
      <c r="AF183" s="178"/>
      <c r="AG183" s="179"/>
      <c r="AH183" s="180"/>
      <c r="AI183" s="180"/>
      <c r="AJ183" s="180"/>
      <c r="AL183" s="178"/>
      <c r="AM183" s="179"/>
      <c r="AN183" s="180"/>
      <c r="AO183" s="180"/>
      <c r="AP183" s="180"/>
    </row>
    <row r="184" spans="2:42" x14ac:dyDescent="0.2">
      <c r="B184" s="178"/>
      <c r="C184" s="179"/>
      <c r="D184" s="180"/>
      <c r="E184" s="180"/>
      <c r="F184" s="180"/>
      <c r="H184" s="178"/>
      <c r="I184" s="179"/>
      <c r="J184" s="180"/>
      <c r="K184" s="180"/>
      <c r="L184" s="180"/>
      <c r="N184" s="178"/>
      <c r="O184" s="179"/>
      <c r="P184" s="180"/>
      <c r="Q184" s="180"/>
      <c r="R184" s="180"/>
      <c r="T184" s="178"/>
      <c r="U184" s="179"/>
      <c r="V184" s="180"/>
      <c r="W184" s="180"/>
      <c r="X184" s="180"/>
      <c r="Z184" s="178"/>
      <c r="AA184" s="179"/>
      <c r="AB184" s="180"/>
      <c r="AC184" s="180"/>
      <c r="AD184" s="180"/>
      <c r="AF184" s="178"/>
      <c r="AG184" s="179"/>
      <c r="AH184" s="180"/>
      <c r="AI184" s="180"/>
      <c r="AJ184" s="180"/>
      <c r="AL184" s="178"/>
      <c r="AM184" s="179"/>
      <c r="AN184" s="180"/>
      <c r="AO184" s="180"/>
      <c r="AP184" s="180"/>
    </row>
    <row r="185" spans="2:42" x14ac:dyDescent="0.2">
      <c r="B185" s="178"/>
      <c r="C185" s="179"/>
      <c r="D185" s="180"/>
      <c r="E185" s="180"/>
      <c r="F185" s="180"/>
      <c r="H185" s="178"/>
      <c r="I185" s="179"/>
      <c r="J185" s="180"/>
      <c r="K185" s="180"/>
      <c r="L185" s="180"/>
      <c r="N185" s="178"/>
      <c r="O185" s="179"/>
      <c r="P185" s="180"/>
      <c r="Q185" s="180"/>
      <c r="R185" s="180"/>
      <c r="T185" s="178"/>
      <c r="U185" s="179"/>
      <c r="V185" s="180"/>
      <c r="W185" s="180"/>
      <c r="X185" s="180"/>
      <c r="Z185" s="178"/>
      <c r="AA185" s="179"/>
      <c r="AB185" s="180"/>
      <c r="AC185" s="180"/>
      <c r="AD185" s="180"/>
      <c r="AF185" s="178"/>
      <c r="AG185" s="179"/>
      <c r="AH185" s="180"/>
      <c r="AI185" s="180"/>
      <c r="AJ185" s="180"/>
      <c r="AL185" s="178"/>
      <c r="AM185" s="179"/>
      <c r="AN185" s="180"/>
      <c r="AO185" s="180"/>
      <c r="AP185" s="180"/>
    </row>
    <row r="186" spans="2:42" x14ac:dyDescent="0.2">
      <c r="B186" s="178"/>
      <c r="C186" s="179"/>
      <c r="D186" s="180"/>
      <c r="E186" s="180"/>
      <c r="F186" s="180"/>
      <c r="H186" s="178"/>
      <c r="I186" s="179"/>
      <c r="J186" s="180"/>
      <c r="K186" s="180"/>
      <c r="L186" s="180"/>
      <c r="N186" s="178"/>
      <c r="O186" s="179"/>
      <c r="P186" s="180"/>
      <c r="Q186" s="180"/>
      <c r="R186" s="180"/>
      <c r="T186" s="178"/>
      <c r="U186" s="179"/>
      <c r="V186" s="180"/>
      <c r="W186" s="180"/>
      <c r="X186" s="180"/>
      <c r="Z186" s="178"/>
      <c r="AA186" s="179"/>
      <c r="AB186" s="180"/>
      <c r="AC186" s="180"/>
      <c r="AD186" s="180"/>
      <c r="AF186" s="178"/>
      <c r="AG186" s="179"/>
      <c r="AH186" s="180"/>
      <c r="AI186" s="180"/>
      <c r="AJ186" s="180"/>
      <c r="AL186" s="178"/>
      <c r="AM186" s="179"/>
      <c r="AN186" s="180"/>
      <c r="AO186" s="180"/>
      <c r="AP186" s="180"/>
    </row>
    <row r="187" spans="2:42" x14ac:dyDescent="0.2">
      <c r="B187" s="178"/>
      <c r="C187" s="179"/>
      <c r="D187" s="180"/>
      <c r="E187" s="180"/>
      <c r="F187" s="180"/>
      <c r="H187" s="178"/>
      <c r="I187" s="179"/>
      <c r="J187" s="180"/>
      <c r="K187" s="180"/>
      <c r="L187" s="180"/>
      <c r="N187" s="178"/>
      <c r="O187" s="179"/>
      <c r="P187" s="180"/>
      <c r="Q187" s="180"/>
      <c r="R187" s="180"/>
      <c r="T187" s="178"/>
      <c r="U187" s="179"/>
      <c r="V187" s="180"/>
      <c r="W187" s="180"/>
      <c r="X187" s="180"/>
      <c r="Z187" s="178"/>
      <c r="AA187" s="179"/>
      <c r="AB187" s="180"/>
      <c r="AC187" s="180"/>
      <c r="AD187" s="180"/>
      <c r="AF187" s="178"/>
      <c r="AG187" s="179"/>
      <c r="AH187" s="180"/>
      <c r="AI187" s="180"/>
      <c r="AJ187" s="180"/>
      <c r="AL187" s="178"/>
      <c r="AM187" s="179"/>
      <c r="AN187" s="180"/>
      <c r="AO187" s="180"/>
      <c r="AP187" s="180"/>
    </row>
    <row r="188" spans="2:42" x14ac:dyDescent="0.2">
      <c r="B188" s="178"/>
      <c r="C188" s="179"/>
      <c r="D188" s="180"/>
      <c r="E188" s="180"/>
      <c r="F188" s="180"/>
      <c r="H188" s="178"/>
      <c r="I188" s="179"/>
      <c r="J188" s="180"/>
      <c r="K188" s="180"/>
      <c r="L188" s="180"/>
      <c r="N188" s="178"/>
      <c r="O188" s="179"/>
      <c r="P188" s="180"/>
      <c r="Q188" s="180"/>
      <c r="R188" s="180"/>
      <c r="T188" s="178"/>
      <c r="U188" s="179"/>
      <c r="V188" s="180"/>
      <c r="W188" s="180"/>
      <c r="X188" s="180"/>
      <c r="Z188" s="178"/>
      <c r="AA188" s="179"/>
      <c r="AB188" s="180"/>
      <c r="AC188" s="180"/>
      <c r="AD188" s="180"/>
      <c r="AF188" s="178"/>
      <c r="AG188" s="179"/>
      <c r="AH188" s="180"/>
      <c r="AI188" s="180"/>
      <c r="AJ188" s="180"/>
      <c r="AL188" s="178"/>
      <c r="AM188" s="179"/>
      <c r="AN188" s="180"/>
      <c r="AO188" s="180"/>
      <c r="AP188" s="180"/>
    </row>
    <row r="189" spans="2:42" x14ac:dyDescent="0.2">
      <c r="B189" s="178"/>
      <c r="C189" s="179"/>
      <c r="D189" s="180"/>
      <c r="E189" s="180"/>
      <c r="F189" s="180"/>
      <c r="H189" s="178"/>
      <c r="I189" s="179"/>
      <c r="J189" s="180"/>
      <c r="K189" s="180"/>
      <c r="L189" s="180"/>
      <c r="N189" s="178"/>
      <c r="O189" s="179"/>
      <c r="P189" s="180"/>
      <c r="Q189" s="180"/>
      <c r="R189" s="180"/>
      <c r="T189" s="178"/>
      <c r="U189" s="179"/>
      <c r="V189" s="180"/>
      <c r="W189" s="180"/>
      <c r="X189" s="180"/>
      <c r="Z189" s="178"/>
      <c r="AA189" s="179"/>
      <c r="AB189" s="180"/>
      <c r="AC189" s="180"/>
      <c r="AD189" s="180"/>
      <c r="AF189" s="178"/>
      <c r="AG189" s="179"/>
      <c r="AH189" s="180"/>
      <c r="AI189" s="180"/>
      <c r="AJ189" s="180"/>
      <c r="AL189" s="178"/>
      <c r="AM189" s="179"/>
      <c r="AN189" s="180"/>
      <c r="AO189" s="180"/>
      <c r="AP189" s="180"/>
    </row>
    <row r="190" spans="2:42" x14ac:dyDescent="0.2">
      <c r="B190" s="178"/>
      <c r="C190" s="179"/>
      <c r="D190" s="180"/>
      <c r="E190" s="180"/>
      <c r="F190" s="180"/>
      <c r="H190" s="178"/>
      <c r="I190" s="179"/>
      <c r="J190" s="180"/>
      <c r="K190" s="180"/>
      <c r="L190" s="180"/>
      <c r="N190" s="178"/>
      <c r="O190" s="179"/>
      <c r="P190" s="180"/>
      <c r="Q190" s="180"/>
      <c r="R190" s="180"/>
      <c r="T190" s="178"/>
      <c r="U190" s="179"/>
      <c r="V190" s="180"/>
      <c r="W190" s="180"/>
      <c r="X190" s="180"/>
      <c r="Z190" s="178"/>
      <c r="AA190" s="179"/>
      <c r="AB190" s="180"/>
      <c r="AC190" s="180"/>
      <c r="AD190" s="180"/>
      <c r="AF190" s="178"/>
      <c r="AG190" s="179"/>
      <c r="AH190" s="180"/>
      <c r="AI190" s="180"/>
      <c r="AJ190" s="180"/>
      <c r="AL190" s="178"/>
      <c r="AM190" s="179"/>
      <c r="AN190" s="180"/>
      <c r="AO190" s="180"/>
      <c r="AP190" s="180"/>
    </row>
    <row r="191" spans="2:42" x14ac:dyDescent="0.2">
      <c r="B191" s="178"/>
      <c r="C191" s="179"/>
      <c r="D191" s="180"/>
      <c r="E191" s="180"/>
      <c r="F191" s="180"/>
      <c r="H191" s="178"/>
      <c r="I191" s="179"/>
      <c r="J191" s="180"/>
      <c r="K191" s="180"/>
      <c r="L191" s="180"/>
      <c r="N191" s="178"/>
      <c r="O191" s="179"/>
      <c r="P191" s="180"/>
      <c r="Q191" s="180"/>
      <c r="R191" s="180"/>
      <c r="T191" s="178"/>
      <c r="U191" s="179"/>
      <c r="V191" s="180"/>
      <c r="W191" s="180"/>
      <c r="X191" s="180"/>
      <c r="Z191" s="178"/>
      <c r="AA191" s="179"/>
      <c r="AB191" s="180"/>
      <c r="AC191" s="180"/>
      <c r="AD191" s="180"/>
      <c r="AF191" s="178"/>
      <c r="AG191" s="179"/>
      <c r="AH191" s="180"/>
      <c r="AI191" s="180"/>
      <c r="AJ191" s="180"/>
      <c r="AL191" s="178"/>
      <c r="AM191" s="179"/>
      <c r="AN191" s="180"/>
      <c r="AO191" s="180"/>
      <c r="AP191" s="180"/>
    </row>
    <row r="192" spans="2:42" x14ac:dyDescent="0.2">
      <c r="B192" s="178"/>
      <c r="C192" s="179"/>
      <c r="D192" s="180"/>
      <c r="E192" s="180"/>
      <c r="F192" s="180"/>
      <c r="H192" s="178"/>
      <c r="I192" s="179"/>
      <c r="J192" s="180"/>
      <c r="K192" s="180"/>
      <c r="L192" s="180"/>
      <c r="N192" s="178"/>
      <c r="O192" s="179"/>
      <c r="P192" s="180"/>
      <c r="Q192" s="180"/>
      <c r="R192" s="180"/>
      <c r="T192" s="178"/>
      <c r="U192" s="179"/>
      <c r="V192" s="180"/>
      <c r="W192" s="180"/>
      <c r="X192" s="180"/>
      <c r="Z192" s="178"/>
      <c r="AA192" s="179"/>
      <c r="AB192" s="180"/>
      <c r="AC192" s="180"/>
      <c r="AD192" s="180"/>
      <c r="AF192" s="178"/>
      <c r="AG192" s="179"/>
      <c r="AH192" s="180"/>
      <c r="AI192" s="180"/>
      <c r="AJ192" s="180"/>
      <c r="AL192" s="178"/>
      <c r="AM192" s="179"/>
      <c r="AN192" s="180"/>
      <c r="AO192" s="180"/>
      <c r="AP192" s="180"/>
    </row>
    <row r="193" spans="2:42" x14ac:dyDescent="0.2">
      <c r="B193" s="178"/>
      <c r="C193" s="179"/>
      <c r="D193" s="180"/>
      <c r="E193" s="180"/>
      <c r="F193" s="180"/>
      <c r="H193" s="178"/>
      <c r="I193" s="179"/>
      <c r="J193" s="180"/>
      <c r="K193" s="180"/>
      <c r="L193" s="180"/>
      <c r="N193" s="178"/>
      <c r="O193" s="179"/>
      <c r="P193" s="180"/>
      <c r="Q193" s="180"/>
      <c r="R193" s="180"/>
      <c r="T193" s="178"/>
      <c r="U193" s="179"/>
      <c r="V193" s="180"/>
      <c r="W193" s="180"/>
      <c r="X193" s="180"/>
      <c r="Z193" s="178"/>
      <c r="AA193" s="179"/>
      <c r="AB193" s="180"/>
      <c r="AC193" s="180"/>
      <c r="AD193" s="180"/>
      <c r="AF193" s="178"/>
      <c r="AG193" s="179"/>
      <c r="AH193" s="180"/>
      <c r="AI193" s="180"/>
      <c r="AJ193" s="180"/>
      <c r="AL193" s="178"/>
      <c r="AM193" s="179"/>
      <c r="AN193" s="180"/>
      <c r="AO193" s="180"/>
      <c r="AP193" s="180"/>
    </row>
    <row r="194" spans="2:42" x14ac:dyDescent="0.2">
      <c r="B194" s="178"/>
      <c r="C194" s="179"/>
      <c r="D194" s="180"/>
      <c r="E194" s="180"/>
      <c r="F194" s="180"/>
      <c r="H194" s="178"/>
      <c r="I194" s="179"/>
      <c r="J194" s="180"/>
      <c r="K194" s="180"/>
      <c r="L194" s="180"/>
      <c r="N194" s="178"/>
      <c r="O194" s="179"/>
      <c r="P194" s="180"/>
      <c r="Q194" s="180"/>
      <c r="R194" s="180"/>
      <c r="T194" s="178"/>
      <c r="U194" s="179"/>
      <c r="V194" s="180"/>
      <c r="W194" s="180"/>
      <c r="X194" s="180"/>
      <c r="Z194" s="178"/>
      <c r="AA194" s="179"/>
      <c r="AB194" s="180"/>
      <c r="AC194" s="180"/>
      <c r="AD194" s="180"/>
      <c r="AF194" s="178"/>
      <c r="AG194" s="179"/>
      <c r="AH194" s="180"/>
      <c r="AI194" s="180"/>
      <c r="AJ194" s="180"/>
      <c r="AL194" s="178"/>
      <c r="AM194" s="179"/>
      <c r="AN194" s="180"/>
      <c r="AO194" s="180"/>
      <c r="AP194" s="180"/>
    </row>
    <row r="195" spans="2:42" x14ac:dyDescent="0.2">
      <c r="B195" s="178"/>
      <c r="C195" s="179"/>
      <c r="D195" s="180"/>
      <c r="E195" s="180"/>
      <c r="F195" s="180"/>
      <c r="H195" s="178"/>
      <c r="I195" s="179"/>
      <c r="J195" s="180"/>
      <c r="K195" s="180"/>
      <c r="L195" s="180"/>
      <c r="N195" s="178"/>
      <c r="O195" s="179"/>
      <c r="P195" s="180"/>
      <c r="Q195" s="180"/>
      <c r="R195" s="180"/>
      <c r="T195" s="178"/>
      <c r="U195" s="179"/>
      <c r="V195" s="180"/>
      <c r="W195" s="180"/>
      <c r="X195" s="180"/>
      <c r="Z195" s="178"/>
      <c r="AA195" s="179"/>
      <c r="AB195" s="180"/>
      <c r="AC195" s="180"/>
      <c r="AD195" s="180"/>
      <c r="AF195" s="178"/>
      <c r="AG195" s="179"/>
      <c r="AH195" s="180"/>
      <c r="AI195" s="180"/>
      <c r="AJ195" s="180"/>
      <c r="AL195" s="178"/>
      <c r="AM195" s="179"/>
      <c r="AN195" s="180"/>
      <c r="AO195" s="180"/>
      <c r="AP195" s="180"/>
    </row>
    <row r="197" spans="2:42" x14ac:dyDescent="0.2">
      <c r="C197" s="28"/>
      <c r="E197" s="28"/>
      <c r="K197" s="28"/>
      <c r="Q197" s="28"/>
      <c r="W197" s="28"/>
      <c r="AC197" s="28"/>
      <c r="AI197" s="28"/>
      <c r="AO197" s="28"/>
    </row>
    <row r="198" spans="2:42" x14ac:dyDescent="0.2">
      <c r="C198" s="122"/>
      <c r="E198" s="123"/>
      <c r="K198" s="123"/>
      <c r="Q198" s="123"/>
      <c r="W198" s="123"/>
      <c r="AC198" s="123"/>
      <c r="AI198" s="123"/>
      <c r="AO198" s="123"/>
    </row>
    <row r="199" spans="2:42" x14ac:dyDescent="0.2">
      <c r="C199" s="122"/>
      <c r="E199" s="123"/>
      <c r="K199" s="123"/>
      <c r="Q199" s="123"/>
      <c r="W199" s="123"/>
      <c r="AC199" s="123"/>
      <c r="AI199" s="123"/>
      <c r="AO199" s="123"/>
    </row>
    <row r="200" spans="2:42" x14ac:dyDescent="0.2">
      <c r="C200" s="122"/>
      <c r="E200" s="123"/>
      <c r="K200" s="123"/>
      <c r="Q200" s="123"/>
      <c r="W200" s="123"/>
      <c r="AC200" s="123"/>
      <c r="AI200" s="123"/>
      <c r="AO200" s="123"/>
    </row>
    <row r="201" spans="2:42" x14ac:dyDescent="0.2">
      <c r="C201" s="122"/>
      <c r="E201" s="123"/>
      <c r="K201" s="123"/>
      <c r="Q201" s="123"/>
      <c r="W201" s="123"/>
      <c r="AC201" s="123"/>
      <c r="AI201" s="123"/>
      <c r="AO201" s="123"/>
    </row>
    <row r="202" spans="2:42" x14ac:dyDescent="0.2">
      <c r="C202" s="122"/>
      <c r="E202" s="123"/>
      <c r="K202" s="123"/>
      <c r="Q202" s="123"/>
      <c r="W202" s="123"/>
      <c r="AC202" s="123"/>
      <c r="AI202" s="123"/>
      <c r="AO202" s="123"/>
    </row>
    <row r="203" spans="2:42" x14ac:dyDescent="0.2">
      <c r="C203" s="122"/>
      <c r="E203" s="123"/>
      <c r="K203" s="123"/>
      <c r="Q203" s="123"/>
      <c r="W203" s="123"/>
      <c r="AC203" s="123"/>
      <c r="AI203" s="123"/>
      <c r="AO203" s="123"/>
    </row>
  </sheetData>
  <sheetProtection sheet="1" objects="1" scenarios="1"/>
  <phoneticPr fontId="10" type="noConversion"/>
  <pageMargins left="0.75" right="0.75" top="1" bottom="1" header="0.5" footer="0.5"/>
  <pageSetup scale="15" orientation="portrait" r:id="rId1"/>
  <headerFooter alignWithMargins="0">
    <oddFooter>&amp;CSheep EweLambPLAN Copyright Government of Saskatchewan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pageSetUpPr fitToPage="1"/>
  </sheetPr>
  <dimension ref="B3:N9"/>
  <sheetViews>
    <sheetView showGridLines="0" showRowColHeaders="0" workbookViewId="0">
      <selection activeCell="B3" sqref="B3"/>
    </sheetView>
  </sheetViews>
  <sheetFormatPr defaultRowHeight="12.75" x14ac:dyDescent="0.2"/>
  <cols>
    <col min="2" max="2" width="40.7109375" customWidth="1"/>
    <col min="3" max="14" width="10.7109375" customWidth="1"/>
  </cols>
  <sheetData>
    <row r="3" spans="2:14" ht="13.5" thickBot="1" x14ac:dyDescent="0.25"/>
    <row r="4" spans="2:14" ht="13.5" thickBot="1" x14ac:dyDescent="0.25">
      <c r="B4" s="2" t="s">
        <v>113</v>
      </c>
      <c r="C4" s="207" t="s">
        <v>198</v>
      </c>
      <c r="D4" s="126" t="s">
        <v>112</v>
      </c>
      <c r="E4" s="126" t="str">
        <f>Input!$E$14</f>
        <v>Year 1</v>
      </c>
      <c r="F4" s="126" t="s">
        <v>114</v>
      </c>
      <c r="G4" s="208" t="str">
        <f>Input!$F$14</f>
        <v>Year 2</v>
      </c>
      <c r="H4" s="126" t="s">
        <v>114</v>
      </c>
      <c r="I4" s="126" t="str">
        <f>Input!$G$14</f>
        <v>Year 3</v>
      </c>
      <c r="J4" s="126" t="s">
        <v>114</v>
      </c>
      <c r="K4" s="126" t="str">
        <f>Input!$H$14</f>
        <v>Year 4</v>
      </c>
      <c r="L4" s="126" t="s">
        <v>114</v>
      </c>
      <c r="M4" s="126" t="str">
        <f>Input!$I$14</f>
        <v>Year 5</v>
      </c>
      <c r="N4" s="209" t="s">
        <v>114</v>
      </c>
    </row>
    <row r="5" spans="2:14" x14ac:dyDescent="0.2">
      <c r="B5" s="43" t="str">
        <f>Input!C392</f>
        <v>Land and Other Non Depreciating Assets</v>
      </c>
      <c r="C5" s="157">
        <v>0</v>
      </c>
      <c r="D5" s="210">
        <f>Input!E392</f>
        <v>100000</v>
      </c>
      <c r="E5" s="210">
        <v>0</v>
      </c>
      <c r="F5" s="210">
        <f>D5-E5</f>
        <v>100000</v>
      </c>
      <c r="G5" s="210">
        <v>0</v>
      </c>
      <c r="H5" s="210">
        <f>IF(Input!$F$392&gt;F5,Input!$F$392-G5,F5-G5)</f>
        <v>100000</v>
      </c>
      <c r="I5" s="210">
        <v>0</v>
      </c>
      <c r="J5" s="210">
        <f>IF(Input!$G$392&gt;H5,Input!$G$392-I5,H5-I5)</f>
        <v>100000</v>
      </c>
      <c r="K5" s="210">
        <v>0</v>
      </c>
      <c r="L5" s="210">
        <f>IF(Input!$H$392&gt;J5,Input!$H$392-K5,J5-K5)</f>
        <v>100000</v>
      </c>
      <c r="M5" s="210">
        <v>0</v>
      </c>
      <c r="N5" s="211">
        <f>IF(Input!$I$392&gt;L5,Input!$I$392-M5,L5-M5)</f>
        <v>100000</v>
      </c>
    </row>
    <row r="6" spans="2:14" x14ac:dyDescent="0.2">
      <c r="B6" s="50" t="str">
        <f>Input!C393</f>
        <v>Buildings and Fences (CCA - 10% dep)</v>
      </c>
      <c r="C6" s="158">
        <v>0.05</v>
      </c>
      <c r="D6" s="88">
        <f>Input!E393</f>
        <v>75000</v>
      </c>
      <c r="E6" s="88">
        <f>D6*$C$6</f>
        <v>3750</v>
      </c>
      <c r="F6" s="88">
        <f>D6-E6</f>
        <v>71250</v>
      </c>
      <c r="G6" s="88">
        <f>F6*$C$6</f>
        <v>3562.5</v>
      </c>
      <c r="H6" s="88">
        <f>IF(Input!$F$393&gt;F6,Input!$F$393-G6,F6-G6)</f>
        <v>67687.5</v>
      </c>
      <c r="I6" s="88">
        <f>H6*$C$6</f>
        <v>3384.375</v>
      </c>
      <c r="J6" s="88">
        <f>IF(Input!$G$393&gt;H6,Input!$G$393-I6,H6-I6)</f>
        <v>64303.125</v>
      </c>
      <c r="K6" s="88">
        <f>J6*$C$6</f>
        <v>3215.15625</v>
      </c>
      <c r="L6" s="88">
        <f>IF(Input!$H$393&gt;J6,Input!$H$393-K6,J6-K6)</f>
        <v>61087.96875</v>
      </c>
      <c r="M6" s="88">
        <f>L6*$C$6</f>
        <v>3054.3984375</v>
      </c>
      <c r="N6" s="54">
        <f>IF(Input!$I$393&gt;L6,Input!$I$393-M6,L6-M6)</f>
        <v>58033.5703125</v>
      </c>
    </row>
    <row r="7" spans="2:14" x14ac:dyDescent="0.2">
      <c r="B7" s="50" t="str">
        <f>Input!C394</f>
        <v xml:space="preserve">Machinery and Equipment (CCA - 20% dep)  </v>
      </c>
      <c r="C7" s="158">
        <v>0.1</v>
      </c>
      <c r="D7" s="88">
        <f>Input!E394</f>
        <v>50000</v>
      </c>
      <c r="E7" s="88">
        <f>D7*$C$7</f>
        <v>5000</v>
      </c>
      <c r="F7" s="88">
        <f>D7-E7</f>
        <v>45000</v>
      </c>
      <c r="G7" s="88">
        <f>F7*$C$7</f>
        <v>4500</v>
      </c>
      <c r="H7" s="88">
        <f>IF(Input!$F$394&gt;F7,Input!$F$394-G7,F7-G7)</f>
        <v>40500</v>
      </c>
      <c r="I7" s="88">
        <f>H7*$C$7</f>
        <v>4050</v>
      </c>
      <c r="J7" s="88">
        <f>IF(Input!$G$394&gt;H7,Input!$G$394-I7,H7-I7)</f>
        <v>36450</v>
      </c>
      <c r="K7" s="88">
        <f>J7*$C$7</f>
        <v>3645</v>
      </c>
      <c r="L7" s="88">
        <f>IF(Input!$H$394&gt;J7,Input!$H$394-K7,J7-K7)</f>
        <v>32805</v>
      </c>
      <c r="M7" s="88">
        <f>L7*$C$7</f>
        <v>3280.5</v>
      </c>
      <c r="N7" s="54">
        <f>IF(Input!$I$394&gt;L7,Input!$I$394-M7,L7-M7)</f>
        <v>29524.5</v>
      </c>
    </row>
    <row r="8" spans="2:14" ht="13.5" thickBot="1" x14ac:dyDescent="0.25">
      <c r="B8" s="30" t="str">
        <f>Input!C395</f>
        <v>Infrastructure and Site Development (CCA - 8%)</v>
      </c>
      <c r="C8" s="219">
        <v>0.08</v>
      </c>
      <c r="D8" s="212">
        <f>Input!E395</f>
        <v>0</v>
      </c>
      <c r="E8" s="212">
        <f>IF(D8&gt;0,D8*C8,0)</f>
        <v>0</v>
      </c>
      <c r="F8" s="212">
        <f>D8-E8</f>
        <v>0</v>
      </c>
      <c r="G8" s="100">
        <f>IF(Input!$F$395&gt;F8,Input!$F$395*C8,F8*C8)</f>
        <v>0</v>
      </c>
      <c r="H8" s="100">
        <f>IF(Input!$F$395&gt;F8,Input!$F$395-G8,F8-G8)</f>
        <v>0</v>
      </c>
      <c r="I8" s="100">
        <f>IF(Input!$G$395&gt;H8,Input!$G$395*C8,H8*C8)</f>
        <v>0</v>
      </c>
      <c r="J8" s="100">
        <f>IF(Input!$G$395&gt;H8,Input!$G$395-I8,H8-I8)</f>
        <v>0</v>
      </c>
      <c r="K8" s="100">
        <f>IF(Input!$H$395&gt;J8,Input!$H$395*C8,J8*C8)</f>
        <v>0</v>
      </c>
      <c r="L8" s="100">
        <f>IF(Input!$H$395&gt;J8,Input!$H$395-K8,J8-K8)</f>
        <v>0</v>
      </c>
      <c r="M8" s="100">
        <f>IF(Input!$I$395&gt;L8,Input!$I$395*C8,L8*C8)</f>
        <v>0</v>
      </c>
      <c r="N8" s="101">
        <f>IF(Input!$I$395&gt;L8,Input!$I$395-M8,L8-M8)</f>
        <v>0</v>
      </c>
    </row>
    <row r="9" spans="2:14" ht="13.5" thickBot="1" x14ac:dyDescent="0.25">
      <c r="B9" s="62"/>
      <c r="C9" s="213" t="s">
        <v>0</v>
      </c>
      <c r="D9" s="65">
        <f t="shared" ref="D9:N9" si="0">SUM(D5:D8)</f>
        <v>225000</v>
      </c>
      <c r="E9" s="65">
        <f t="shared" si="0"/>
        <v>8750</v>
      </c>
      <c r="F9" s="65">
        <f t="shared" si="0"/>
        <v>216250</v>
      </c>
      <c r="G9" s="65">
        <f t="shared" si="0"/>
        <v>8062.5</v>
      </c>
      <c r="H9" s="65">
        <f t="shared" si="0"/>
        <v>208187.5</v>
      </c>
      <c r="I9" s="65">
        <f t="shared" si="0"/>
        <v>7434.375</v>
      </c>
      <c r="J9" s="65">
        <f t="shared" si="0"/>
        <v>200753.125</v>
      </c>
      <c r="K9" s="65">
        <f t="shared" si="0"/>
        <v>6860.15625</v>
      </c>
      <c r="L9" s="65">
        <f t="shared" si="0"/>
        <v>193892.96875</v>
      </c>
      <c r="M9" s="65">
        <f t="shared" si="0"/>
        <v>6334.8984375</v>
      </c>
      <c r="N9" s="154">
        <f t="shared" si="0"/>
        <v>187558.0703125</v>
      </c>
    </row>
  </sheetData>
  <sheetProtection sheet="1" objects="1" scenarios="1"/>
  <phoneticPr fontId="10" type="noConversion"/>
  <pageMargins left="0.75" right="0.75" top="1" bottom="1" header="0.5" footer="0.5"/>
  <pageSetup scale="72" orientation="landscape" r:id="rId1"/>
  <headerFooter alignWithMargins="0">
    <oddFooter>&amp;CSheep EweLambPLAN Copyright Government of Saskatchewan</oddFooter>
  </headerFooter>
</worksheet>
</file>

<file path=docMetadata/LabelInfo.xml><?xml version="1.0" encoding="utf-8"?>
<clbl:labelList xmlns:clbl="http://schemas.microsoft.com/office/2020/mipLabelMetadata">
  <clbl:label id="{9715e697-1c31-4156-8581-01c5d1e29c65}" enabled="1" method="Standard" siteId="{cf4e8a24-641b-40d2-905e-9a328b644f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Disclosure</vt:lpstr>
      <vt:lpstr>Intro</vt:lpstr>
      <vt:lpstr>COPCalculation</vt:lpstr>
      <vt:lpstr>Input</vt:lpstr>
      <vt:lpstr>Feed</vt:lpstr>
      <vt:lpstr>Monthly</vt:lpstr>
      <vt:lpstr>Income_Expense</vt:lpstr>
      <vt:lpstr>Sensitivity</vt:lpstr>
      <vt:lpstr>Balance_Sheet</vt:lpstr>
      <vt:lpstr>Investment</vt:lpstr>
      <vt:lpstr>Financing</vt:lpstr>
      <vt:lpstr>Depreciation</vt:lpstr>
      <vt:lpstr>Monthly!Print_Titles</vt:lpstr>
    </vt:vector>
  </TitlesOfParts>
  <Company>Saskatchewan Agriculture &amp; Food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 Marceniuk</dc:creator>
  <cp:lastModifiedBy>Marceniuk, Brad AG</cp:lastModifiedBy>
  <cp:lastPrinted>2026-09-30T21:02:19Z</cp:lastPrinted>
  <dcterms:created xsi:type="dcterms:W3CDTF">2002-02-20T20:21:48Z</dcterms:created>
  <dcterms:modified xsi:type="dcterms:W3CDTF">2026-09-30T21:31:57Z</dcterms:modified>
</cp:coreProperties>
</file>